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480" yWindow="240" windowWidth="12120" windowHeight="7590" tabRatio="895" firstSheet="10"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r:id="rId17"/>
    <sheet name="系统读取表" sheetId="74" r:id="rId18"/>
    <sheet name="隆福项目汇总表" sheetId="78" r:id="rId19"/>
    <sheet name="结果表" sheetId="9" r:id="rId20"/>
    <sheet name="成本法" sheetId="68" r:id="rId21"/>
    <sheet name="成本法 (元)" sheetId="69" state="hidden" r:id="rId22"/>
    <sheet name="基准地价修正" sheetId="43" r:id="rId23"/>
    <sheet name="假设开发法" sheetId="12"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 r:id="rId49"/>
    <externalReference r:id="rId50"/>
    <externalReference r:id="rId51"/>
    <externalReference r:id="rId52"/>
    <externalReference r:id="rId53"/>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13">面积!$B$55:$E$68</definedName>
    <definedName name="_xlnm.Print_Area" localSheetId="24">收益法!$A$1:$AK$69</definedName>
    <definedName name="_xlnm.Print_Area" localSheetId="25">'收益法 (元)'!$A$1:$AK$69</definedName>
    <definedName name="_xlnm.Print_Area" localSheetId="14">'数据-汇总表'!$A$1:$P$32</definedName>
    <definedName name="_xlnm.Print_Area" localSheetId="11">'数据-基础表'!$A$1:$K$13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17" i="74" l="1"/>
  <c r="C17" i="74"/>
  <c r="B16" i="74"/>
  <c r="C16" i="74"/>
  <c r="B15" i="74"/>
  <c r="D10" i="68" l="1"/>
  <c r="C10" i="68" s="1"/>
  <c r="B29" i="1" s="1"/>
  <c r="C8" i="68" s="1"/>
  <c r="F27" i="68"/>
  <c r="C29" i="68" s="1"/>
  <c r="D27" i="68" s="1"/>
  <c r="F34" i="68"/>
  <c r="C34" i="68" s="1"/>
  <c r="C35" i="68" s="1"/>
  <c r="D9" i="68"/>
  <c r="V18" i="1"/>
  <c r="X18" i="1"/>
  <c r="V19" i="1"/>
  <c r="X19" i="1"/>
  <c r="X20" i="1"/>
  <c r="V21" i="1"/>
  <c r="X21" i="1"/>
  <c r="V22" i="1"/>
  <c r="X22" i="1"/>
  <c r="V23" i="1"/>
  <c r="X23" i="1"/>
  <c r="V24" i="1"/>
  <c r="X24" i="1"/>
  <c r="U25" i="1"/>
  <c r="U6" i="1"/>
  <c r="R6" i="1"/>
  <c r="C11" i="12"/>
  <c r="C12" i="12" s="1"/>
  <c r="C13" i="12"/>
  <c r="D14" i="12"/>
  <c r="D17" i="12" s="1"/>
  <c r="C17" i="12" s="1"/>
  <c r="D19" i="12"/>
  <c r="C19" i="12" s="1"/>
  <c r="D20" i="12"/>
  <c r="C20" i="12" s="1"/>
  <c r="F11" i="12"/>
  <c r="F28" i="12"/>
  <c r="C29" i="12" s="1"/>
  <c r="D28" i="12" s="1"/>
  <c r="L7" i="78"/>
  <c r="K7" i="78"/>
  <c r="L6" i="78"/>
  <c r="K6" i="78"/>
  <c r="I7" i="78"/>
  <c r="I6" i="78"/>
  <c r="L5" i="78"/>
  <c r="K5" i="78"/>
  <c r="I5" i="78"/>
  <c r="E57" i="77"/>
  <c r="E62" i="77"/>
  <c r="E63" i="77"/>
  <c r="K13" i="3"/>
  <c r="G19" i="6"/>
  <c r="G27"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73" i="3"/>
  <c r="BN574" i="3"/>
  <c r="BN575" i="3"/>
  <c r="BN576" i="3"/>
  <c r="BN577" i="3"/>
  <c r="BN578" i="3"/>
  <c r="BN579" i="3"/>
  <c r="BN580" i="3"/>
  <c r="BN581" i="3"/>
  <c r="BN582" i="3"/>
  <c r="BN583" i="3"/>
  <c r="BN584" i="3"/>
  <c r="BN585" i="3"/>
  <c r="BN586" i="3"/>
  <c r="BN587"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73" i="3"/>
  <c r="BP574" i="3"/>
  <c r="BP575" i="3"/>
  <c r="BP576" i="3"/>
  <c r="BP577" i="3"/>
  <c r="BP578" i="3"/>
  <c r="BP579" i="3"/>
  <c r="BP580" i="3"/>
  <c r="BP581" i="3"/>
  <c r="BP582" i="3"/>
  <c r="BP583" i="3"/>
  <c r="BP584" i="3"/>
  <c r="BP585" i="3"/>
  <c r="BP586" i="3"/>
  <c r="BP587" i="3"/>
  <c r="BP5" i="3"/>
  <c r="G29" i="6"/>
  <c r="G30" i="6"/>
  <c r="G31" i="6"/>
  <c r="L4" i="78"/>
  <c r="L8" i="78"/>
  <c r="E58" i="77"/>
  <c r="E59" i="77"/>
  <c r="E64" i="77"/>
  <c r="E65" i="77"/>
  <c r="E66" i="77"/>
  <c r="E67" i="77"/>
  <c r="E68" i="77"/>
  <c r="I13" i="3"/>
  <c r="F19"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E8" i="6"/>
  <c r="F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F30" i="6"/>
  <c r="F31" i="6"/>
  <c r="K4" i="78"/>
  <c r="K8" i="78"/>
  <c r="H5" i="78"/>
  <c r="J5" i="78"/>
  <c r="H6" i="78"/>
  <c r="J6" i="78"/>
  <c r="H7" i="78"/>
  <c r="J7" i="78"/>
  <c r="J4" i="78"/>
  <c r="J8" i="78"/>
  <c r="U6" i="43"/>
  <c r="W24" i="1"/>
  <c r="D34" i="43"/>
  <c r="W18" i="1"/>
  <c r="D33" i="43"/>
  <c r="W19" i="1"/>
  <c r="U2" i="43"/>
  <c r="W20" i="1"/>
  <c r="U3" i="43"/>
  <c r="W21" i="1"/>
  <c r="U4" i="43"/>
  <c r="W22" i="1"/>
  <c r="U5" i="43"/>
  <c r="W23" i="1"/>
  <c r="H4" i="78"/>
  <c r="H8" i="78"/>
  <c r="A3" i="3"/>
  <c r="BA13" i="3"/>
  <c r="BL13" i="3"/>
  <c r="AZ13" i="3"/>
  <c r="BA14" i="3"/>
  <c r="BL14" i="3"/>
  <c r="AZ14" i="3"/>
  <c r="BA15" i="3"/>
  <c r="BL15" i="3"/>
  <c r="AZ15" i="3"/>
  <c r="BA16" i="3"/>
  <c r="BL16" i="3"/>
  <c r="AZ16" i="3"/>
  <c r="BA17" i="3"/>
  <c r="BL17" i="3"/>
  <c r="AZ17" i="3"/>
  <c r="BA18" i="3"/>
  <c r="BL18" i="3"/>
  <c r="AZ18" i="3"/>
  <c r="BA19" i="3"/>
  <c r="BL19" i="3"/>
  <c r="AZ19" i="3"/>
  <c r="BA20" i="3"/>
  <c r="BL20" i="3"/>
  <c r="AZ20" i="3"/>
  <c r="BA21" i="3"/>
  <c r="BL21" i="3"/>
  <c r="AZ21" i="3"/>
  <c r="BA22" i="3"/>
  <c r="BL22" i="3"/>
  <c r="AZ22" i="3"/>
  <c r="BA23" i="3"/>
  <c r="BL23" i="3"/>
  <c r="AZ23" i="3"/>
  <c r="BA24" i="3"/>
  <c r="BL24" i="3"/>
  <c r="AZ24" i="3"/>
  <c r="BA25" i="3"/>
  <c r="BL25" i="3"/>
  <c r="AZ25" i="3"/>
  <c r="BA26" i="3"/>
  <c r="BL26" i="3"/>
  <c r="AZ26" i="3"/>
  <c r="BA27" i="3"/>
  <c r="BL27" i="3"/>
  <c r="AZ27" i="3"/>
  <c r="BA28" i="3"/>
  <c r="BL28" i="3"/>
  <c r="AZ28" i="3"/>
  <c r="BA29" i="3"/>
  <c r="BL29" i="3"/>
  <c r="AZ29" i="3"/>
  <c r="BA30" i="3"/>
  <c r="BL30" i="3"/>
  <c r="AZ30" i="3"/>
  <c r="BA31" i="3"/>
  <c r="BL31" i="3"/>
  <c r="AZ31" i="3"/>
  <c r="BA32" i="3"/>
  <c r="BL32" i="3"/>
  <c r="AZ32" i="3"/>
  <c r="BA33" i="3"/>
  <c r="BL33" i="3"/>
  <c r="AZ33" i="3"/>
  <c r="BA34" i="3"/>
  <c r="BL34" i="3"/>
  <c r="AZ34" i="3"/>
  <c r="BA35" i="3"/>
  <c r="BL35" i="3"/>
  <c r="AZ35" i="3"/>
  <c r="BA36" i="3"/>
  <c r="BL36" i="3"/>
  <c r="AZ36" i="3"/>
  <c r="BA37" i="3"/>
  <c r="BL37" i="3"/>
  <c r="AZ37" i="3"/>
  <c r="BA38" i="3"/>
  <c r="BL38" i="3"/>
  <c r="AZ38" i="3"/>
  <c r="BA39" i="3"/>
  <c r="BL39" i="3"/>
  <c r="AZ39" i="3"/>
  <c r="BA40" i="3"/>
  <c r="BL40" i="3"/>
  <c r="AZ40" i="3"/>
  <c r="BA41" i="3"/>
  <c r="BL41" i="3"/>
  <c r="AZ41" i="3"/>
  <c r="BA42" i="3"/>
  <c r="BL42" i="3"/>
  <c r="AZ42" i="3"/>
  <c r="BA43" i="3"/>
  <c r="BL43" i="3"/>
  <c r="AZ43" i="3"/>
  <c r="BA44" i="3"/>
  <c r="BL44" i="3"/>
  <c r="AZ44" i="3"/>
  <c r="BA45" i="3"/>
  <c r="BL45" i="3"/>
  <c r="AZ45" i="3"/>
  <c r="BA46" i="3"/>
  <c r="BL46" i="3"/>
  <c r="AZ46" i="3"/>
  <c r="BA47" i="3"/>
  <c r="BL47" i="3"/>
  <c r="AZ47" i="3"/>
  <c r="BA48" i="3"/>
  <c r="BL48" i="3"/>
  <c r="AZ48" i="3"/>
  <c r="BA49" i="3"/>
  <c r="BL49" i="3"/>
  <c r="AZ49" i="3"/>
  <c r="BA50" i="3"/>
  <c r="BL50" i="3"/>
  <c r="AZ50" i="3"/>
  <c r="BA51" i="3"/>
  <c r="BL51" i="3"/>
  <c r="AZ51" i="3"/>
  <c r="BA52" i="3"/>
  <c r="BL52" i="3"/>
  <c r="AZ52" i="3"/>
  <c r="BA53" i="3"/>
  <c r="BL53" i="3"/>
  <c r="AZ53" i="3"/>
  <c r="BA54" i="3"/>
  <c r="BL54" i="3"/>
  <c r="AZ54" i="3"/>
  <c r="BA55" i="3"/>
  <c r="BL55" i="3"/>
  <c r="AZ55" i="3"/>
  <c r="BA56" i="3"/>
  <c r="BL56" i="3"/>
  <c r="AZ56" i="3"/>
  <c r="BA57" i="3"/>
  <c r="BL57" i="3"/>
  <c r="AZ57" i="3"/>
  <c r="BA58" i="3"/>
  <c r="BL58" i="3"/>
  <c r="AZ58" i="3"/>
  <c r="BA59" i="3"/>
  <c r="BL59" i="3"/>
  <c r="AZ59" i="3"/>
  <c r="BA60" i="3"/>
  <c r="BL60" i="3"/>
  <c r="AZ60" i="3"/>
  <c r="BA61" i="3"/>
  <c r="BL61" i="3"/>
  <c r="AZ61" i="3"/>
  <c r="BA62" i="3"/>
  <c r="BL62" i="3"/>
  <c r="AZ62" i="3"/>
  <c r="BA63" i="3"/>
  <c r="BL63" i="3"/>
  <c r="AZ63" i="3"/>
  <c r="BA64" i="3"/>
  <c r="BL64" i="3"/>
  <c r="AZ64" i="3"/>
  <c r="BA65" i="3"/>
  <c r="BL65" i="3"/>
  <c r="AZ65" i="3"/>
  <c r="BA66" i="3"/>
  <c r="BL66" i="3"/>
  <c r="AZ66" i="3"/>
  <c r="BA67" i="3"/>
  <c r="BL67" i="3"/>
  <c r="AZ67" i="3"/>
  <c r="BA68" i="3"/>
  <c r="BL68" i="3"/>
  <c r="AZ68" i="3"/>
  <c r="BA69" i="3"/>
  <c r="BL69" i="3"/>
  <c r="AZ69" i="3"/>
  <c r="BA70" i="3"/>
  <c r="BL70" i="3"/>
  <c r="AZ70" i="3"/>
  <c r="BA71" i="3"/>
  <c r="BL71" i="3"/>
  <c r="AZ71" i="3"/>
  <c r="BA72" i="3"/>
  <c r="BL72" i="3"/>
  <c r="AZ72" i="3"/>
  <c r="BA73" i="3"/>
  <c r="BL73" i="3"/>
  <c r="AZ73" i="3"/>
  <c r="BA74" i="3"/>
  <c r="BL74" i="3"/>
  <c r="AZ74" i="3"/>
  <c r="BA75" i="3"/>
  <c r="BL75" i="3"/>
  <c r="AZ75" i="3"/>
  <c r="BA76" i="3"/>
  <c r="BL76" i="3"/>
  <c r="AZ76" i="3"/>
  <c r="BA77" i="3"/>
  <c r="BL77" i="3"/>
  <c r="AZ77" i="3"/>
  <c r="BA78" i="3"/>
  <c r="BL78" i="3"/>
  <c r="AZ78" i="3"/>
  <c r="BA79" i="3"/>
  <c r="BL79" i="3"/>
  <c r="AZ79" i="3"/>
  <c r="BA80" i="3"/>
  <c r="BL80" i="3"/>
  <c r="AZ80" i="3"/>
  <c r="BA81" i="3"/>
  <c r="BL81" i="3"/>
  <c r="AZ81" i="3"/>
  <c r="BA82" i="3"/>
  <c r="BL82" i="3"/>
  <c r="AZ82" i="3"/>
  <c r="BA83" i="3"/>
  <c r="BL83" i="3"/>
  <c r="AZ83" i="3"/>
  <c r="BA84" i="3"/>
  <c r="BL84" i="3"/>
  <c r="AZ84" i="3"/>
  <c r="BA85" i="3"/>
  <c r="BL85" i="3"/>
  <c r="AZ85" i="3"/>
  <c r="BA86" i="3"/>
  <c r="BL86" i="3"/>
  <c r="AZ86" i="3"/>
  <c r="BA87" i="3"/>
  <c r="BL87" i="3"/>
  <c r="AZ87" i="3"/>
  <c r="BA88" i="3"/>
  <c r="BL88" i="3"/>
  <c r="AZ88" i="3"/>
  <c r="BA89" i="3"/>
  <c r="BL89" i="3"/>
  <c r="AZ89" i="3"/>
  <c r="BA90" i="3"/>
  <c r="BL90" i="3"/>
  <c r="AZ90" i="3"/>
  <c r="BA91" i="3"/>
  <c r="BL91" i="3"/>
  <c r="AZ91" i="3"/>
  <c r="BA92" i="3"/>
  <c r="BL92" i="3"/>
  <c r="AZ92" i="3"/>
  <c r="BA93" i="3"/>
  <c r="BL93" i="3"/>
  <c r="AZ93" i="3"/>
  <c r="BA94" i="3"/>
  <c r="BL94" i="3"/>
  <c r="AZ94" i="3"/>
  <c r="BA95" i="3"/>
  <c r="BL95" i="3"/>
  <c r="AZ95" i="3"/>
  <c r="BA96" i="3"/>
  <c r="BL96" i="3"/>
  <c r="AZ96" i="3"/>
  <c r="BA97" i="3"/>
  <c r="BL97" i="3"/>
  <c r="AZ97" i="3"/>
  <c r="BA98" i="3"/>
  <c r="BL98" i="3"/>
  <c r="AZ98" i="3"/>
  <c r="BA99" i="3"/>
  <c r="BL99" i="3"/>
  <c r="AZ99" i="3"/>
  <c r="BA100" i="3"/>
  <c r="BL100" i="3"/>
  <c r="AZ100" i="3"/>
  <c r="BA101" i="3"/>
  <c r="BL101" i="3"/>
  <c r="AZ101" i="3"/>
  <c r="BA102" i="3"/>
  <c r="BL102" i="3"/>
  <c r="AZ102" i="3"/>
  <c r="BA103" i="3"/>
  <c r="BL103" i="3"/>
  <c r="AZ103" i="3"/>
  <c r="BA104" i="3"/>
  <c r="BL104" i="3"/>
  <c r="AZ104" i="3"/>
  <c r="BA105" i="3"/>
  <c r="BL105" i="3"/>
  <c r="AZ105" i="3"/>
  <c r="BA106" i="3"/>
  <c r="BL106" i="3"/>
  <c r="AZ106" i="3"/>
  <c r="BA107" i="3"/>
  <c r="BL107" i="3"/>
  <c r="AZ107" i="3"/>
  <c r="BA108" i="3"/>
  <c r="BL108" i="3"/>
  <c r="AZ108" i="3"/>
  <c r="BA109" i="3"/>
  <c r="BL109" i="3"/>
  <c r="AZ109" i="3"/>
  <c r="BA110" i="3"/>
  <c r="BL110" i="3"/>
  <c r="AZ110" i="3"/>
  <c r="BA111" i="3"/>
  <c r="BL111" i="3"/>
  <c r="AZ111" i="3"/>
  <c r="BA112" i="3"/>
  <c r="BL112" i="3"/>
  <c r="AZ112" i="3"/>
  <c r="BA113" i="3"/>
  <c r="BL113" i="3"/>
  <c r="AZ113" i="3"/>
  <c r="BA114" i="3"/>
  <c r="BL114" i="3"/>
  <c r="AZ114" i="3"/>
  <c r="BA115" i="3"/>
  <c r="BL115" i="3"/>
  <c r="AZ115" i="3"/>
  <c r="BA116" i="3"/>
  <c r="BL116" i="3"/>
  <c r="AZ116" i="3"/>
  <c r="BA117" i="3"/>
  <c r="BL117" i="3"/>
  <c r="AZ117" i="3"/>
  <c r="BA118" i="3"/>
  <c r="BL118" i="3"/>
  <c r="AZ118" i="3"/>
  <c r="BA119" i="3"/>
  <c r="BL119" i="3"/>
  <c r="AZ119" i="3"/>
  <c r="BA120" i="3"/>
  <c r="BL120" i="3"/>
  <c r="AZ120" i="3"/>
  <c r="BA121" i="3"/>
  <c r="BL121" i="3"/>
  <c r="AZ121" i="3"/>
  <c r="BA122" i="3"/>
  <c r="BL122" i="3"/>
  <c r="AZ122" i="3"/>
  <c r="BA123" i="3"/>
  <c r="BL123" i="3"/>
  <c r="AZ123" i="3"/>
  <c r="BA124" i="3"/>
  <c r="BL124" i="3"/>
  <c r="AZ124" i="3"/>
  <c r="BA125" i="3"/>
  <c r="BL125" i="3"/>
  <c r="AZ125" i="3"/>
  <c r="BA126" i="3"/>
  <c r="BL126" i="3"/>
  <c r="AZ126" i="3"/>
  <c r="BA127" i="3"/>
  <c r="BL127" i="3"/>
  <c r="AZ127" i="3"/>
  <c r="BA128" i="3"/>
  <c r="BL128" i="3"/>
  <c r="AZ128" i="3"/>
  <c r="BA129" i="3"/>
  <c r="BL129" i="3"/>
  <c r="AZ129" i="3"/>
  <c r="BA130" i="3"/>
  <c r="BL130" i="3"/>
  <c r="AZ130" i="3"/>
  <c r="BA131" i="3"/>
  <c r="BL131" i="3"/>
  <c r="AZ131" i="3"/>
  <c r="BA132" i="3"/>
  <c r="BL132" i="3"/>
  <c r="AZ132" i="3"/>
  <c r="BA133" i="3"/>
  <c r="BL133" i="3"/>
  <c r="AZ133" i="3"/>
  <c r="BA134" i="3"/>
  <c r="BL134" i="3"/>
  <c r="AZ134" i="3"/>
  <c r="BA135" i="3"/>
  <c r="BL135" i="3"/>
  <c r="AZ135" i="3"/>
  <c r="BA136" i="3"/>
  <c r="BL136" i="3"/>
  <c r="AZ136" i="3"/>
  <c r="BA137" i="3"/>
  <c r="BL137" i="3"/>
  <c r="AZ137" i="3"/>
  <c r="BA138" i="3"/>
  <c r="BL138" i="3"/>
  <c r="AZ138" i="3"/>
  <c r="BA139" i="3"/>
  <c r="BL139" i="3"/>
  <c r="AZ139" i="3"/>
  <c r="BA140" i="3"/>
  <c r="BL140" i="3"/>
  <c r="AZ140" i="3"/>
  <c r="BA141" i="3"/>
  <c r="BL141" i="3"/>
  <c r="AZ141" i="3"/>
  <c r="BA142" i="3"/>
  <c r="BL142" i="3"/>
  <c r="AZ142" i="3"/>
  <c r="BA143" i="3"/>
  <c r="BL143" i="3"/>
  <c r="AZ143" i="3"/>
  <c r="BA144" i="3"/>
  <c r="BL144" i="3"/>
  <c r="AZ144" i="3"/>
  <c r="BA145" i="3"/>
  <c r="BL145" i="3"/>
  <c r="AZ145" i="3"/>
  <c r="BA146" i="3"/>
  <c r="BL146" i="3"/>
  <c r="AZ146" i="3"/>
  <c r="BA147" i="3"/>
  <c r="BL147" i="3"/>
  <c r="AZ147" i="3"/>
  <c r="BA148" i="3"/>
  <c r="BL148" i="3"/>
  <c r="AZ148" i="3"/>
  <c r="BA149" i="3"/>
  <c r="BL149" i="3"/>
  <c r="AZ149" i="3"/>
  <c r="BA150" i="3"/>
  <c r="BL150" i="3"/>
  <c r="AZ150" i="3"/>
  <c r="BA151" i="3"/>
  <c r="BL151" i="3"/>
  <c r="AZ151" i="3"/>
  <c r="BA152" i="3"/>
  <c r="BL152" i="3"/>
  <c r="AZ152" i="3"/>
  <c r="BA153" i="3"/>
  <c r="BL153" i="3"/>
  <c r="AZ153" i="3"/>
  <c r="BA154" i="3"/>
  <c r="BL154" i="3"/>
  <c r="AZ154" i="3"/>
  <c r="BA155" i="3"/>
  <c r="BL155" i="3"/>
  <c r="AZ155" i="3"/>
  <c r="BA156" i="3"/>
  <c r="BL156" i="3"/>
  <c r="AZ156" i="3"/>
  <c r="BA157" i="3"/>
  <c r="BL157" i="3"/>
  <c r="AZ157" i="3"/>
  <c r="BA158" i="3"/>
  <c r="BL158" i="3"/>
  <c r="AZ158" i="3"/>
  <c r="BA159" i="3"/>
  <c r="BL159" i="3"/>
  <c r="AZ159" i="3"/>
  <c r="BA160" i="3"/>
  <c r="BL160" i="3"/>
  <c r="AZ160" i="3"/>
  <c r="BA161" i="3"/>
  <c r="BL161" i="3"/>
  <c r="AZ161" i="3"/>
  <c r="BA162" i="3"/>
  <c r="BL162" i="3"/>
  <c r="AZ162" i="3"/>
  <c r="BA163" i="3"/>
  <c r="BL163" i="3"/>
  <c r="AZ163" i="3"/>
  <c r="BA164" i="3"/>
  <c r="BL164" i="3"/>
  <c r="AZ164" i="3"/>
  <c r="BA165" i="3"/>
  <c r="BL165" i="3"/>
  <c r="AZ165" i="3"/>
  <c r="BA166" i="3"/>
  <c r="BL166" i="3"/>
  <c r="AZ166" i="3"/>
  <c r="BA167" i="3"/>
  <c r="BL167" i="3"/>
  <c r="AZ167" i="3"/>
  <c r="BA168" i="3"/>
  <c r="BL168" i="3"/>
  <c r="AZ168" i="3"/>
  <c r="BA169" i="3"/>
  <c r="BL169" i="3"/>
  <c r="AZ169" i="3"/>
  <c r="BA170" i="3"/>
  <c r="BL170" i="3"/>
  <c r="AZ170" i="3"/>
  <c r="BA171" i="3"/>
  <c r="BL171" i="3"/>
  <c r="AZ171" i="3"/>
  <c r="BA172" i="3"/>
  <c r="BL172" i="3"/>
  <c r="AZ172" i="3"/>
  <c r="BA173" i="3"/>
  <c r="BL173" i="3"/>
  <c r="AZ173" i="3"/>
  <c r="BA174" i="3"/>
  <c r="BL174" i="3"/>
  <c r="AZ174" i="3"/>
  <c r="BA175" i="3"/>
  <c r="BL175" i="3"/>
  <c r="AZ175" i="3"/>
  <c r="BA176" i="3"/>
  <c r="BL176" i="3"/>
  <c r="AZ176" i="3"/>
  <c r="BA177" i="3"/>
  <c r="BL177" i="3"/>
  <c r="AZ177" i="3"/>
  <c r="BA178" i="3"/>
  <c r="BL178" i="3"/>
  <c r="AZ178" i="3"/>
  <c r="BA179" i="3"/>
  <c r="BL179" i="3"/>
  <c r="AZ179" i="3"/>
  <c r="BA180" i="3"/>
  <c r="BL180" i="3"/>
  <c r="AZ180" i="3"/>
  <c r="BA181" i="3"/>
  <c r="BL181" i="3"/>
  <c r="AZ181" i="3"/>
  <c r="BA182" i="3"/>
  <c r="BL182" i="3"/>
  <c r="AZ182" i="3"/>
  <c r="BA183" i="3"/>
  <c r="BL183" i="3"/>
  <c r="AZ183" i="3"/>
  <c r="BA184" i="3"/>
  <c r="BL184" i="3"/>
  <c r="AZ184" i="3"/>
  <c r="BA185" i="3"/>
  <c r="BL185" i="3"/>
  <c r="AZ185" i="3"/>
  <c r="BA186" i="3"/>
  <c r="BL186" i="3"/>
  <c r="AZ186" i="3"/>
  <c r="BA187" i="3"/>
  <c r="BL187" i="3"/>
  <c r="AZ187" i="3"/>
  <c r="BA188" i="3"/>
  <c r="BL188" i="3"/>
  <c r="AZ188" i="3"/>
  <c r="BA189" i="3"/>
  <c r="BL189" i="3"/>
  <c r="AZ189" i="3"/>
  <c r="BA190" i="3"/>
  <c r="BL190" i="3"/>
  <c r="AZ190" i="3"/>
  <c r="BA191" i="3"/>
  <c r="BL191" i="3"/>
  <c r="AZ191" i="3"/>
  <c r="BA192" i="3"/>
  <c r="BL192" i="3"/>
  <c r="AZ192" i="3"/>
  <c r="BA193" i="3"/>
  <c r="BL193" i="3"/>
  <c r="AZ193" i="3"/>
  <c r="BA194" i="3"/>
  <c r="BL194" i="3"/>
  <c r="AZ194" i="3"/>
  <c r="BA195" i="3"/>
  <c r="BL195" i="3"/>
  <c r="AZ195" i="3"/>
  <c r="BA196" i="3"/>
  <c r="BL196" i="3"/>
  <c r="AZ196" i="3"/>
  <c r="BA197" i="3"/>
  <c r="BL197" i="3"/>
  <c r="AZ197" i="3"/>
  <c r="BA198" i="3"/>
  <c r="BL198" i="3"/>
  <c r="AZ198" i="3"/>
  <c r="BA199" i="3"/>
  <c r="BL199" i="3"/>
  <c r="AZ199" i="3"/>
  <c r="BA200" i="3"/>
  <c r="BL200" i="3"/>
  <c r="AZ200" i="3"/>
  <c r="BA201" i="3"/>
  <c r="BL201" i="3"/>
  <c r="AZ201" i="3"/>
  <c r="BA202" i="3"/>
  <c r="BL202" i="3"/>
  <c r="AZ202" i="3"/>
  <c r="BA203" i="3"/>
  <c r="BL203" i="3"/>
  <c r="AZ203" i="3"/>
  <c r="BA204" i="3"/>
  <c r="BL204" i="3"/>
  <c r="AZ204" i="3"/>
  <c r="BA205" i="3"/>
  <c r="BL205" i="3"/>
  <c r="AZ205" i="3"/>
  <c r="BA206" i="3"/>
  <c r="BL206" i="3"/>
  <c r="AZ206" i="3"/>
  <c r="BA207" i="3"/>
  <c r="BL207" i="3"/>
  <c r="AZ207" i="3"/>
  <c r="BA208" i="3"/>
  <c r="BL208" i="3"/>
  <c r="AZ208" i="3"/>
  <c r="BA209" i="3"/>
  <c r="BL209" i="3"/>
  <c r="AZ209" i="3"/>
  <c r="BA210" i="3"/>
  <c r="BL210" i="3"/>
  <c r="AZ210" i="3"/>
  <c r="BA211" i="3"/>
  <c r="BL211" i="3"/>
  <c r="AZ211" i="3"/>
  <c r="BA212" i="3"/>
  <c r="BL212" i="3"/>
  <c r="AZ212" i="3"/>
  <c r="BA213" i="3"/>
  <c r="BL213" i="3"/>
  <c r="AZ213" i="3"/>
  <c r="BA214" i="3"/>
  <c r="BL214" i="3"/>
  <c r="AZ214" i="3"/>
  <c r="BA215" i="3"/>
  <c r="BL215" i="3"/>
  <c r="AZ215" i="3"/>
  <c r="BA216" i="3"/>
  <c r="BL216" i="3"/>
  <c r="AZ216" i="3"/>
  <c r="BA217" i="3"/>
  <c r="BL217" i="3"/>
  <c r="AZ217" i="3"/>
  <c r="BA218" i="3"/>
  <c r="BL218" i="3"/>
  <c r="AZ218" i="3"/>
  <c r="BA219" i="3"/>
  <c r="BL219" i="3"/>
  <c r="AZ219" i="3"/>
  <c r="BA220" i="3"/>
  <c r="BL220" i="3"/>
  <c r="AZ220" i="3"/>
  <c r="BA221" i="3"/>
  <c r="BL221" i="3"/>
  <c r="AZ221" i="3"/>
  <c r="BA222" i="3"/>
  <c r="BL222" i="3"/>
  <c r="AZ222" i="3"/>
  <c r="BA223" i="3"/>
  <c r="BL223" i="3"/>
  <c r="AZ223" i="3"/>
  <c r="BA224" i="3"/>
  <c r="BL224" i="3"/>
  <c r="AZ224" i="3"/>
  <c r="BA225" i="3"/>
  <c r="BL225" i="3"/>
  <c r="AZ225" i="3"/>
  <c r="BA226" i="3"/>
  <c r="BL226" i="3"/>
  <c r="AZ226" i="3"/>
  <c r="BA227" i="3"/>
  <c r="BL227" i="3"/>
  <c r="AZ227" i="3"/>
  <c r="BA228" i="3"/>
  <c r="BL228" i="3"/>
  <c r="AZ228" i="3"/>
  <c r="BA229" i="3"/>
  <c r="BL229" i="3"/>
  <c r="AZ229" i="3"/>
  <c r="BA230" i="3"/>
  <c r="BL230" i="3"/>
  <c r="AZ230" i="3"/>
  <c r="BA231" i="3"/>
  <c r="BL231" i="3"/>
  <c r="AZ231" i="3"/>
  <c r="BA232" i="3"/>
  <c r="BL232" i="3"/>
  <c r="AZ232" i="3"/>
  <c r="BA233" i="3"/>
  <c r="BL233" i="3"/>
  <c r="AZ233" i="3"/>
  <c r="BA234" i="3"/>
  <c r="BL234" i="3"/>
  <c r="AZ234" i="3"/>
  <c r="BA235" i="3"/>
  <c r="BL235" i="3"/>
  <c r="AZ235" i="3"/>
  <c r="BA236" i="3"/>
  <c r="BL236" i="3"/>
  <c r="AZ236" i="3"/>
  <c r="BA237" i="3"/>
  <c r="BL237" i="3"/>
  <c r="AZ237" i="3"/>
  <c r="BA238" i="3"/>
  <c r="BL238" i="3"/>
  <c r="AZ238" i="3"/>
  <c r="BA239" i="3"/>
  <c r="BL239" i="3"/>
  <c r="AZ239" i="3"/>
  <c r="BA240" i="3"/>
  <c r="BL240" i="3"/>
  <c r="AZ240" i="3"/>
  <c r="BA241" i="3"/>
  <c r="BL241" i="3"/>
  <c r="AZ241" i="3"/>
  <c r="BA242" i="3"/>
  <c r="BL242" i="3"/>
  <c r="AZ242" i="3"/>
  <c r="BA243" i="3"/>
  <c r="BL243" i="3"/>
  <c r="AZ243" i="3"/>
  <c r="BA244" i="3"/>
  <c r="BL244" i="3"/>
  <c r="AZ244" i="3"/>
  <c r="BA245" i="3"/>
  <c r="BL245" i="3"/>
  <c r="AZ245" i="3"/>
  <c r="BA246" i="3"/>
  <c r="BL246" i="3"/>
  <c r="AZ246" i="3"/>
  <c r="BA247" i="3"/>
  <c r="BL247" i="3"/>
  <c r="AZ247" i="3"/>
  <c r="BA248" i="3"/>
  <c r="BL248" i="3"/>
  <c r="AZ248" i="3"/>
  <c r="BA249" i="3"/>
  <c r="BL249" i="3"/>
  <c r="AZ249" i="3"/>
  <c r="BA250" i="3"/>
  <c r="BL250" i="3"/>
  <c r="AZ250" i="3"/>
  <c r="BA251" i="3"/>
  <c r="BL251" i="3"/>
  <c r="AZ251" i="3"/>
  <c r="BA252" i="3"/>
  <c r="BL252" i="3"/>
  <c r="AZ252" i="3"/>
  <c r="BA253" i="3"/>
  <c r="BL253" i="3"/>
  <c r="AZ253" i="3"/>
  <c r="BA254" i="3"/>
  <c r="BL254" i="3"/>
  <c r="AZ254" i="3"/>
  <c r="BA255" i="3"/>
  <c r="BL255" i="3"/>
  <c r="AZ255" i="3"/>
  <c r="BA256" i="3"/>
  <c r="BL256" i="3"/>
  <c r="AZ256" i="3"/>
  <c r="BA257" i="3"/>
  <c r="BL257" i="3"/>
  <c r="AZ257" i="3"/>
  <c r="BA258" i="3"/>
  <c r="BL258" i="3"/>
  <c r="AZ258" i="3"/>
  <c r="BA259" i="3"/>
  <c r="BL259" i="3"/>
  <c r="AZ259" i="3"/>
  <c r="BA260" i="3"/>
  <c r="BL260" i="3"/>
  <c r="AZ260" i="3"/>
  <c r="BA261" i="3"/>
  <c r="BL261" i="3"/>
  <c r="AZ261" i="3"/>
  <c r="BA262" i="3"/>
  <c r="BL262" i="3"/>
  <c r="AZ262" i="3"/>
  <c r="BA263" i="3"/>
  <c r="BL263" i="3"/>
  <c r="AZ263" i="3"/>
  <c r="BA264" i="3"/>
  <c r="BL264" i="3"/>
  <c r="AZ264" i="3"/>
  <c r="BA265" i="3"/>
  <c r="BL265" i="3"/>
  <c r="AZ265" i="3"/>
  <c r="BA266" i="3"/>
  <c r="BL266" i="3"/>
  <c r="AZ266" i="3"/>
  <c r="BA267" i="3"/>
  <c r="BL267" i="3"/>
  <c r="AZ267" i="3"/>
  <c r="BA268" i="3"/>
  <c r="BL268" i="3"/>
  <c r="AZ268" i="3"/>
  <c r="BA269" i="3"/>
  <c r="BL269" i="3"/>
  <c r="AZ269" i="3"/>
  <c r="BA270" i="3"/>
  <c r="BL270" i="3"/>
  <c r="AZ270" i="3"/>
  <c r="BA271" i="3"/>
  <c r="BL271" i="3"/>
  <c r="AZ271" i="3"/>
  <c r="BA272" i="3"/>
  <c r="BL272" i="3"/>
  <c r="AZ272" i="3"/>
  <c r="BA273" i="3"/>
  <c r="BL273" i="3"/>
  <c r="AZ273" i="3"/>
  <c r="BA274" i="3"/>
  <c r="BL274" i="3"/>
  <c r="AZ274" i="3"/>
  <c r="BA275" i="3"/>
  <c r="BL275" i="3"/>
  <c r="AZ275" i="3"/>
  <c r="BA276" i="3"/>
  <c r="BL276" i="3"/>
  <c r="AZ276" i="3"/>
  <c r="BA277" i="3"/>
  <c r="BL277" i="3"/>
  <c r="AZ277" i="3"/>
  <c r="BA278" i="3"/>
  <c r="BL278" i="3"/>
  <c r="AZ278" i="3"/>
  <c r="BA279" i="3"/>
  <c r="BL279" i="3"/>
  <c r="AZ279" i="3"/>
  <c r="BA280" i="3"/>
  <c r="BL280" i="3"/>
  <c r="AZ280" i="3"/>
  <c r="BA281" i="3"/>
  <c r="BL281" i="3"/>
  <c r="AZ281" i="3"/>
  <c r="BA282" i="3"/>
  <c r="BL282" i="3"/>
  <c r="AZ282" i="3"/>
  <c r="BA283" i="3"/>
  <c r="BL283" i="3"/>
  <c r="AZ283" i="3"/>
  <c r="BA284" i="3"/>
  <c r="BL284" i="3"/>
  <c r="AZ284" i="3"/>
  <c r="BA285" i="3"/>
  <c r="BL285" i="3"/>
  <c r="AZ285" i="3"/>
  <c r="BA286" i="3"/>
  <c r="BL286" i="3"/>
  <c r="AZ286" i="3"/>
  <c r="BA287" i="3"/>
  <c r="BL287" i="3"/>
  <c r="AZ287" i="3"/>
  <c r="BA288" i="3"/>
  <c r="BL288" i="3"/>
  <c r="AZ288" i="3"/>
  <c r="BA289" i="3"/>
  <c r="BL289" i="3"/>
  <c r="AZ289" i="3"/>
  <c r="BA290" i="3"/>
  <c r="BL290" i="3"/>
  <c r="AZ290" i="3"/>
  <c r="BA291" i="3"/>
  <c r="BL291" i="3"/>
  <c r="AZ291" i="3"/>
  <c r="BA292" i="3"/>
  <c r="BL292" i="3"/>
  <c r="AZ292" i="3"/>
  <c r="BA293" i="3"/>
  <c r="BL293" i="3"/>
  <c r="AZ293" i="3"/>
  <c r="BA294" i="3"/>
  <c r="BL294" i="3"/>
  <c r="AZ294" i="3"/>
  <c r="BA295" i="3"/>
  <c r="BL295" i="3"/>
  <c r="AZ295" i="3"/>
  <c r="BA296" i="3"/>
  <c r="BL296" i="3"/>
  <c r="AZ296" i="3"/>
  <c r="BA297" i="3"/>
  <c r="BL297" i="3"/>
  <c r="AZ297" i="3"/>
  <c r="BA298" i="3"/>
  <c r="BL298" i="3"/>
  <c r="AZ298" i="3"/>
  <c r="BA299" i="3"/>
  <c r="BL299" i="3"/>
  <c r="AZ299" i="3"/>
  <c r="BA300" i="3"/>
  <c r="BL300" i="3"/>
  <c r="AZ300" i="3"/>
  <c r="BA301" i="3"/>
  <c r="BL301" i="3"/>
  <c r="AZ301" i="3"/>
  <c r="BA302" i="3"/>
  <c r="BL302" i="3"/>
  <c r="AZ302" i="3"/>
  <c r="BA303" i="3"/>
  <c r="BL303" i="3"/>
  <c r="AZ303" i="3"/>
  <c r="BA304" i="3"/>
  <c r="BL304" i="3"/>
  <c r="AZ304" i="3"/>
  <c r="BA305" i="3"/>
  <c r="BL305" i="3"/>
  <c r="AZ305" i="3"/>
  <c r="BA306" i="3"/>
  <c r="BL306" i="3"/>
  <c r="AZ306" i="3"/>
  <c r="BA307" i="3"/>
  <c r="BL307" i="3"/>
  <c r="AZ307" i="3"/>
  <c r="BA308" i="3"/>
  <c r="BL308" i="3"/>
  <c r="AZ308" i="3"/>
  <c r="BA309" i="3"/>
  <c r="BL309" i="3"/>
  <c r="AZ309" i="3"/>
  <c r="BA310" i="3"/>
  <c r="BL310" i="3"/>
  <c r="AZ310" i="3"/>
  <c r="BA311" i="3"/>
  <c r="BL311" i="3"/>
  <c r="AZ311" i="3"/>
  <c r="BA312" i="3"/>
  <c r="BL312" i="3"/>
  <c r="AZ312" i="3"/>
  <c r="BA313" i="3"/>
  <c r="BL313" i="3"/>
  <c r="AZ313" i="3"/>
  <c r="BA314" i="3"/>
  <c r="BL314" i="3"/>
  <c r="AZ314" i="3"/>
  <c r="BA315" i="3"/>
  <c r="BL315" i="3"/>
  <c r="AZ315" i="3"/>
  <c r="BA316" i="3"/>
  <c r="BL316" i="3"/>
  <c r="AZ316" i="3"/>
  <c r="BA317" i="3"/>
  <c r="BL317" i="3"/>
  <c r="AZ317" i="3"/>
  <c r="BA318" i="3"/>
  <c r="BL318" i="3"/>
  <c r="AZ318" i="3"/>
  <c r="BA319" i="3"/>
  <c r="BL319" i="3"/>
  <c r="AZ319" i="3"/>
  <c r="BA320" i="3"/>
  <c r="BL320" i="3"/>
  <c r="AZ320" i="3"/>
  <c r="BA321" i="3"/>
  <c r="BL321" i="3"/>
  <c r="AZ321" i="3"/>
  <c r="BA322" i="3"/>
  <c r="BL322" i="3"/>
  <c r="AZ322" i="3"/>
  <c r="BA323" i="3"/>
  <c r="BL323" i="3"/>
  <c r="AZ323" i="3"/>
  <c r="BA324" i="3"/>
  <c r="BL324" i="3"/>
  <c r="AZ324" i="3"/>
  <c r="BA325" i="3"/>
  <c r="BL325" i="3"/>
  <c r="AZ325" i="3"/>
  <c r="BA326" i="3"/>
  <c r="BL326" i="3"/>
  <c r="AZ326" i="3"/>
  <c r="BA327" i="3"/>
  <c r="BL327" i="3"/>
  <c r="AZ327" i="3"/>
  <c r="BA328" i="3"/>
  <c r="BL328" i="3"/>
  <c r="AZ328" i="3"/>
  <c r="BA329" i="3"/>
  <c r="BL329" i="3"/>
  <c r="AZ329" i="3"/>
  <c r="BA330" i="3"/>
  <c r="BL330" i="3"/>
  <c r="AZ330" i="3"/>
  <c r="BA331" i="3"/>
  <c r="BL331" i="3"/>
  <c r="AZ331" i="3"/>
  <c r="BA332" i="3"/>
  <c r="BL332" i="3"/>
  <c r="AZ332" i="3"/>
  <c r="BA333" i="3"/>
  <c r="BL333" i="3"/>
  <c r="AZ333" i="3"/>
  <c r="BA334" i="3"/>
  <c r="BL334" i="3"/>
  <c r="AZ334" i="3"/>
  <c r="BA335" i="3"/>
  <c r="BL335" i="3"/>
  <c r="AZ335" i="3"/>
  <c r="BA336" i="3"/>
  <c r="BL336" i="3"/>
  <c r="AZ336" i="3"/>
  <c r="BA337" i="3"/>
  <c r="BL337" i="3"/>
  <c r="AZ337" i="3"/>
  <c r="BA338" i="3"/>
  <c r="BL338" i="3"/>
  <c r="AZ338" i="3"/>
  <c r="BA339" i="3"/>
  <c r="BL339" i="3"/>
  <c r="AZ339" i="3"/>
  <c r="BA340" i="3"/>
  <c r="BL340" i="3"/>
  <c r="AZ340" i="3"/>
  <c r="BA341" i="3"/>
  <c r="BL341" i="3"/>
  <c r="AZ341" i="3"/>
  <c r="BA342" i="3"/>
  <c r="BL342" i="3"/>
  <c r="AZ342" i="3"/>
  <c r="BA343" i="3"/>
  <c r="BL343" i="3"/>
  <c r="AZ343" i="3"/>
  <c r="BA344" i="3"/>
  <c r="BL344" i="3"/>
  <c r="AZ344" i="3"/>
  <c r="BA345" i="3"/>
  <c r="BL345" i="3"/>
  <c r="AZ345" i="3"/>
  <c r="BA346" i="3"/>
  <c r="BL346" i="3"/>
  <c r="AZ346" i="3"/>
  <c r="BA347" i="3"/>
  <c r="BL347" i="3"/>
  <c r="AZ347" i="3"/>
  <c r="BA348" i="3"/>
  <c r="BL348" i="3"/>
  <c r="AZ348" i="3"/>
  <c r="BA349" i="3"/>
  <c r="BL349" i="3"/>
  <c r="AZ349" i="3"/>
  <c r="BA350" i="3"/>
  <c r="BL350" i="3"/>
  <c r="AZ350" i="3"/>
  <c r="BA351" i="3"/>
  <c r="BL351" i="3"/>
  <c r="AZ351" i="3"/>
  <c r="BA352" i="3"/>
  <c r="BL352" i="3"/>
  <c r="AZ352" i="3"/>
  <c r="BA353" i="3"/>
  <c r="BL353" i="3"/>
  <c r="AZ353" i="3"/>
  <c r="BA354" i="3"/>
  <c r="BL354" i="3"/>
  <c r="AZ354" i="3"/>
  <c r="BA355" i="3"/>
  <c r="BL355" i="3"/>
  <c r="AZ355" i="3"/>
  <c r="BA356" i="3"/>
  <c r="BL356" i="3"/>
  <c r="AZ356" i="3"/>
  <c r="BA357" i="3"/>
  <c r="BL357" i="3"/>
  <c r="AZ357" i="3"/>
  <c r="BA358" i="3"/>
  <c r="BL358" i="3"/>
  <c r="AZ358" i="3"/>
  <c r="BA359" i="3"/>
  <c r="BL359" i="3"/>
  <c r="AZ359" i="3"/>
  <c r="BA360" i="3"/>
  <c r="BL360" i="3"/>
  <c r="AZ360" i="3"/>
  <c r="BA361" i="3"/>
  <c r="BL361" i="3"/>
  <c r="AZ361" i="3"/>
  <c r="BA362" i="3"/>
  <c r="BL362" i="3"/>
  <c r="AZ362" i="3"/>
  <c r="BA363" i="3"/>
  <c r="BL363" i="3"/>
  <c r="AZ363" i="3"/>
  <c r="BA364" i="3"/>
  <c r="BL364" i="3"/>
  <c r="AZ364" i="3"/>
  <c r="BA365" i="3"/>
  <c r="BL365" i="3"/>
  <c r="AZ365" i="3"/>
  <c r="BA366" i="3"/>
  <c r="BL366" i="3"/>
  <c r="AZ366" i="3"/>
  <c r="BA367" i="3"/>
  <c r="BL367" i="3"/>
  <c r="AZ367" i="3"/>
  <c r="BA368" i="3"/>
  <c r="BL368" i="3"/>
  <c r="AZ368" i="3"/>
  <c r="BA369" i="3"/>
  <c r="BL369" i="3"/>
  <c r="AZ369" i="3"/>
  <c r="BA370" i="3"/>
  <c r="BL370" i="3"/>
  <c r="AZ370" i="3"/>
  <c r="BA371" i="3"/>
  <c r="BL371" i="3"/>
  <c r="AZ371" i="3"/>
  <c r="BA372" i="3"/>
  <c r="BL372" i="3"/>
  <c r="AZ372" i="3"/>
  <c r="BA373" i="3"/>
  <c r="BL373" i="3"/>
  <c r="AZ373" i="3"/>
  <c r="BA374" i="3"/>
  <c r="BL374" i="3"/>
  <c r="AZ374" i="3"/>
  <c r="BA375" i="3"/>
  <c r="BL375" i="3"/>
  <c r="AZ375" i="3"/>
  <c r="BA376" i="3"/>
  <c r="BL376" i="3"/>
  <c r="AZ376" i="3"/>
  <c r="BA377" i="3"/>
  <c r="BL377" i="3"/>
  <c r="AZ377" i="3"/>
  <c r="BA378" i="3"/>
  <c r="BL378" i="3"/>
  <c r="AZ378" i="3"/>
  <c r="BA379" i="3"/>
  <c r="BL379" i="3"/>
  <c r="AZ379" i="3"/>
  <c r="BA380" i="3"/>
  <c r="BL380" i="3"/>
  <c r="AZ380" i="3"/>
  <c r="BA381" i="3"/>
  <c r="BL381" i="3"/>
  <c r="AZ381" i="3"/>
  <c r="BA382" i="3"/>
  <c r="BL382" i="3"/>
  <c r="AZ382" i="3"/>
  <c r="BA383" i="3"/>
  <c r="BL383" i="3"/>
  <c r="AZ383" i="3"/>
  <c r="BA384" i="3"/>
  <c r="BL384" i="3"/>
  <c r="AZ384" i="3"/>
  <c r="BA385" i="3"/>
  <c r="BL385" i="3"/>
  <c r="AZ385" i="3"/>
  <c r="BA386" i="3"/>
  <c r="BL386" i="3"/>
  <c r="AZ386" i="3"/>
  <c r="BA387" i="3"/>
  <c r="BL387" i="3"/>
  <c r="AZ387" i="3"/>
  <c r="BA388" i="3"/>
  <c r="BL388" i="3"/>
  <c r="AZ388" i="3"/>
  <c r="BA389" i="3"/>
  <c r="BL389" i="3"/>
  <c r="AZ389" i="3"/>
  <c r="BA390" i="3"/>
  <c r="BL390" i="3"/>
  <c r="AZ390" i="3"/>
  <c r="BA391" i="3"/>
  <c r="BL391" i="3"/>
  <c r="AZ391" i="3"/>
  <c r="BA392" i="3"/>
  <c r="BL392" i="3"/>
  <c r="AZ392" i="3"/>
  <c r="BA393" i="3"/>
  <c r="BL393" i="3"/>
  <c r="AZ393" i="3"/>
  <c r="BA394" i="3"/>
  <c r="BL394" i="3"/>
  <c r="AZ394" i="3"/>
  <c r="BA395" i="3"/>
  <c r="BL395" i="3"/>
  <c r="AZ395" i="3"/>
  <c r="BA396" i="3"/>
  <c r="BL396" i="3"/>
  <c r="AZ396" i="3"/>
  <c r="BA397" i="3"/>
  <c r="BL397" i="3"/>
  <c r="AZ397" i="3"/>
  <c r="BA398" i="3"/>
  <c r="BL398" i="3"/>
  <c r="AZ398" i="3"/>
  <c r="BA399" i="3"/>
  <c r="BL399" i="3"/>
  <c r="AZ399" i="3"/>
  <c r="BA400" i="3"/>
  <c r="BL400" i="3"/>
  <c r="AZ400" i="3"/>
  <c r="BA401" i="3"/>
  <c r="BL401" i="3"/>
  <c r="AZ401" i="3"/>
  <c r="BA402" i="3"/>
  <c r="BL402" i="3"/>
  <c r="AZ402" i="3"/>
  <c r="BA403" i="3"/>
  <c r="BL403" i="3"/>
  <c r="AZ403" i="3"/>
  <c r="BA404" i="3"/>
  <c r="BL404" i="3"/>
  <c r="AZ404" i="3"/>
  <c r="BA405" i="3"/>
  <c r="BL405" i="3"/>
  <c r="AZ405" i="3"/>
  <c r="BA406" i="3"/>
  <c r="BL406" i="3"/>
  <c r="AZ406" i="3"/>
  <c r="BA407" i="3"/>
  <c r="BL407" i="3"/>
  <c r="AZ407" i="3"/>
  <c r="BA408" i="3"/>
  <c r="BL408" i="3"/>
  <c r="AZ408" i="3"/>
  <c r="BA409" i="3"/>
  <c r="BL409" i="3"/>
  <c r="AZ409" i="3"/>
  <c r="BA410" i="3"/>
  <c r="BL410" i="3"/>
  <c r="AZ410" i="3"/>
  <c r="BA411" i="3"/>
  <c r="BL411" i="3"/>
  <c r="AZ411" i="3"/>
  <c r="BA412" i="3"/>
  <c r="BL412" i="3"/>
  <c r="AZ412" i="3"/>
  <c r="BA413" i="3"/>
  <c r="BL413" i="3"/>
  <c r="AZ413" i="3"/>
  <c r="BA414" i="3"/>
  <c r="BL414" i="3"/>
  <c r="AZ414" i="3"/>
  <c r="BA415" i="3"/>
  <c r="BL415" i="3"/>
  <c r="AZ415" i="3"/>
  <c r="BA416" i="3"/>
  <c r="BL416" i="3"/>
  <c r="AZ416" i="3"/>
  <c r="BA417" i="3"/>
  <c r="BL417" i="3"/>
  <c r="AZ417" i="3"/>
  <c r="BA418" i="3"/>
  <c r="BL418" i="3"/>
  <c r="AZ418" i="3"/>
  <c r="BA419" i="3"/>
  <c r="BL419" i="3"/>
  <c r="AZ419" i="3"/>
  <c r="BA420" i="3"/>
  <c r="BL420" i="3"/>
  <c r="AZ420" i="3"/>
  <c r="BA421" i="3"/>
  <c r="BL421" i="3"/>
  <c r="AZ421" i="3"/>
  <c r="BA422" i="3"/>
  <c r="BL422" i="3"/>
  <c r="AZ422" i="3"/>
  <c r="BA423" i="3"/>
  <c r="BL423" i="3"/>
  <c r="AZ423" i="3"/>
  <c r="BA424" i="3"/>
  <c r="BL424" i="3"/>
  <c r="AZ424" i="3"/>
  <c r="BA425" i="3"/>
  <c r="BL425" i="3"/>
  <c r="AZ425" i="3"/>
  <c r="BA426" i="3"/>
  <c r="BL426" i="3"/>
  <c r="AZ426" i="3"/>
  <c r="BA427" i="3"/>
  <c r="BL427" i="3"/>
  <c r="AZ427" i="3"/>
  <c r="BA428" i="3"/>
  <c r="BL428" i="3"/>
  <c r="AZ428" i="3"/>
  <c r="BA429" i="3"/>
  <c r="BL429" i="3"/>
  <c r="AZ429" i="3"/>
  <c r="BA430" i="3"/>
  <c r="BL430" i="3"/>
  <c r="AZ430" i="3"/>
  <c r="BA431" i="3"/>
  <c r="BL431" i="3"/>
  <c r="AZ431" i="3"/>
  <c r="BA432" i="3"/>
  <c r="BL432" i="3"/>
  <c r="AZ432" i="3"/>
  <c r="BA433" i="3"/>
  <c r="BL433" i="3"/>
  <c r="AZ433" i="3"/>
  <c r="BA434" i="3"/>
  <c r="BL434" i="3"/>
  <c r="AZ434" i="3"/>
  <c r="BA435" i="3"/>
  <c r="BL435" i="3"/>
  <c r="AZ435" i="3"/>
  <c r="BA436" i="3"/>
  <c r="BL436" i="3"/>
  <c r="AZ436" i="3"/>
  <c r="BA437" i="3"/>
  <c r="BL437" i="3"/>
  <c r="AZ437" i="3"/>
  <c r="BA438" i="3"/>
  <c r="BL438" i="3"/>
  <c r="AZ438" i="3"/>
  <c r="BA439" i="3"/>
  <c r="BL439" i="3"/>
  <c r="AZ439" i="3"/>
  <c r="BA440" i="3"/>
  <c r="BL440" i="3"/>
  <c r="AZ440" i="3"/>
  <c r="BA441" i="3"/>
  <c r="BL441" i="3"/>
  <c r="AZ441" i="3"/>
  <c r="BA442" i="3"/>
  <c r="BL442" i="3"/>
  <c r="AZ442" i="3"/>
  <c r="BA443" i="3"/>
  <c r="BL443" i="3"/>
  <c r="AZ443" i="3"/>
  <c r="BA444" i="3"/>
  <c r="BL444" i="3"/>
  <c r="AZ444" i="3"/>
  <c r="BA445" i="3"/>
  <c r="BL445" i="3"/>
  <c r="AZ445" i="3"/>
  <c r="BA446" i="3"/>
  <c r="BL446" i="3"/>
  <c r="AZ446" i="3"/>
  <c r="BA447" i="3"/>
  <c r="BL447" i="3"/>
  <c r="AZ447" i="3"/>
  <c r="BA448" i="3"/>
  <c r="BL448" i="3"/>
  <c r="AZ448" i="3"/>
  <c r="BA449" i="3"/>
  <c r="BL449" i="3"/>
  <c r="AZ449" i="3"/>
  <c r="BA450" i="3"/>
  <c r="BL450" i="3"/>
  <c r="AZ450" i="3"/>
  <c r="BA451" i="3"/>
  <c r="BL451" i="3"/>
  <c r="AZ451" i="3"/>
  <c r="BA452" i="3"/>
  <c r="BL452" i="3"/>
  <c r="AZ452" i="3"/>
  <c r="BA453" i="3"/>
  <c r="BL453" i="3"/>
  <c r="AZ453" i="3"/>
  <c r="BA454" i="3"/>
  <c r="BL454" i="3"/>
  <c r="AZ454" i="3"/>
  <c r="BA455" i="3"/>
  <c r="BL455" i="3"/>
  <c r="AZ455" i="3"/>
  <c r="BA456" i="3"/>
  <c r="BL456" i="3"/>
  <c r="AZ456" i="3"/>
  <c r="BA457" i="3"/>
  <c r="BL457" i="3"/>
  <c r="AZ457" i="3"/>
  <c r="BA458" i="3"/>
  <c r="BL458" i="3"/>
  <c r="AZ458" i="3"/>
  <c r="BA459" i="3"/>
  <c r="BL459" i="3"/>
  <c r="AZ459" i="3"/>
  <c r="BA460" i="3"/>
  <c r="BL460" i="3"/>
  <c r="AZ460" i="3"/>
  <c r="BA461" i="3"/>
  <c r="BL461" i="3"/>
  <c r="AZ461" i="3"/>
  <c r="BA462" i="3"/>
  <c r="BL462" i="3"/>
  <c r="AZ462" i="3"/>
  <c r="BA463" i="3"/>
  <c r="BL463" i="3"/>
  <c r="AZ463" i="3"/>
  <c r="BA464" i="3"/>
  <c r="BL464" i="3"/>
  <c r="AZ464" i="3"/>
  <c r="BA465" i="3"/>
  <c r="BL465" i="3"/>
  <c r="AZ465" i="3"/>
  <c r="BA466" i="3"/>
  <c r="BL466" i="3"/>
  <c r="AZ466" i="3"/>
  <c r="BA467" i="3"/>
  <c r="BL467" i="3"/>
  <c r="AZ467" i="3"/>
  <c r="BA468" i="3"/>
  <c r="BL468" i="3"/>
  <c r="AZ468" i="3"/>
  <c r="BA469" i="3"/>
  <c r="BL469" i="3"/>
  <c r="AZ469" i="3"/>
  <c r="BA470" i="3"/>
  <c r="BL470" i="3"/>
  <c r="AZ470" i="3"/>
  <c r="BA471" i="3"/>
  <c r="BL471" i="3"/>
  <c r="AZ471" i="3"/>
  <c r="BA472" i="3"/>
  <c r="BL472" i="3"/>
  <c r="AZ472" i="3"/>
  <c r="BA473" i="3"/>
  <c r="BL473" i="3"/>
  <c r="AZ473" i="3"/>
  <c r="BA474" i="3"/>
  <c r="BL474" i="3"/>
  <c r="AZ474" i="3"/>
  <c r="BA475" i="3"/>
  <c r="BL475" i="3"/>
  <c r="AZ475" i="3"/>
  <c r="BA476" i="3"/>
  <c r="BL476" i="3"/>
  <c r="AZ476" i="3"/>
  <c r="BA477" i="3"/>
  <c r="BL477" i="3"/>
  <c r="AZ477" i="3"/>
  <c r="BA478" i="3"/>
  <c r="BL478" i="3"/>
  <c r="AZ478" i="3"/>
  <c r="BA479" i="3"/>
  <c r="BL479" i="3"/>
  <c r="AZ479" i="3"/>
  <c r="BA480" i="3"/>
  <c r="BL480" i="3"/>
  <c r="AZ480" i="3"/>
  <c r="BA481" i="3"/>
  <c r="BL481" i="3"/>
  <c r="AZ481" i="3"/>
  <c r="BA482" i="3"/>
  <c r="BL482" i="3"/>
  <c r="AZ482" i="3"/>
  <c r="BA483" i="3"/>
  <c r="BL483" i="3"/>
  <c r="AZ483" i="3"/>
  <c r="BA484" i="3"/>
  <c r="BL484" i="3"/>
  <c r="AZ484" i="3"/>
  <c r="BA485" i="3"/>
  <c r="BL485" i="3"/>
  <c r="AZ485" i="3"/>
  <c r="BA486" i="3"/>
  <c r="BL486" i="3"/>
  <c r="AZ486" i="3"/>
  <c r="BA487" i="3"/>
  <c r="BL487" i="3"/>
  <c r="AZ487" i="3"/>
  <c r="BA488" i="3"/>
  <c r="BL488" i="3"/>
  <c r="AZ488" i="3"/>
  <c r="BA489" i="3"/>
  <c r="BL489" i="3"/>
  <c r="AZ489" i="3"/>
  <c r="BA490" i="3"/>
  <c r="BL490" i="3"/>
  <c r="AZ490" i="3"/>
  <c r="BA491" i="3"/>
  <c r="BL491" i="3"/>
  <c r="AZ491" i="3"/>
  <c r="BA492" i="3"/>
  <c r="BL492" i="3"/>
  <c r="AZ492" i="3"/>
  <c r="BA493" i="3"/>
  <c r="BL493" i="3"/>
  <c r="AZ493" i="3"/>
  <c r="BA494" i="3"/>
  <c r="BL494" i="3"/>
  <c r="AZ494" i="3"/>
  <c r="BA495" i="3"/>
  <c r="BL495" i="3"/>
  <c r="AZ495" i="3"/>
  <c r="BA496" i="3"/>
  <c r="BL496" i="3"/>
  <c r="AZ496" i="3"/>
  <c r="BA497" i="3"/>
  <c r="BL497" i="3"/>
  <c r="AZ497" i="3"/>
  <c r="BA498" i="3"/>
  <c r="BL498" i="3"/>
  <c r="AZ498" i="3"/>
  <c r="BA499" i="3"/>
  <c r="BL499" i="3"/>
  <c r="AZ499" i="3"/>
  <c r="BA500" i="3"/>
  <c r="BL500" i="3"/>
  <c r="AZ500" i="3"/>
  <c r="BA501" i="3"/>
  <c r="BL501" i="3"/>
  <c r="AZ501" i="3"/>
  <c r="BA502" i="3"/>
  <c r="BL502" i="3"/>
  <c r="AZ502" i="3"/>
  <c r="BA503" i="3"/>
  <c r="BL503" i="3"/>
  <c r="AZ503" i="3"/>
  <c r="BA504" i="3"/>
  <c r="BL504" i="3"/>
  <c r="AZ504" i="3"/>
  <c r="BA505" i="3"/>
  <c r="BL505" i="3"/>
  <c r="AZ505" i="3"/>
  <c r="BA506" i="3"/>
  <c r="BL506" i="3"/>
  <c r="AZ506" i="3"/>
  <c r="BA507" i="3"/>
  <c r="BL507" i="3"/>
  <c r="AZ507" i="3"/>
  <c r="BA508" i="3"/>
  <c r="BL508" i="3"/>
  <c r="AZ508" i="3"/>
  <c r="BA509" i="3"/>
  <c r="BL509" i="3"/>
  <c r="AZ509" i="3"/>
  <c r="BA510" i="3"/>
  <c r="BL510" i="3"/>
  <c r="AZ510" i="3"/>
  <c r="BA511" i="3"/>
  <c r="BL511" i="3"/>
  <c r="AZ511" i="3"/>
  <c r="BA512" i="3"/>
  <c r="BL512" i="3"/>
  <c r="AZ512" i="3"/>
  <c r="BA513" i="3"/>
  <c r="BL513" i="3"/>
  <c r="AZ513" i="3"/>
  <c r="BA514" i="3"/>
  <c r="BL514" i="3"/>
  <c r="AZ514" i="3"/>
  <c r="BA515" i="3"/>
  <c r="BL515" i="3"/>
  <c r="AZ515" i="3"/>
  <c r="BA516" i="3"/>
  <c r="BL516" i="3"/>
  <c r="AZ516" i="3"/>
  <c r="BA517" i="3"/>
  <c r="BL517" i="3"/>
  <c r="AZ517" i="3"/>
  <c r="BA518" i="3"/>
  <c r="BL518" i="3"/>
  <c r="AZ518" i="3"/>
  <c r="BA519" i="3"/>
  <c r="BL519" i="3"/>
  <c r="AZ519" i="3"/>
  <c r="BA520" i="3"/>
  <c r="BL520" i="3"/>
  <c r="AZ520" i="3"/>
  <c r="BA521" i="3"/>
  <c r="BL521" i="3"/>
  <c r="AZ521" i="3"/>
  <c r="BA522" i="3"/>
  <c r="BL522" i="3"/>
  <c r="AZ522" i="3"/>
  <c r="BA523" i="3"/>
  <c r="BL523" i="3"/>
  <c r="AZ523" i="3"/>
  <c r="BA524" i="3"/>
  <c r="BL524" i="3"/>
  <c r="AZ524" i="3"/>
  <c r="BA525" i="3"/>
  <c r="BL525" i="3"/>
  <c r="AZ525" i="3"/>
  <c r="BA526" i="3"/>
  <c r="BL526" i="3"/>
  <c r="AZ526" i="3"/>
  <c r="BA527" i="3"/>
  <c r="BL527" i="3"/>
  <c r="AZ527" i="3"/>
  <c r="BA528" i="3"/>
  <c r="BL528" i="3"/>
  <c r="AZ528" i="3"/>
  <c r="BA529" i="3"/>
  <c r="BL529" i="3"/>
  <c r="AZ529" i="3"/>
  <c r="BA530" i="3"/>
  <c r="BL530" i="3"/>
  <c r="AZ530" i="3"/>
  <c r="BA531" i="3"/>
  <c r="BL531" i="3"/>
  <c r="AZ531" i="3"/>
  <c r="BA532" i="3"/>
  <c r="BL532" i="3"/>
  <c r="AZ532" i="3"/>
  <c r="BA533" i="3"/>
  <c r="BL533" i="3"/>
  <c r="AZ533" i="3"/>
  <c r="BA534" i="3"/>
  <c r="BL534" i="3"/>
  <c r="AZ534" i="3"/>
  <c r="BA535" i="3"/>
  <c r="BL535" i="3"/>
  <c r="AZ535" i="3"/>
  <c r="BA536" i="3"/>
  <c r="BL536" i="3"/>
  <c r="AZ536" i="3"/>
  <c r="BA537" i="3"/>
  <c r="BL537" i="3"/>
  <c r="AZ537" i="3"/>
  <c r="BA538" i="3"/>
  <c r="BL538" i="3"/>
  <c r="AZ538" i="3"/>
  <c r="BA539" i="3"/>
  <c r="BL539" i="3"/>
  <c r="AZ539" i="3"/>
  <c r="BA540" i="3"/>
  <c r="BL540" i="3"/>
  <c r="AZ540" i="3"/>
  <c r="BA541" i="3"/>
  <c r="BL541" i="3"/>
  <c r="AZ541" i="3"/>
  <c r="BA542" i="3"/>
  <c r="BL542" i="3"/>
  <c r="AZ542" i="3"/>
  <c r="BA543" i="3"/>
  <c r="BL543" i="3"/>
  <c r="AZ543" i="3"/>
  <c r="BA544" i="3"/>
  <c r="BL544" i="3"/>
  <c r="AZ544" i="3"/>
  <c r="BA545" i="3"/>
  <c r="BL545" i="3"/>
  <c r="AZ545" i="3"/>
  <c r="BA546" i="3"/>
  <c r="BL546" i="3"/>
  <c r="AZ546" i="3"/>
  <c r="BA547" i="3"/>
  <c r="BL547" i="3"/>
  <c r="AZ547" i="3"/>
  <c r="BA548" i="3"/>
  <c r="BL548" i="3"/>
  <c r="AZ548" i="3"/>
  <c r="BA549" i="3"/>
  <c r="BL549" i="3"/>
  <c r="AZ549" i="3"/>
  <c r="BA550" i="3"/>
  <c r="BL550" i="3"/>
  <c r="AZ550" i="3"/>
  <c r="BA551" i="3"/>
  <c r="BL551" i="3"/>
  <c r="AZ551" i="3"/>
  <c r="BA552" i="3"/>
  <c r="BL552" i="3"/>
  <c r="AZ552" i="3"/>
  <c r="BA553" i="3"/>
  <c r="BL553" i="3"/>
  <c r="AZ553" i="3"/>
  <c r="BA554" i="3"/>
  <c r="BL554" i="3"/>
  <c r="AZ554" i="3"/>
  <c r="BA555" i="3"/>
  <c r="BL555" i="3"/>
  <c r="AZ555" i="3"/>
  <c r="BA556" i="3"/>
  <c r="BL556" i="3"/>
  <c r="AZ556" i="3"/>
  <c r="BA557" i="3"/>
  <c r="BL557" i="3"/>
  <c r="AZ557" i="3"/>
  <c r="BA558" i="3"/>
  <c r="BL558" i="3"/>
  <c r="AZ558" i="3"/>
  <c r="BA559" i="3"/>
  <c r="BL559" i="3"/>
  <c r="AZ559" i="3"/>
  <c r="BA560" i="3"/>
  <c r="BL560" i="3"/>
  <c r="AZ560" i="3"/>
  <c r="BA561" i="3"/>
  <c r="BL561" i="3"/>
  <c r="AZ561" i="3"/>
  <c r="BA562" i="3"/>
  <c r="BL562" i="3"/>
  <c r="AZ562" i="3"/>
  <c r="BA563" i="3"/>
  <c r="BL563" i="3"/>
  <c r="AZ563" i="3"/>
  <c r="BA564" i="3"/>
  <c r="BL564" i="3"/>
  <c r="AZ564" i="3"/>
  <c r="BA565" i="3"/>
  <c r="BL565" i="3"/>
  <c r="AZ565" i="3"/>
  <c r="BA566" i="3"/>
  <c r="BL566" i="3"/>
  <c r="AZ566" i="3"/>
  <c r="BA567" i="3"/>
  <c r="BL567" i="3"/>
  <c r="AZ567" i="3"/>
  <c r="BA568" i="3"/>
  <c r="BL568" i="3"/>
  <c r="AZ568" i="3"/>
  <c r="BA569" i="3"/>
  <c r="BL569" i="3"/>
  <c r="AZ569" i="3"/>
  <c r="BA570" i="3"/>
  <c r="BL570" i="3"/>
  <c r="AZ570" i="3"/>
  <c r="BA571" i="3"/>
  <c r="BL571" i="3"/>
  <c r="AZ571" i="3"/>
  <c r="BA572" i="3"/>
  <c r="BL572" i="3"/>
  <c r="AZ572" i="3"/>
  <c r="BA573" i="3"/>
  <c r="BL573" i="3"/>
  <c r="AZ573" i="3"/>
  <c r="BA574" i="3"/>
  <c r="BL574" i="3"/>
  <c r="AZ574" i="3"/>
  <c r="BA575" i="3"/>
  <c r="BL575" i="3"/>
  <c r="AZ575" i="3"/>
  <c r="BA576" i="3"/>
  <c r="BL576" i="3"/>
  <c r="AZ576" i="3"/>
  <c r="BA577" i="3"/>
  <c r="BL577" i="3"/>
  <c r="AZ577" i="3"/>
  <c r="BA578" i="3"/>
  <c r="BL578" i="3"/>
  <c r="AZ578" i="3"/>
  <c r="BA579" i="3"/>
  <c r="BL579" i="3"/>
  <c r="AZ579" i="3"/>
  <c r="BA580" i="3"/>
  <c r="BL580" i="3"/>
  <c r="AZ580" i="3"/>
  <c r="BA581" i="3"/>
  <c r="BL581" i="3"/>
  <c r="AZ581" i="3"/>
  <c r="BA582" i="3"/>
  <c r="BL582" i="3"/>
  <c r="AZ582" i="3"/>
  <c r="BA583" i="3"/>
  <c r="BL583" i="3"/>
  <c r="AZ583" i="3"/>
  <c r="BA584" i="3"/>
  <c r="BL584" i="3"/>
  <c r="AZ584" i="3"/>
  <c r="BA585" i="3"/>
  <c r="BL585" i="3"/>
  <c r="AZ585" i="3"/>
  <c r="BA586" i="3"/>
  <c r="BL586" i="3"/>
  <c r="AZ586" i="3"/>
  <c r="BA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I4" i="78"/>
  <c r="I8" i="78"/>
  <c r="C1" i="73"/>
  <c r="J1" i="73"/>
  <c r="J20" i="43"/>
  <c r="E15" i="4"/>
  <c r="F6" i="1"/>
  <c r="I20" i="43"/>
  <c r="G2" i="43"/>
  <c r="I2" i="43"/>
  <c r="M2" i="43"/>
  <c r="C6" i="43"/>
  <c r="G17" i="43"/>
  <c r="H17" i="43"/>
  <c r="I17" i="43"/>
  <c r="J17" i="43"/>
  <c r="C17" i="43"/>
  <c r="C16" i="43"/>
  <c r="D5" i="43"/>
  <c r="B2" i="1"/>
  <c r="G19" i="43"/>
  <c r="N5" i="71"/>
  <c r="N6" i="71"/>
  <c r="N7" i="71"/>
  <c r="N8" i="71"/>
  <c r="N9" i="71"/>
  <c r="N10" i="71"/>
  <c r="N11" i="71"/>
  <c r="N12" i="71"/>
  <c r="N13" i="71"/>
  <c r="N14" i="71"/>
  <c r="N15" i="71"/>
  <c r="N16" i="71"/>
  <c r="N17" i="71"/>
  <c r="N18" i="71"/>
  <c r="N19" i="71"/>
  <c r="N20" i="71"/>
  <c r="X3" i="71"/>
  <c r="O5" i="71"/>
  <c r="O6" i="71"/>
  <c r="O7" i="71"/>
  <c r="O8" i="71"/>
  <c r="O9" i="71"/>
  <c r="O10" i="71"/>
  <c r="O11" i="71"/>
  <c r="O12" i="71"/>
  <c r="O13" i="71"/>
  <c r="O14" i="71"/>
  <c r="O15" i="71"/>
  <c r="O16" i="71"/>
  <c r="O17" i="71"/>
  <c r="O18" i="71"/>
  <c r="O19" i="71"/>
  <c r="O20" i="71"/>
  <c r="Y3" i="71"/>
  <c r="Z3" i="71"/>
  <c r="P5" i="71"/>
  <c r="P6" i="71"/>
  <c r="P7" i="71"/>
  <c r="P8" i="71"/>
  <c r="P9" i="71"/>
  <c r="P10" i="71"/>
  <c r="P11" i="71"/>
  <c r="P12" i="71"/>
  <c r="P13" i="71"/>
  <c r="P14" i="71"/>
  <c r="P15" i="71"/>
  <c r="P16" i="71"/>
  <c r="P17" i="71"/>
  <c r="P18" i="71"/>
  <c r="P19" i="71"/>
  <c r="P20" i="71"/>
  <c r="AA3" i="71"/>
  <c r="Q5" i="71"/>
  <c r="Q6" i="71"/>
  <c r="Q7" i="71"/>
  <c r="Q8" i="71"/>
  <c r="Q9" i="71"/>
  <c r="Q10" i="71"/>
  <c r="Q11" i="71"/>
  <c r="Q12" i="71"/>
  <c r="Q13" i="71"/>
  <c r="Q14" i="71"/>
  <c r="Q15" i="71"/>
  <c r="Q16" i="71"/>
  <c r="Q17" i="71"/>
  <c r="Q18" i="71"/>
  <c r="Q19" i="71"/>
  <c r="Q20"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C19" i="43"/>
  <c r="N2" i="43"/>
  <c r="F48" i="43"/>
  <c r="H48" i="43"/>
  <c r="G48" i="43"/>
  <c r="K48" i="43"/>
  <c r="D48" i="43"/>
  <c r="H49" i="43"/>
  <c r="G49" i="43"/>
  <c r="K49" i="43"/>
  <c r="J49" i="43"/>
  <c r="D49" i="43"/>
  <c r="H50" i="43"/>
  <c r="G50" i="43"/>
  <c r="K50" i="43"/>
  <c r="D50" i="43"/>
  <c r="D51" i="43"/>
  <c r="H52" i="43"/>
  <c r="G52" i="43"/>
  <c r="M52" i="43"/>
  <c r="D52" i="43"/>
  <c r="H53" i="43"/>
  <c r="G53" i="43"/>
  <c r="K53" i="43"/>
  <c r="J53" i="43"/>
  <c r="D53" i="43"/>
  <c r="H54" i="43"/>
  <c r="G54" i="43"/>
  <c r="K54" i="43"/>
  <c r="J54" i="43"/>
  <c r="D54" i="43"/>
  <c r="H55" i="43"/>
  <c r="G55" i="43"/>
  <c r="K55" i="43"/>
  <c r="J55" i="43"/>
  <c r="D55" i="43"/>
  <c r="H56" i="43"/>
  <c r="G56" i="43"/>
  <c r="K56" i="43"/>
  <c r="D56" i="43"/>
  <c r="E48" i="43"/>
  <c r="B46" i="43"/>
  <c r="C24" i="43"/>
  <c r="F33" i="43"/>
  <c r="F34" i="43"/>
  <c r="C7" i="43"/>
  <c r="C5" i="43"/>
  <c r="C18" i="43"/>
  <c r="E19" i="6"/>
  <c r="E3" i="6"/>
  <c r="D19" i="6"/>
  <c r="E20" i="6"/>
  <c r="D20" i="6"/>
  <c r="E21" i="6"/>
  <c r="D21" i="6"/>
  <c r="E22" i="6"/>
  <c r="D22" i="6"/>
  <c r="E23" i="6"/>
  <c r="D23" i="6"/>
  <c r="E24" i="6"/>
  <c r="D24" i="6"/>
  <c r="E25" i="6"/>
  <c r="D25" i="6"/>
  <c r="E26" i="6"/>
  <c r="D26" i="6"/>
  <c r="D27" i="6"/>
  <c r="E28" i="6"/>
  <c r="D28" i="6"/>
  <c r="E29" i="6"/>
  <c r="D29" i="6"/>
  <c r="D30" i="6"/>
  <c r="D31" i="6"/>
  <c r="I6" i="6"/>
  <c r="G3" i="43"/>
  <c r="S2" i="43"/>
  <c r="S3" i="43"/>
  <c r="S4" i="43"/>
  <c r="S5" i="43"/>
  <c r="S6" i="43"/>
  <c r="F7" i="68"/>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A5" i="3"/>
  <c r="BL5" i="3"/>
  <c r="E5" i="6"/>
  <c r="E6" i="6"/>
  <c r="E10" i="68"/>
  <c r="F20" i="68"/>
  <c r="C19" i="68"/>
  <c r="B22" i="1"/>
  <c r="E1" i="73"/>
  <c r="K1" i="73"/>
  <c r="B23" i="1"/>
  <c r="F21" i="68"/>
  <c r="C21" i="68"/>
  <c r="B24" i="1"/>
  <c r="A6" i="1"/>
  <c r="K6" i="1"/>
  <c r="M6" i="1"/>
  <c r="O6" i="1"/>
  <c r="A7" i="1"/>
  <c r="K7" i="1"/>
  <c r="M7" i="1"/>
  <c r="O7" i="1"/>
  <c r="A8" i="1"/>
  <c r="K8" i="1"/>
  <c r="M8" i="1"/>
  <c r="O8" i="1"/>
  <c r="A9" i="1"/>
  <c r="K9" i="1"/>
  <c r="M9" i="1"/>
  <c r="O9" i="1"/>
  <c r="A10" i="1"/>
  <c r="K10" i="1"/>
  <c r="M10" i="1"/>
  <c r="O10" i="1"/>
  <c r="A11" i="1"/>
  <c r="K11" i="1"/>
  <c r="M11" i="1"/>
  <c r="O11" i="1"/>
  <c r="A12" i="1"/>
  <c r="K12" i="1"/>
  <c r="M12" i="1"/>
  <c r="O12" i="1"/>
  <c r="A13" i="1"/>
  <c r="K13" i="1"/>
  <c r="M13" i="1"/>
  <c r="O13" i="1"/>
  <c r="K14" i="1"/>
  <c r="M14" i="1"/>
  <c r="O14" i="1"/>
  <c r="O16" i="1"/>
  <c r="F35" i="68"/>
  <c r="E37" i="68"/>
  <c r="C40" i="68"/>
  <c r="F50" i="68"/>
  <c r="G1" i="15"/>
  <c r="L1" i="73"/>
  <c r="B43" i="1"/>
  <c r="B41" i="1"/>
  <c r="F32" i="15"/>
  <c r="C42" i="1"/>
  <c r="F33" i="15"/>
  <c r="E27" i="6"/>
  <c r="K19" i="6"/>
  <c r="L19" i="6"/>
  <c r="M19" i="6"/>
  <c r="I19" i="6"/>
  <c r="H19" i="6"/>
  <c r="R19" i="6"/>
  <c r="B52" i="1"/>
  <c r="F34" i="15"/>
  <c r="S6" i="1"/>
  <c r="T6" i="1"/>
  <c r="F15" i="15"/>
  <c r="F17" i="15"/>
  <c r="F18" i="15"/>
  <c r="F20" i="15"/>
  <c r="F23" i="15"/>
  <c r="F21" i="15"/>
  <c r="F28" i="15"/>
  <c r="C28" i="15"/>
  <c r="M47" i="15"/>
  <c r="J50" i="15"/>
  <c r="J51" i="15"/>
  <c r="P6" i="1"/>
  <c r="P7" i="1"/>
  <c r="P8" i="1"/>
  <c r="P9" i="1"/>
  <c r="P10" i="1"/>
  <c r="P11" i="1"/>
  <c r="P12" i="1"/>
  <c r="P13" i="1"/>
  <c r="P14" i="1"/>
  <c r="P16" i="1"/>
  <c r="F12" i="12"/>
  <c r="F13" i="12"/>
  <c r="E14" i="12"/>
  <c r="F15" i="12"/>
  <c r="E17" i="12"/>
  <c r="E19" i="12"/>
  <c r="E20" i="12"/>
  <c r="F22" i="12"/>
  <c r="F23" i="12"/>
  <c r="F31" i="12"/>
  <c r="F24" i="12"/>
  <c r="C24" i="12"/>
  <c r="E8" i="78"/>
  <c r="K3" i="78"/>
  <c r="I3" i="78"/>
  <c r="N3" i="78"/>
  <c r="N4" i="78"/>
  <c r="N6" i="78"/>
  <c r="N7" i="78"/>
  <c r="N5" i="78"/>
  <c r="H3" i="78"/>
  <c r="F3" i="78"/>
  <c r="L3" i="78"/>
  <c r="J3" i="78"/>
  <c r="G3" i="78"/>
  <c r="U7" i="78"/>
  <c r="R7" i="78"/>
  <c r="P7" i="78"/>
  <c r="O7" i="78"/>
  <c r="E7" i="78"/>
  <c r="U6" i="78"/>
  <c r="R6" i="78"/>
  <c r="P6" i="78"/>
  <c r="O6" i="78"/>
  <c r="E6" i="78"/>
  <c r="U4" i="78"/>
  <c r="R4" i="78"/>
  <c r="M16" i="1"/>
  <c r="L16" i="1"/>
  <c r="P4" i="78"/>
  <c r="O4" i="78"/>
  <c r="E4" i="78"/>
  <c r="Q4" i="78"/>
  <c r="Q6" i="78"/>
  <c r="Q7" i="78"/>
  <c r="U5" i="78"/>
  <c r="R5" i="78"/>
  <c r="Q5" i="78"/>
  <c r="P5" i="78"/>
  <c r="O5" i="78"/>
  <c r="E5" i="78"/>
  <c r="R3" i="78"/>
  <c r="Q3" i="78"/>
  <c r="P3" i="78"/>
  <c r="O3" i="78"/>
  <c r="E3" i="78"/>
  <c r="C15" i="74"/>
  <c r="W25" i="1"/>
  <c r="Y19" i="1"/>
  <c r="Y20" i="1"/>
  <c r="Y21" i="1"/>
  <c r="Y22" i="1"/>
  <c r="Y23" i="1"/>
  <c r="Y24" i="1"/>
  <c r="Y18" i="1"/>
  <c r="J135" i="77"/>
  <c r="E61" i="77"/>
  <c r="I4" i="6"/>
  <c r="F30" i="68"/>
  <c r="C30" i="68"/>
  <c r="F36" i="68"/>
  <c r="F38" i="68"/>
  <c r="C48" i="68"/>
  <c r="H51" i="43"/>
  <c r="G51" i="43"/>
  <c r="E45" i="77"/>
  <c r="E56" i="77"/>
  <c r="L3" i="71"/>
  <c r="K3" i="71"/>
  <c r="I3" i="71"/>
  <c r="J3" i="71"/>
  <c r="M19" i="9"/>
  <c r="C118" i="9"/>
  <c r="C14" i="74"/>
  <c r="M18" i="9"/>
  <c r="B118" i="9"/>
  <c r="B14" i="74"/>
  <c r="AD5" i="71"/>
  <c r="AG5" i="71"/>
  <c r="AH5" i="71"/>
  <c r="AE5" i="71"/>
  <c r="AF5" i="71"/>
  <c r="C9" i="71"/>
  <c r="C8" i="71"/>
  <c r="C7" i="71"/>
  <c r="C6" i="71"/>
  <c r="C5" i="71"/>
  <c r="D5" i="71"/>
  <c r="F9" i="71"/>
  <c r="F8" i="71"/>
  <c r="F7" i="71"/>
  <c r="F6" i="71"/>
  <c r="F5" i="71"/>
  <c r="E9" i="71"/>
  <c r="E8" i="71"/>
  <c r="E7" i="71"/>
  <c r="E6" i="71"/>
  <c r="E5" i="71"/>
  <c r="D6" i="71"/>
  <c r="B9" i="71"/>
  <c r="B8" i="71"/>
  <c r="B7" i="71"/>
  <c r="B6" i="71"/>
  <c r="B5" i="71"/>
  <c r="D7" i="71"/>
  <c r="D8" i="71"/>
  <c r="D9" i="71"/>
  <c r="D10" i="71"/>
  <c r="B11" i="71"/>
  <c r="C11" i="71"/>
  <c r="D11" i="71"/>
  <c r="E11" i="71"/>
  <c r="F11" i="71"/>
  <c r="B12" i="71"/>
  <c r="C12" i="71"/>
  <c r="D12" i="71"/>
  <c r="E12" i="71"/>
  <c r="F12" i="71"/>
  <c r="B13" i="71"/>
  <c r="C13" i="71"/>
  <c r="D13" i="71"/>
  <c r="E13" i="71"/>
  <c r="F13" i="71"/>
  <c r="D14" i="71"/>
  <c r="B15" i="71"/>
  <c r="C15" i="71"/>
  <c r="D15" i="71"/>
  <c r="E15" i="71"/>
  <c r="F15" i="71"/>
  <c r="B16" i="71"/>
  <c r="C16" i="71"/>
  <c r="D16" i="71"/>
  <c r="E16" i="71"/>
  <c r="F16" i="71"/>
  <c r="B17" i="71"/>
  <c r="C17" i="71"/>
  <c r="D17" i="71"/>
  <c r="E17" i="71"/>
  <c r="F17" i="71"/>
  <c r="D18" i="71"/>
  <c r="B19" i="71"/>
  <c r="C19" i="71"/>
  <c r="D19" i="71"/>
  <c r="E19" i="71"/>
  <c r="F19" i="71"/>
  <c r="B20" i="71"/>
  <c r="C20" i="71"/>
  <c r="D20" i="71"/>
  <c r="E20" i="71"/>
  <c r="F20" i="71"/>
  <c r="B21" i="71"/>
  <c r="C21" i="71"/>
  <c r="D21" i="71"/>
  <c r="E21" i="71"/>
  <c r="F21" i="71"/>
  <c r="M20" i="43"/>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B22" i="31"/>
  <c r="N56" i="9"/>
  <c r="M56" i="9"/>
  <c r="K56" i="9"/>
  <c r="E18" i="74"/>
  <c r="F18" i="74"/>
  <c r="E19" i="74"/>
  <c r="F19" i="74"/>
  <c r="E20" i="74"/>
  <c r="F20" i="74"/>
  <c r="E21" i="74"/>
  <c r="F21" i="74"/>
  <c r="E22" i="74"/>
  <c r="F22" i="74"/>
  <c r="E23" i="74"/>
  <c r="F23" i="74"/>
  <c r="B3" i="74"/>
  <c r="C91" i="9"/>
  <c r="B8" i="72"/>
  <c r="M19" i="43"/>
  <c r="AE3" i="71"/>
  <c r="AF3" i="71"/>
  <c r="AG3" i="71"/>
  <c r="AH3"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H20" i="71"/>
  <c r="AG20" i="71"/>
  <c r="AE20" i="71"/>
  <c r="AF20" i="71"/>
  <c r="AD20" i="71"/>
  <c r="AD21" i="71"/>
  <c r="AE21" i="71"/>
  <c r="AF21" i="71"/>
  <c r="AG21" i="71"/>
  <c r="AH21"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0" i="71"/>
  <c r="F69" i="71"/>
  <c r="E69" i="71"/>
  <c r="E68" i="71"/>
  <c r="E67" i="71"/>
  <c r="C69" i="71"/>
  <c r="D69" i="71"/>
  <c r="B69" i="71"/>
  <c r="F68" i="71"/>
  <c r="F67" i="71"/>
  <c r="B68" i="71"/>
  <c r="B67" i="71"/>
  <c r="D66" i="71"/>
  <c r="F65" i="71"/>
  <c r="E65" i="71"/>
  <c r="E64" i="71"/>
  <c r="E63" i="71"/>
  <c r="C65" i="71"/>
  <c r="D65" i="71"/>
  <c r="B65" i="71"/>
  <c r="F64" i="71"/>
  <c r="F63" i="71"/>
  <c r="B64" i="71"/>
  <c r="B63"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c r="E49" i="71"/>
  <c r="P49" i="71"/>
  <c r="C49" i="71"/>
  <c r="B49" i="71"/>
  <c r="S49" i="71"/>
  <c r="F48" i="71"/>
  <c r="F47" i="71"/>
  <c r="Q47" i="71"/>
  <c r="B48"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O38" i="71"/>
  <c r="C39" i="71"/>
  <c r="N38" i="71"/>
  <c r="B39" i="71"/>
  <c r="B40" i="71"/>
  <c r="B41" i="71"/>
  <c r="S41" i="71"/>
  <c r="D38" i="71"/>
  <c r="Q37" i="71"/>
  <c r="P37" i="71"/>
  <c r="O37" i="71"/>
  <c r="N37" i="71"/>
  <c r="Q36" i="71"/>
  <c r="P36" i="71"/>
  <c r="O36" i="71"/>
  <c r="N36" i="71"/>
  <c r="Q35" i="71"/>
  <c r="P35" i="71"/>
  <c r="O35" i="71"/>
  <c r="N35" i="71"/>
  <c r="O34" i="71"/>
  <c r="C35" i="71"/>
  <c r="Q34" i="71"/>
  <c r="F35" i="71"/>
  <c r="F36" i="71"/>
  <c r="F37" i="71"/>
  <c r="V37" i="71"/>
  <c r="P34" i="71"/>
  <c r="E35" i="71"/>
  <c r="N34" i="71"/>
  <c r="B35" i="71"/>
  <c r="B36" i="71"/>
  <c r="B37" i="71"/>
  <c r="S37" i="71"/>
  <c r="D34" i="71"/>
  <c r="Q33" i="71"/>
  <c r="P33" i="71"/>
  <c r="O33" i="71"/>
  <c r="N33" i="71"/>
  <c r="Q32" i="71"/>
  <c r="P32" i="71"/>
  <c r="O32" i="71"/>
  <c r="N32" i="71"/>
  <c r="Q31" i="71"/>
  <c r="P31" i="71"/>
  <c r="O31" i="71"/>
  <c r="N31" i="71"/>
  <c r="Q30" i="71"/>
  <c r="F31" i="71"/>
  <c r="P30" i="71"/>
  <c r="E31" i="71"/>
  <c r="E32" i="71"/>
  <c r="E33" i="71"/>
  <c r="U33" i="71"/>
  <c r="O30" i="71"/>
  <c r="C31" i="71"/>
  <c r="N30" i="71"/>
  <c r="B31" i="71"/>
  <c r="B32" i="71"/>
  <c r="B33" i="71"/>
  <c r="S33" i="71"/>
  <c r="D30" i="71"/>
  <c r="T29" i="71"/>
  <c r="Q29" i="71"/>
  <c r="P29" i="71"/>
  <c r="O29" i="71"/>
  <c r="N29" i="71"/>
  <c r="D29" i="71"/>
  <c r="Q28" i="71"/>
  <c r="P28" i="71"/>
  <c r="O28" i="71"/>
  <c r="N28" i="71"/>
  <c r="Q27" i="71"/>
  <c r="P27" i="71"/>
  <c r="O27" i="71"/>
  <c r="N27" i="71"/>
  <c r="Q26" i="71"/>
  <c r="F27" i="71"/>
  <c r="F28" i="71"/>
  <c r="F29" i="71"/>
  <c r="V29" i="71"/>
  <c r="P26" i="71"/>
  <c r="E27" i="71"/>
  <c r="E28" i="71"/>
  <c r="E29" i="71"/>
  <c r="U29" i="71"/>
  <c r="O26" i="71"/>
  <c r="C27" i="71"/>
  <c r="N26" i="71"/>
  <c r="B27" i="71"/>
  <c r="B28" i="71"/>
  <c r="B29" i="71"/>
  <c r="S29" i="71"/>
  <c r="D26" i="71"/>
  <c r="Q25" i="71"/>
  <c r="P25" i="71"/>
  <c r="O25" i="71"/>
  <c r="N25" i="71"/>
  <c r="Q24" i="71"/>
  <c r="P24" i="71"/>
  <c r="O24" i="71"/>
  <c r="N24" i="71"/>
  <c r="Q23" i="71"/>
  <c r="P23" i="71"/>
  <c r="O23" i="71"/>
  <c r="N23" i="71"/>
  <c r="Q22" i="71"/>
  <c r="F23" i="71"/>
  <c r="F24" i="71"/>
  <c r="F25" i="71"/>
  <c r="V25" i="71"/>
  <c r="P22" i="71"/>
  <c r="E23" i="71"/>
  <c r="E24" i="71"/>
  <c r="E25" i="71"/>
  <c r="U25" i="71"/>
  <c r="O22" i="71"/>
  <c r="C23" i="71"/>
  <c r="N22" i="71"/>
  <c r="B23" i="71"/>
  <c r="B24" i="71"/>
  <c r="B25" i="71"/>
  <c r="S25" i="71"/>
  <c r="D22" i="71"/>
  <c r="Q21" i="71"/>
  <c r="P21" i="71"/>
  <c r="O21" i="71"/>
  <c r="N21" i="71"/>
  <c r="V21" i="71"/>
  <c r="V17" i="71"/>
  <c r="V13" i="71"/>
  <c r="S13" i="71"/>
  <c r="U13" i="71"/>
  <c r="S17" i="71"/>
  <c r="S21" i="71"/>
  <c r="U21" i="71"/>
  <c r="N49" i="71"/>
  <c r="U17" i="71"/>
  <c r="F32" i="71"/>
  <c r="F33" i="71"/>
  <c r="V33" i="71"/>
  <c r="C24" i="71"/>
  <c r="D23" i="71"/>
  <c r="C28" i="71"/>
  <c r="D28" i="71"/>
  <c r="D27" i="71"/>
  <c r="C32" i="71"/>
  <c r="D31" i="71"/>
  <c r="E36" i="71"/>
  <c r="E37" i="71"/>
  <c r="U37" i="71"/>
  <c r="E40" i="71"/>
  <c r="E41" i="71"/>
  <c r="U41" i="71"/>
  <c r="E44" i="71"/>
  <c r="E45" i="71"/>
  <c r="U45" i="71"/>
  <c r="Q46" i="71"/>
  <c r="U49" i="71"/>
  <c r="E48" i="71"/>
  <c r="C36" i="71"/>
  <c r="D35" i="71"/>
  <c r="C40" i="71"/>
  <c r="D39" i="71"/>
  <c r="C44" i="71"/>
  <c r="D43" i="71"/>
  <c r="N48" i="71"/>
  <c r="B47" i="71"/>
  <c r="Q48" i="71"/>
  <c r="T49" i="71"/>
  <c r="O49" i="71"/>
  <c r="D49" i="71"/>
  <c r="C48" i="71"/>
  <c r="Q49" i="71"/>
  <c r="C52" i="71"/>
  <c r="E52" i="71"/>
  <c r="E51" i="71"/>
  <c r="D53" i="71"/>
  <c r="C56" i="71"/>
  <c r="E56" i="71"/>
  <c r="E55" i="71"/>
  <c r="D57" i="71"/>
  <c r="C60" i="71"/>
  <c r="E60" i="71"/>
  <c r="E59" i="71"/>
  <c r="D61" i="71"/>
  <c r="C64" i="71"/>
  <c r="C68" i="71"/>
  <c r="T9" i="71"/>
  <c r="S9" i="71"/>
  <c r="U9" i="71"/>
  <c r="C47" i="71"/>
  <c r="O48" i="71"/>
  <c r="D48" i="71"/>
  <c r="C45" i="71"/>
  <c r="D44" i="71"/>
  <c r="D64" i="71"/>
  <c r="C63" i="71"/>
  <c r="D63" i="71"/>
  <c r="D56" i="71"/>
  <c r="C55" i="71"/>
  <c r="D55" i="71"/>
  <c r="N46" i="71"/>
  <c r="N47" i="71"/>
  <c r="D68" i="71"/>
  <c r="C67" i="71"/>
  <c r="D67" i="71"/>
  <c r="D60" i="71"/>
  <c r="C59" i="71"/>
  <c r="D59" i="71"/>
  <c r="D52" i="71"/>
  <c r="C51" i="71"/>
  <c r="D51" i="71"/>
  <c r="C41" i="71"/>
  <c r="D40" i="71"/>
  <c r="C37" i="71"/>
  <c r="D36" i="71"/>
  <c r="P48" i="71"/>
  <c r="E47" i="71"/>
  <c r="C33" i="71"/>
  <c r="D32" i="71"/>
  <c r="C25" i="71"/>
  <c r="D24" i="71"/>
  <c r="V9" i="71"/>
  <c r="P46" i="71"/>
  <c r="P47" i="71"/>
  <c r="O47" i="71"/>
  <c r="D47" i="71"/>
  <c r="O46" i="71"/>
  <c r="T13" i="71"/>
  <c r="T17" i="71"/>
  <c r="T21" i="71"/>
  <c r="T25" i="71"/>
  <c r="D25" i="71"/>
  <c r="T33" i="71"/>
  <c r="D33" i="71"/>
  <c r="T37" i="71"/>
  <c r="D37" i="71"/>
  <c r="T41" i="71"/>
  <c r="D41" i="71"/>
  <c r="T45" i="71"/>
  <c r="D4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E9"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M54" i="43"/>
  <c r="N54" i="43"/>
  <c r="M53" i="43"/>
  <c r="N53" i="43"/>
  <c r="N52" i="43"/>
  <c r="K52" i="43"/>
  <c r="J52" i="43"/>
  <c r="M51" i="43"/>
  <c r="N51" i="43"/>
  <c r="K51" i="43"/>
  <c r="J51" i="43"/>
  <c r="M50" i="43"/>
  <c r="N50" i="43"/>
  <c r="J50" i="43"/>
  <c r="M49" i="43"/>
  <c r="N49" i="43"/>
  <c r="M48" i="43"/>
  <c r="N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23" i="49" s="1"/>
  <c r="B40" i="48"/>
  <c r="B3" i="72"/>
  <c r="N1" i="43"/>
  <c r="F35" i="4"/>
  <c r="J55" i="39"/>
  <c r="H34" i="43"/>
  <c r="H35" i="43"/>
  <c r="H36" i="43"/>
  <c r="H37" i="43"/>
  <c r="H38" i="43"/>
  <c r="H39" i="43"/>
  <c r="H33" i="43"/>
  <c r="F15" i="43"/>
  <c r="E15" i="43"/>
  <c r="D15" i="43"/>
  <c r="C15" i="43"/>
  <c r="C10" i="43"/>
  <c r="C11" i="43"/>
  <c r="C9" i="43"/>
  <c r="A7" i="43"/>
  <c r="F61" i="15"/>
  <c r="M19" i="15"/>
  <c r="D78" i="9"/>
  <c r="D24" i="15"/>
  <c r="F35" i="11"/>
  <c r="F36" i="11"/>
  <c r="F38" i="11"/>
  <c r="E37" i="11"/>
  <c r="F20" i="11"/>
  <c r="F21" i="11"/>
  <c r="C21" i="11"/>
  <c r="F7" i="11"/>
  <c r="C7" i="11"/>
  <c r="C5" i="11"/>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U36" i="40"/>
  <c r="N4" i="43"/>
  <c r="F36" i="43"/>
  <c r="F81" i="43"/>
  <c r="H83" i="43"/>
  <c r="H113" i="43"/>
  <c r="N7" i="43"/>
  <c r="F70" i="43"/>
  <c r="H73" i="43"/>
  <c r="M6" i="43"/>
  <c r="M11" i="43"/>
  <c r="E17" i="43"/>
  <c r="F39" i="43"/>
  <c r="F35"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AE9" i="1"/>
  <c r="D93" i="9"/>
  <c r="E12" i="6"/>
  <c r="E15" i="6"/>
  <c r="E60" i="40"/>
  <c r="E13" i="6"/>
  <c r="E58" i="40"/>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S13" i="1"/>
  <c r="AR13" i="1"/>
  <c r="R13" i="1"/>
  <c r="S11" i="1"/>
  <c r="AQ11" i="1"/>
  <c r="R11" i="1"/>
  <c r="S9" i="1"/>
  <c r="AR9" i="1"/>
  <c r="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62" i="15"/>
  <c r="E10" i="6"/>
  <c r="E11" i="6"/>
  <c r="E61" i="39"/>
  <c r="E65" i="39"/>
  <c r="J56" i="9"/>
  <c r="J57" i="9"/>
  <c r="A24" i="51"/>
  <c r="B18" i="72"/>
  <c r="U29" i="34"/>
  <c r="C106" i="43"/>
  <c r="E14" i="6"/>
  <c r="E64" i="39"/>
  <c r="D9" i="11"/>
  <c r="C9" i="11"/>
  <c r="J105" i="43"/>
  <c r="I115" i="43"/>
  <c r="J115" i="43"/>
  <c r="K115" i="43"/>
  <c r="L115" i="43"/>
  <c r="M115" i="43"/>
  <c r="G102" i="43"/>
  <c r="H22" i="43"/>
  <c r="L101" i="43"/>
  <c r="L109" i="43"/>
  <c r="H101" i="43"/>
  <c r="D101" i="43"/>
  <c r="D109" i="43"/>
  <c r="M101" i="43"/>
  <c r="M109" i="43"/>
  <c r="I101" i="43"/>
  <c r="I109" i="43"/>
  <c r="E101" i="43"/>
  <c r="G22" i="43"/>
  <c r="D22" i="43"/>
  <c r="E32"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E81" i="43"/>
  <c r="B79" i="43"/>
  <c r="F10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70" i="43"/>
  <c r="B68" i="43"/>
  <c r="G109" i="43"/>
  <c r="N109" i="43"/>
  <c r="F100" i="43"/>
  <c r="D9" i="53"/>
  <c r="B25" i="72"/>
  <c r="B24" i="72"/>
  <c r="G6" i="1"/>
  <c r="H85" i="43"/>
  <c r="H81" i="43"/>
  <c r="H84" i="43"/>
  <c r="H88" i="43"/>
  <c r="H78" i="43"/>
  <c r="H70" i="43"/>
  <c r="H71" i="43"/>
  <c r="M7" i="43"/>
  <c r="N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92" i="9"/>
  <c r="H62" i="43"/>
  <c r="H66" i="43"/>
  <c r="H61" i="43"/>
  <c r="H65" i="43"/>
  <c r="H60" i="43"/>
  <c r="H64" i="43"/>
  <c r="H59" i="43"/>
  <c r="H63" i="43"/>
  <c r="H67" i="43"/>
  <c r="H76" i="43"/>
  <c r="H72" i="43"/>
  <c r="H77" i="43"/>
  <c r="L20" i="6"/>
  <c r="E62" i="39"/>
  <c r="E56" i="39"/>
  <c r="E51" i="40"/>
  <c r="B6" i="1"/>
  <c r="E6" i="1"/>
  <c r="S8"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10" i="49"/>
  <c r="B16" i="49"/>
  <c r="E7" i="49"/>
  <c r="D23" i="15"/>
  <c r="D22" i="15"/>
  <c r="E6" i="49"/>
  <c r="B13" i="49"/>
  <c r="E4" i="4" s="1"/>
  <c r="E16" i="49"/>
  <c r="E8" i="49"/>
  <c r="E10" i="49"/>
  <c r="E5" i="49"/>
  <c r="B4" i="49"/>
  <c r="B8" i="49"/>
  <c r="E11" i="49"/>
  <c r="J53" i="67"/>
  <c r="AQ13" i="1"/>
  <c r="F30" i="11"/>
  <c r="C48" i="11"/>
  <c r="F28" i="67"/>
  <c r="C28" i="67"/>
  <c r="F52" i="9"/>
  <c r="M18" i="67"/>
  <c r="F32" i="67"/>
  <c r="F60" i="67"/>
  <c r="F30" i="69"/>
  <c r="C48" i="69"/>
  <c r="F60" i="15"/>
  <c r="M18" i="15"/>
  <c r="E63" i="39"/>
  <c r="T11" i="1"/>
  <c r="D9" i="69"/>
  <c r="C9" i="69" s="1"/>
  <c r="AQ9" i="1"/>
  <c r="AR11" i="1"/>
  <c r="E59" i="40"/>
  <c r="D68" i="39"/>
  <c r="D70" i="39"/>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c r="E66" i="39"/>
  <c r="C30" i="69"/>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C23" i="43"/>
  <c r="C21"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s="1"/>
  <c r="S21" i="6"/>
  <c r="L27" i="6"/>
  <c r="S26" i="6"/>
  <c r="S22" i="6"/>
  <c r="M20" i="6"/>
  <c r="I20" i="6"/>
  <c r="G16" i="1"/>
  <c r="H10" i="40"/>
  <c r="U10" i="40"/>
  <c r="AP7" i="1"/>
  <c r="H16" i="1"/>
  <c r="K16" i="1"/>
  <c r="AB45" i="21"/>
  <c r="AC33" i="21"/>
  <c r="W33" i="21"/>
  <c r="S33" i="21"/>
  <c r="AA33" i="21"/>
  <c r="W32" i="21"/>
  <c r="AC32" i="21"/>
  <c r="AB9" i="21"/>
  <c r="U9" i="21"/>
  <c r="AA32" i="21"/>
  <c r="S32" i="21"/>
  <c r="W9" i="21"/>
  <c r="AC9" i="21"/>
  <c r="AB32" i="21"/>
  <c r="U32" i="21"/>
  <c r="AA10" i="21"/>
  <c r="S10" i="21"/>
  <c r="C36" i="69"/>
  <c r="F31" i="15"/>
  <c r="M17" i="67"/>
  <c r="F59" i="67"/>
  <c r="M17" i="15"/>
  <c r="F31" i="67"/>
  <c r="F59" i="15"/>
  <c r="T7" i="1"/>
  <c r="AR7" i="1"/>
  <c r="C30" i="11"/>
  <c r="E6" i="70"/>
  <c r="K27" i="6"/>
  <c r="A18" i="62"/>
  <c r="B64" i="72"/>
  <c r="B1" i="74"/>
  <c r="C7" i="74" s="1"/>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F10" i="40"/>
  <c r="AA10" i="40"/>
  <c r="S20" i="6"/>
  <c r="M27" i="6"/>
  <c r="H10" i="39"/>
  <c r="J10" i="39"/>
  <c r="F1" i="67"/>
  <c r="Q52" i="67"/>
  <c r="AA7" i="36"/>
  <c r="R36" i="36"/>
  <c r="E36" i="36"/>
  <c r="E40" i="36"/>
  <c r="F40" i="36"/>
  <c r="AC11" i="37"/>
  <c r="W11" i="37"/>
  <c r="AB7" i="37"/>
  <c r="T42" i="37"/>
  <c r="G42" i="37"/>
  <c r="G46" i="37"/>
  <c r="H46" i="37"/>
  <c r="W11" i="34"/>
  <c r="AC11" i="34"/>
  <c r="H20" i="6"/>
  <c r="B2" i="74"/>
  <c r="AB7" i="36"/>
  <c r="T36" i="36"/>
  <c r="E6" i="3"/>
  <c r="AA10" i="39"/>
  <c r="D10" i="11"/>
  <c r="C10" i="11"/>
  <c r="D15" i="6"/>
  <c r="C18" i="4"/>
  <c r="D8" i="6"/>
  <c r="D14" i="6"/>
  <c r="R20" i="6"/>
  <c r="R7" i="1"/>
  <c r="D5" i="6"/>
  <c r="D6" i="6"/>
  <c r="D12" i="6"/>
  <c r="D9" i="6"/>
  <c r="D11" i="6"/>
  <c r="D10" i="6"/>
  <c r="D13" i="6"/>
  <c r="L19" i="9"/>
  <c r="E61" i="40"/>
  <c r="H25" i="6"/>
  <c r="R25" i="6"/>
  <c r="H22" i="6"/>
  <c r="H23" i="6"/>
  <c r="H21" i="6"/>
  <c r="H26" i="6"/>
  <c r="H24" i="6"/>
  <c r="AC10" i="40"/>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S19" i="6"/>
  <c r="S27" i="6"/>
  <c r="I27" i="6"/>
  <c r="W10" i="39"/>
  <c r="AC10" i="39"/>
  <c r="U10" i="39"/>
  <c r="AB10" i="39"/>
  <c r="F50" i="11"/>
  <c r="F50" i="69"/>
  <c r="G36" i="36"/>
  <c r="R37" i="36"/>
  <c r="AB7" i="34"/>
  <c r="T49" i="34"/>
  <c r="G49" i="34"/>
  <c r="G53" i="34"/>
  <c r="H53" i="34"/>
  <c r="W7" i="21"/>
  <c r="AA7" i="21"/>
  <c r="R48" i="21"/>
  <c r="E48" i="21"/>
  <c r="E52" i="21"/>
  <c r="F52" i="21"/>
  <c r="R26" i="6"/>
  <c r="R23" i="6"/>
  <c r="R24" i="6"/>
  <c r="R21" i="6"/>
  <c r="R8" i="1"/>
  <c r="R22" i="6"/>
  <c r="D16" i="6"/>
  <c r="A7" i="51"/>
  <c r="B7" i="72"/>
  <c r="C4" i="52"/>
  <c r="B45" i="72"/>
  <c r="A10" i="51"/>
  <c r="B9" i="72"/>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I5" i="6"/>
  <c r="C49" i="21"/>
  <c r="I63" i="40"/>
  <c r="H65" i="40"/>
  <c r="I70" i="39"/>
  <c r="J63" i="40"/>
  <c r="I65" i="40"/>
  <c r="J70" i="39"/>
  <c r="K63" i="40"/>
  <c r="J65" i="40"/>
  <c r="K70" i="39"/>
  <c r="L63" i="40"/>
  <c r="K65" i="40"/>
  <c r="L70" i="39"/>
  <c r="E2" i="70"/>
  <c r="C34" i="69"/>
  <c r="C38" i="69" s="1"/>
  <c r="M63" i="40"/>
  <c r="L65" i="40"/>
  <c r="M70" i="39"/>
  <c r="D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8" i="1"/>
  <c r="AG6" i="1"/>
  <c r="H109" i="9"/>
  <c r="H110" i="9"/>
  <c r="D18" i="53"/>
  <c r="B35" i="72"/>
  <c r="D124" i="9"/>
  <c r="D16" i="53"/>
  <c r="B34" i="72"/>
  <c r="D10" i="52"/>
  <c r="H14" i="74"/>
  <c r="D17" i="53"/>
  <c r="B36" i="72"/>
  <c r="D125" i="9"/>
  <c r="D11" i="52"/>
  <c r="B7" i="74"/>
  <c r="D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D8" i="74"/>
  <c r="AD3" i="71"/>
  <c r="P21" i="43"/>
  <c r="P22" i="43"/>
  <c r="P23" i="43"/>
  <c r="B71" i="39"/>
  <c r="P24" i="43"/>
  <c r="B66" i="40"/>
  <c r="P25" i="43"/>
  <c r="Q16" i="1"/>
  <c r="N16" i="1"/>
  <c r="F27" i="11"/>
  <c r="C28" i="11"/>
  <c r="C27" i="11"/>
  <c r="C29" i="11"/>
  <c r="D27" i="11"/>
  <c r="F34" i="11"/>
  <c r="C34" i="11"/>
  <c r="C35" i="11"/>
  <c r="C36" i="11"/>
  <c r="C37" i="11"/>
  <c r="C38" i="11"/>
  <c r="C33" i="11"/>
  <c r="C39" i="11"/>
  <c r="C46" i="11"/>
  <c r="C45" i="11"/>
  <c r="C47" i="11"/>
  <c r="D45" i="11"/>
  <c r="F27" i="69"/>
  <c r="C47" i="69" s="1"/>
  <c r="D45" i="69" s="1"/>
  <c r="D5" i="73"/>
  <c r="F26" i="15"/>
  <c r="M8" i="15"/>
  <c r="B8" i="76"/>
  <c r="D3" i="73"/>
  <c r="G1" i="73"/>
  <c r="F9" i="15"/>
  <c r="F43" i="15"/>
  <c r="F38" i="15"/>
  <c r="E10" i="76"/>
  <c r="E7" i="76"/>
  <c r="F6" i="73"/>
  <c r="AO13" i="1"/>
  <c r="F43" i="67"/>
  <c r="F40" i="67"/>
  <c r="M8" i="67"/>
  <c r="M22" i="67"/>
  <c r="F42" i="67"/>
  <c r="AO7" i="1"/>
  <c r="D2" i="35"/>
  <c r="M23" i="15"/>
  <c r="L48" i="67"/>
  <c r="L47" i="67"/>
  <c r="D2" i="21"/>
  <c r="D4" i="73"/>
  <c r="F6" i="15"/>
  <c r="F35" i="15"/>
  <c r="F40" i="15"/>
  <c r="M9" i="15"/>
  <c r="E11" i="76"/>
  <c r="E8" i="76"/>
  <c r="E12" i="76"/>
  <c r="D6" i="73"/>
  <c r="D7" i="73"/>
  <c r="AO12" i="1"/>
  <c r="F8" i="15"/>
  <c r="F4" i="73"/>
  <c r="F16" i="15"/>
  <c r="F36" i="15"/>
  <c r="F37" i="15"/>
  <c r="F42" i="15"/>
  <c r="M6" i="15"/>
  <c r="B11" i="76"/>
  <c r="B10" i="76"/>
  <c r="E13" i="76"/>
  <c r="F7" i="73"/>
  <c r="F3" i="73"/>
  <c r="AO11" i="1"/>
  <c r="AO9" i="1"/>
  <c r="F6" i="67"/>
  <c r="F7" i="67"/>
  <c r="F8" i="67"/>
  <c r="J15" i="15"/>
  <c r="M28" i="15"/>
  <c r="M26" i="15"/>
  <c r="F38" i="67"/>
  <c r="C76" i="67"/>
  <c r="F9" i="67"/>
  <c r="M21" i="67"/>
  <c r="F41" i="67"/>
  <c r="D2" i="36"/>
  <c r="D2" i="37"/>
  <c r="M29" i="67"/>
  <c r="M6" i="67"/>
  <c r="C76" i="15"/>
  <c r="L47" i="15"/>
  <c r="F13" i="67"/>
  <c r="M24" i="67"/>
  <c r="F37" i="67"/>
  <c r="M29" i="15"/>
  <c r="F35" i="67"/>
  <c r="E2" i="69"/>
  <c r="D2" i="33"/>
  <c r="F20" i="31"/>
  <c r="D2" i="34"/>
  <c r="F7" i="15"/>
  <c r="B13" i="76"/>
  <c r="B9" i="76"/>
  <c r="B12" i="76"/>
  <c r="AO10" i="1"/>
  <c r="C14" i="15"/>
  <c r="F13" i="15"/>
  <c r="L48" i="15"/>
  <c r="B7" i="76"/>
  <c r="E9" i="76"/>
  <c r="F5" i="73"/>
  <c r="J15" i="67"/>
  <c r="M24" i="15"/>
  <c r="F26" i="67"/>
  <c r="M22" i="15"/>
  <c r="F16" i="67"/>
  <c r="M21" i="15"/>
  <c r="E2" i="68"/>
  <c r="M9" i="67"/>
  <c r="M26" i="67"/>
  <c r="M23" i="67"/>
  <c r="M28" i="67"/>
  <c r="F36" i="67"/>
  <c r="M27" i="15"/>
  <c r="M27" i="67"/>
  <c r="AO8" i="1"/>
  <c r="E4" i="49" l="1"/>
  <c r="B6" i="49"/>
  <c r="E9" i="49"/>
  <c r="E21" i="49"/>
  <c r="B11" i="49"/>
  <c r="B9" i="49"/>
  <c r="B5" i="49"/>
  <c r="E22" i="49"/>
  <c r="B14" i="49"/>
  <c r="B7" i="49"/>
  <c r="C4" i="4" s="1"/>
  <c r="B4" i="62" s="1"/>
  <c r="B71" i="72" s="1"/>
  <c r="B22" i="49"/>
  <c r="D19" i="68"/>
  <c r="D37" i="68" s="1"/>
  <c r="C37" i="68" s="1"/>
  <c r="C8" i="74"/>
  <c r="C29" i="69"/>
  <c r="D27" i="69" s="1"/>
  <c r="C47" i="68"/>
  <c r="D45" i="68" s="1"/>
  <c r="C15" i="12"/>
  <c r="C36" i="68"/>
  <c r="D19" i="69"/>
  <c r="K4" i="4"/>
  <c r="B46" i="48" s="1"/>
  <c r="B4" i="72" s="1"/>
  <c r="R16" i="1"/>
  <c r="C18" i="12"/>
  <c r="C35" i="69"/>
  <c r="C10" i="69"/>
  <c r="C8" i="69" s="1"/>
  <c r="C5" i="69" s="1"/>
  <c r="C16" i="12"/>
  <c r="B2" i="34"/>
  <c r="B3" i="34" s="1"/>
  <c r="B8" i="70"/>
  <c r="B20" i="31"/>
  <c r="B2" i="33"/>
  <c r="B3" i="33" s="1"/>
  <c r="B2" i="21"/>
  <c r="B3" i="21" s="1"/>
  <c r="F63" i="67"/>
  <c r="C62" i="67" s="1"/>
  <c r="C34" i="67"/>
  <c r="N59" i="67"/>
  <c r="M59" i="67"/>
  <c r="L58" i="67"/>
  <c r="L59" i="67"/>
  <c r="F64" i="67"/>
  <c r="F65" i="67"/>
  <c r="J57" i="67"/>
  <c r="J55" i="67" s="1"/>
  <c r="J58" i="67" s="1"/>
  <c r="Q50" i="67" s="1"/>
  <c r="I54" i="67"/>
  <c r="L56" i="67"/>
  <c r="L58" i="15"/>
  <c r="N59" i="15"/>
  <c r="M59" i="15"/>
  <c r="L59" i="15" s="1"/>
  <c r="Q71" i="15"/>
  <c r="B2" i="35"/>
  <c r="B3" i="35" s="1"/>
  <c r="B2" i="37"/>
  <c r="B3" i="37" s="1"/>
  <c r="B2" i="36"/>
  <c r="B3" i="36" s="1"/>
  <c r="B7" i="70"/>
  <c r="F69" i="67"/>
  <c r="J20" i="15"/>
  <c r="J20" i="67"/>
  <c r="F70" i="67"/>
  <c r="Q71" i="67"/>
  <c r="F66" i="67"/>
  <c r="F68" i="67"/>
  <c r="C27" i="67"/>
  <c r="F51" i="67"/>
  <c r="F71" i="67"/>
  <c r="M7" i="67"/>
  <c r="J6" i="67" s="1"/>
  <c r="F50" i="67"/>
  <c r="C6" i="67"/>
  <c r="B9" i="70"/>
  <c r="B13" i="70"/>
  <c r="B11" i="70"/>
  <c r="J53" i="15"/>
  <c r="J60" i="15"/>
  <c r="Q48" i="15" s="1"/>
  <c r="L56" i="15"/>
  <c r="J57" i="15"/>
  <c r="J55" i="15" s="1"/>
  <c r="J58" i="15" s="1"/>
  <c r="Q50" i="15" s="1"/>
  <c r="L57" i="15"/>
  <c r="I54" i="15"/>
  <c r="J59" i="15"/>
  <c r="L60" i="15"/>
  <c r="F66" i="15"/>
  <c r="F65" i="15"/>
  <c r="F64" i="15"/>
  <c r="F71" i="15"/>
  <c r="C15" i="15"/>
  <c r="C18" i="15"/>
  <c r="I1" i="73"/>
  <c r="B39" i="1" s="1"/>
  <c r="F51" i="15"/>
  <c r="B40" i="1"/>
  <c r="B12" i="70"/>
  <c r="B10" i="70"/>
  <c r="F68" i="15"/>
  <c r="C27" i="15"/>
  <c r="C34" i="15"/>
  <c r="F63" i="15"/>
  <c r="C62" i="15" s="1"/>
  <c r="M7" i="15"/>
  <c r="J6" i="15" s="1"/>
  <c r="F50" i="15"/>
  <c r="C6" i="15"/>
  <c r="E20" i="43"/>
  <c r="C19" i="69"/>
  <c r="D37" i="69"/>
  <c r="C37" i="69" s="1"/>
  <c r="C38" i="68"/>
  <c r="C33" i="68" s="1"/>
  <c r="C16" i="67"/>
  <c r="C17" i="67"/>
  <c r="C14" i="67"/>
  <c r="C16" i="15"/>
  <c r="C17" i="15"/>
  <c r="C21" i="12" l="1"/>
  <c r="C22" i="12" s="1"/>
  <c r="C33" i="69"/>
  <c r="C49" i="15"/>
  <c r="C18" i="67"/>
  <c r="C15" i="67"/>
  <c r="C39" i="68"/>
  <c r="C46" i="68" s="1"/>
  <c r="C45" i="68" s="1"/>
  <c r="C19" i="15"/>
  <c r="M17" i="43"/>
  <c r="G20" i="43" s="1"/>
  <c r="C20" i="43" s="1"/>
  <c r="P17" i="43"/>
  <c r="N17" i="43"/>
  <c r="O17" i="43"/>
  <c r="F24" i="15"/>
  <c r="C24" i="15" s="1"/>
  <c r="F22" i="68"/>
  <c r="C42" i="68" s="1"/>
  <c r="F25" i="12"/>
  <c r="C26" i="12" s="1"/>
  <c r="D25" i="12" s="1"/>
  <c r="F22" i="11"/>
  <c r="F24" i="67"/>
  <c r="C24" i="67" s="1"/>
  <c r="F22" i="69"/>
  <c r="C42" i="69" s="1"/>
  <c r="F11" i="15"/>
  <c r="M11" i="15"/>
  <c r="M11" i="67"/>
  <c r="J10" i="67" s="1"/>
  <c r="J5" i="67" s="1"/>
  <c r="F11" i="67"/>
  <c r="Q57" i="15"/>
  <c r="Q66" i="15"/>
  <c r="L46" i="15"/>
  <c r="J10" i="15"/>
  <c r="J5" i="15" s="1"/>
  <c r="C49" i="67"/>
  <c r="Q73" i="67"/>
  <c r="Q60" i="67"/>
  <c r="C39" i="69"/>
  <c r="C43" i="69" s="1"/>
  <c r="C20" i="69"/>
  <c r="F1" i="15"/>
  <c r="Q52" i="15"/>
  <c r="Q61" i="15"/>
  <c r="Q74" i="15"/>
  <c r="Q60" i="15"/>
  <c r="Q73" i="15"/>
  <c r="Q74" i="67"/>
  <c r="Q61" i="67"/>
  <c r="AE6" i="1"/>
  <c r="C24" i="69" l="1"/>
  <c r="C19" i="67"/>
  <c r="C25" i="69"/>
  <c r="C46" i="69"/>
  <c r="C45" i="69" s="1"/>
  <c r="C41" i="69"/>
  <c r="J26" i="15"/>
  <c r="J24" i="15"/>
  <c r="J18" i="15"/>
  <c r="C20" i="67"/>
  <c r="C26" i="67" s="1"/>
  <c r="C10" i="15"/>
  <c r="C5" i="15" s="1"/>
  <c r="C53" i="15"/>
  <c r="C48" i="15" s="1"/>
  <c r="C33" i="43"/>
  <c r="C34" i="43"/>
  <c r="T2" i="43"/>
  <c r="V2" i="43" s="1"/>
  <c r="T3" i="43"/>
  <c r="V3" i="43" s="1"/>
  <c r="T4" i="43"/>
  <c r="V4" i="43" s="1"/>
  <c r="T5" i="43"/>
  <c r="V5" i="43" s="1"/>
  <c r="T6" i="43"/>
  <c r="V6" i="43" s="1"/>
  <c r="C29" i="43"/>
  <c r="C39" i="43"/>
  <c r="C37" i="43"/>
  <c r="C36" i="43"/>
  <c r="C35" i="43"/>
  <c r="C38" i="43"/>
  <c r="T11" i="43"/>
  <c r="V11" i="43" s="1"/>
  <c r="T16" i="43"/>
  <c r="V16" i="43" s="1"/>
  <c r="T14" i="43"/>
  <c r="V14" i="43" s="1"/>
  <c r="T12" i="43"/>
  <c r="V12" i="43" s="1"/>
  <c r="T9" i="43"/>
  <c r="V9" i="43" s="1"/>
  <c r="T7" i="43"/>
  <c r="V7" i="43" s="1"/>
  <c r="T8" i="43"/>
  <c r="V8" i="43" s="1"/>
  <c r="T15" i="43"/>
  <c r="V15" i="43" s="1"/>
  <c r="T13" i="43"/>
  <c r="V13" i="43" s="1"/>
  <c r="T10" i="43"/>
  <c r="V10" i="43" s="1"/>
  <c r="C20" i="15"/>
  <c r="C26" i="15" s="1"/>
  <c r="C53" i="67"/>
  <c r="C48" i="67" s="1"/>
  <c r="C10" i="67"/>
  <c r="C5" i="67" s="1"/>
  <c r="C26" i="69"/>
  <c r="D22" i="69" s="1"/>
  <c r="C44" i="69"/>
  <c r="D41" i="69" s="1"/>
  <c r="C23" i="69"/>
  <c r="C26" i="11"/>
  <c r="D22" i="11" s="1"/>
  <c r="C24" i="11"/>
  <c r="C25" i="11"/>
  <c r="C44" i="11"/>
  <c r="D41" i="11" s="1"/>
  <c r="C23" i="11"/>
  <c r="C42" i="11"/>
  <c r="C43" i="11"/>
  <c r="C44" i="68"/>
  <c r="D41" i="68" s="1"/>
  <c r="C24" i="68"/>
  <c r="C26" i="68"/>
  <c r="D22" i="68" s="1"/>
  <c r="J24" i="67"/>
  <c r="J26" i="67"/>
  <c r="J29" i="67" s="1"/>
  <c r="J18" i="67"/>
  <c r="C28" i="69"/>
  <c r="C27" i="69" s="1"/>
  <c r="C43" i="68"/>
  <c r="C41" i="68" s="1"/>
  <c r="F41" i="15"/>
  <c r="F69" i="15" l="1"/>
  <c r="J29" i="15"/>
  <c r="C22" i="69"/>
  <c r="C31" i="69" s="1"/>
  <c r="C49" i="69"/>
  <c r="C51" i="69" s="1"/>
  <c r="C23" i="67"/>
  <c r="C29" i="67" s="1"/>
  <c r="C49" i="68"/>
  <c r="C51" i="68" s="1"/>
  <c r="C22" i="11"/>
  <c r="C31" i="11" s="1"/>
  <c r="C60" i="67"/>
  <c r="C66" i="67"/>
  <c r="C41" i="11"/>
  <c r="C49" i="11" s="1"/>
  <c r="C51" i="11" s="1"/>
  <c r="C23" i="15"/>
  <c r="C29" i="15" s="1"/>
  <c r="G35" i="43"/>
  <c r="I35" i="43" s="1"/>
  <c r="E35" i="43"/>
  <c r="G37" i="43"/>
  <c r="I37" i="43" s="1"/>
  <c r="E37" i="43"/>
  <c r="C30" i="43"/>
  <c r="E30" i="43" s="1"/>
  <c r="E29" i="43"/>
  <c r="E34" i="43"/>
  <c r="G34" i="43"/>
  <c r="I34" i="43" s="1"/>
  <c r="C66" i="15"/>
  <c r="C60" i="15"/>
  <c r="C32" i="67"/>
  <c r="C38" i="67"/>
  <c r="G38" i="43"/>
  <c r="I38" i="43" s="1"/>
  <c r="E38" i="43"/>
  <c r="E36" i="43"/>
  <c r="G36" i="43"/>
  <c r="I36" i="43" s="1"/>
  <c r="E39" i="43"/>
  <c r="G39" i="43"/>
  <c r="I39" i="43" s="1"/>
  <c r="E33" i="43"/>
  <c r="G33" i="43"/>
  <c r="I33" i="43" s="1"/>
  <c r="C33" i="15"/>
  <c r="C38" i="15"/>
  <c r="C32" i="15"/>
  <c r="C13" i="67" l="1"/>
  <c r="C37" i="67" s="1"/>
  <c r="C30" i="67" s="1"/>
  <c r="C39" i="67" s="1"/>
  <c r="J59" i="67"/>
  <c r="J60" i="67" s="1"/>
  <c r="C33" i="67"/>
  <c r="C52" i="11"/>
  <c r="B2" i="11" s="1"/>
  <c r="B3" i="11" s="1"/>
  <c r="C52" i="69"/>
  <c r="C57" i="69" s="1"/>
  <c r="C56" i="69" s="1"/>
  <c r="C6" i="68"/>
  <c r="C40" i="9" s="1"/>
  <c r="C31" i="67"/>
  <c r="Q49" i="67"/>
  <c r="J19" i="67"/>
  <c r="J17" i="67" s="1"/>
  <c r="J14" i="67"/>
  <c r="J13" i="67" s="1"/>
  <c r="J23" i="67" s="1"/>
  <c r="C57" i="67"/>
  <c r="C64" i="67" s="1"/>
  <c r="C36" i="67"/>
  <c r="B2" i="69"/>
  <c r="B3" i="69" s="1"/>
  <c r="C36" i="15"/>
  <c r="C13" i="15"/>
  <c r="C57" i="15"/>
  <c r="J14" i="15"/>
  <c r="J19" i="15"/>
  <c r="J17" i="15" s="1"/>
  <c r="Q49" i="15"/>
  <c r="C31" i="15"/>
  <c r="C26" i="43"/>
  <c r="J22" i="67"/>
  <c r="C75" i="67"/>
  <c r="Q70" i="67"/>
  <c r="C7" i="68"/>
  <c r="C5" i="68" s="1"/>
  <c r="C27" i="43"/>
  <c r="C56" i="11"/>
  <c r="C57" i="11" s="1"/>
  <c r="Q48" i="67"/>
  <c r="L46" i="67"/>
  <c r="E6" i="76"/>
  <c r="C56" i="67" l="1"/>
  <c r="C65" i="67" s="1"/>
  <c r="C61" i="67"/>
  <c r="C59" i="67" s="1"/>
  <c r="J16" i="67"/>
  <c r="J25" i="67" s="1"/>
  <c r="E2" i="76"/>
  <c r="C23" i="68"/>
  <c r="C20" i="68"/>
  <c r="C25" i="68" s="1"/>
  <c r="C80" i="67"/>
  <c r="C79" i="67" s="1"/>
  <c r="J13" i="15"/>
  <c r="J23" i="15" s="1"/>
  <c r="J22" i="15"/>
  <c r="C37" i="15"/>
  <c r="C30" i="15" s="1"/>
  <c r="C39" i="15" s="1"/>
  <c r="Q70" i="15"/>
  <c r="C56" i="15"/>
  <c r="C65" i="15" s="1"/>
  <c r="C75" i="15"/>
  <c r="B2" i="43"/>
  <c r="Q69" i="67"/>
  <c r="Q68" i="67" s="1"/>
  <c r="C40" i="67"/>
  <c r="C61" i="15"/>
  <c r="C59" i="15" s="1"/>
  <c r="C64" i="15"/>
  <c r="B6" i="76"/>
  <c r="L51" i="67"/>
  <c r="C58" i="67" l="1"/>
  <c r="C67" i="67" s="1"/>
  <c r="C68" i="67" s="1"/>
  <c r="C71" i="67" s="1"/>
  <c r="J16" i="15"/>
  <c r="J25" i="15" s="1"/>
  <c r="C58" i="15"/>
  <c r="C67" i="15" s="1"/>
  <c r="C68" i="15" s="1"/>
  <c r="C71" i="15" s="1"/>
  <c r="B2" i="76"/>
  <c r="B3" i="76" s="1"/>
  <c r="Q67" i="67"/>
  <c r="L57" i="67"/>
  <c r="L60" i="67" s="1"/>
  <c r="C43" i="67"/>
  <c r="Q56" i="67"/>
  <c r="D2" i="67"/>
  <c r="Q47" i="67"/>
  <c r="Q53" i="67" s="1"/>
  <c r="Q65" i="67"/>
  <c r="C83" i="67"/>
  <c r="C82" i="67" s="1"/>
  <c r="B3" i="43"/>
  <c r="C80" i="15"/>
  <c r="C79" i="15" s="1"/>
  <c r="C28" i="68"/>
  <c r="C27" i="68" s="1"/>
  <c r="C22" i="68"/>
  <c r="C40" i="15"/>
  <c r="Q69" i="15"/>
  <c r="Q68" i="15" s="1"/>
  <c r="L51" i="15"/>
  <c r="C45" i="67" l="1"/>
  <c r="C46" i="67" s="1"/>
  <c r="C31" i="68"/>
  <c r="C52" i="68" s="1"/>
  <c r="B2" i="68" s="1"/>
  <c r="Q67" i="15"/>
  <c r="Q57" i="67"/>
  <c r="Q62" i="67" s="1"/>
  <c r="Q66" i="67"/>
  <c r="Q75" i="67" s="1"/>
  <c r="B2" i="15"/>
  <c r="Q65" i="15"/>
  <c r="Q75" i="15" s="1"/>
  <c r="Q47" i="15"/>
  <c r="Q53" i="15" s="1"/>
  <c r="Q56" i="15"/>
  <c r="Q62" i="15" s="1"/>
  <c r="C43" i="15"/>
  <c r="C83" i="15"/>
  <c r="C82" i="15" s="1"/>
  <c r="C46" i="15"/>
  <c r="C57" i="68"/>
  <c r="C56" i="68" s="1"/>
  <c r="B2" i="67"/>
  <c r="B3" i="67"/>
  <c r="C19" i="9"/>
  <c r="AO6" i="1"/>
  <c r="C21" i="9" l="1"/>
  <c r="C102" i="9"/>
  <c r="B6" i="70"/>
  <c r="B2" i="70" s="1"/>
  <c r="B3" i="70" s="1"/>
  <c r="B3" i="68"/>
  <c r="C8" i="12"/>
  <c r="C4" i="12" s="1"/>
  <c r="B3" i="15"/>
  <c r="C6" i="12" s="1"/>
  <c r="D35" i="9"/>
  <c r="D34" i="9"/>
  <c r="C20" i="9"/>
  <c r="C103" i="9" l="1"/>
  <c r="C23" i="12"/>
  <c r="C31" i="12"/>
  <c r="C30" i="12" l="1"/>
  <c r="C28" i="12" s="1"/>
  <c r="C27" i="12"/>
  <c r="C25" i="12" s="1"/>
  <c r="C32" i="12" l="1"/>
  <c r="B2" i="12" s="1"/>
  <c r="B3" i="12" s="1"/>
  <c r="F6" i="78"/>
  <c r="G6" i="78" s="1"/>
  <c r="D20" i="9"/>
  <c r="D19" i="9"/>
  <c r="D102" i="9" l="1"/>
  <c r="D22" i="9"/>
  <c r="D21" i="9"/>
  <c r="G19" i="9"/>
  <c r="D103" i="9"/>
  <c r="G20" i="9"/>
  <c r="F4" i="78"/>
  <c r="Z18" i="1"/>
  <c r="AC20" i="1" s="1"/>
  <c r="G21" i="9"/>
  <c r="C32" i="9"/>
  <c r="D16" i="74" l="1"/>
  <c r="G16" i="74" s="1"/>
  <c r="AC23" i="1"/>
  <c r="AC24" i="1"/>
  <c r="AC18" i="1"/>
  <c r="AC22" i="1"/>
  <c r="AC21" i="1"/>
  <c r="AC19" i="1"/>
  <c r="G4" i="78"/>
  <c r="H118" i="9"/>
  <c r="C35" i="9"/>
  <c r="F118" i="9" s="1"/>
  <c r="F5" i="78"/>
  <c r="G5" i="78" s="1"/>
  <c r="F7" i="78"/>
  <c r="G7" i="78" s="1"/>
  <c r="C34" i="9" l="1"/>
  <c r="D118" i="9" s="1"/>
  <c r="D119" i="9" s="1"/>
  <c r="D5" i="52" s="1"/>
  <c r="B49" i="72" s="1"/>
  <c r="F16" i="74"/>
  <c r="E16" i="74"/>
  <c r="G118" i="9"/>
  <c r="G4" i="52" s="1"/>
  <c r="B52" i="72" s="1"/>
  <c r="F4" i="52"/>
  <c r="B51" i="72" s="1"/>
  <c r="F119" i="9"/>
  <c r="F5" i="52" s="1"/>
  <c r="B53" i="72" s="1"/>
  <c r="C104" i="9"/>
  <c r="I118" i="9"/>
  <c r="H119" i="9"/>
  <c r="H5" i="52" s="1"/>
  <c r="D14" i="74"/>
  <c r="H101" i="9"/>
  <c r="H4" i="52"/>
  <c r="F8" i="78"/>
  <c r="D4" i="52" l="1"/>
  <c r="B47" i="72" s="1"/>
  <c r="F9" i="78"/>
  <c r="G8" i="78"/>
  <c r="H107" i="9"/>
  <c r="D45" i="9"/>
  <c r="M48" i="9"/>
  <c r="D5" i="53"/>
  <c r="D15" i="74"/>
  <c r="F14" i="74"/>
  <c r="E14" i="74"/>
  <c r="I4" i="52"/>
  <c r="E118" i="9"/>
  <c r="E4" i="52" s="1"/>
  <c r="B48" i="72" s="1"/>
  <c r="C105" i="9"/>
  <c r="H102" i="9"/>
  <c r="D7" i="53" s="1"/>
  <c r="B21" i="72" s="1"/>
  <c r="E15" i="74" l="1"/>
  <c r="F15" i="74"/>
  <c r="B20" i="72"/>
  <c r="D6" i="53"/>
  <c r="B22" i="72" s="1"/>
  <c r="C72" i="9"/>
  <c r="C85" i="9"/>
  <c r="D52" i="9"/>
  <c r="C64" i="9"/>
  <c r="C63" i="9" s="1"/>
  <c r="C67" i="9" s="1"/>
  <c r="C68" i="9" s="1"/>
  <c r="D54" i="9" s="1"/>
  <c r="C78" i="9"/>
  <c r="C73" i="9" s="1"/>
  <c r="C93" i="9"/>
  <c r="C86" i="9" s="1"/>
  <c r="D55" i="9"/>
  <c r="M53" i="9" s="1"/>
  <c r="D53" i="9"/>
  <c r="M49" i="9"/>
  <c r="H108" i="9"/>
  <c r="D15" i="53" s="1"/>
  <c r="B31" i="72" s="1"/>
  <c r="D122" i="9"/>
  <c r="D13" i="53"/>
  <c r="D17" i="74"/>
  <c r="G17" i="74" s="1"/>
  <c r="F17" i="74" l="1"/>
  <c r="E17" i="74"/>
  <c r="B5" i="74"/>
  <c r="D123" i="9"/>
  <c r="D9" i="52" s="1"/>
  <c r="D8" i="52"/>
  <c r="G14" i="74"/>
  <c r="L63" i="9"/>
  <c r="M63" i="9" s="1"/>
  <c r="L64" i="9"/>
  <c r="M64" i="9" s="1"/>
  <c r="L65" i="9"/>
  <c r="M65" i="9" s="1"/>
  <c r="L66" i="9"/>
  <c r="M66" i="9" s="1"/>
  <c r="L67" i="9"/>
  <c r="M67" i="9" s="1"/>
  <c r="L68" i="9"/>
  <c r="M68" i="9" s="1"/>
  <c r="C95" i="9"/>
  <c r="D14" i="53"/>
  <c r="B32" i="72" s="1"/>
  <c r="B30" i="72"/>
  <c r="C79" i="9"/>
  <c r="C5" i="74" l="1"/>
  <c r="D5" i="74"/>
  <c r="M69" i="9"/>
  <c r="N69" i="9" s="1"/>
  <c r="C80" i="9"/>
  <c r="E80" i="9" s="1"/>
  <c r="E81" i="9" s="1"/>
  <c r="C96" i="9"/>
  <c r="E96" i="9" s="1"/>
  <c r="E97" i="9" s="1"/>
  <c r="G15" i="74" l="1"/>
  <c r="B6" i="74" s="1"/>
  <c r="C97" i="9"/>
  <c r="D58" i="9" s="1"/>
  <c r="D56" i="9" s="1"/>
  <c r="M54" i="9" s="1"/>
  <c r="N57" i="9" s="1"/>
  <c r="P57" i="9" s="1"/>
  <c r="C81" i="9"/>
  <c r="C6" i="74" l="1"/>
  <c r="D6" i="74"/>
  <c r="N58" i="9"/>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<sst xmlns="http://schemas.openxmlformats.org/spreadsheetml/2006/main" count="7748" uniqueCount="3356">
  <si>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</si>
  <si>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</si>
  <si>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</si>
  <si>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</si>
  <si>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</si>
  <si>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</si>
  <si>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</si>
  <si>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</si>
  <si>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</si>
  <si>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</si>
  <si>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</si>
  <si>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</si>
  <si>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</si>
  <si>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</si>
  <si>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</si>
  <si>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</si>
  <si>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</si>
  <si>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</si>
  <si>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</si>
  <si>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</si>
  <si>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</si>
  <si>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</si>
  <si>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</si>
  <si>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</si>
  <si>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</si>
  <si>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</si>
  <si>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</si>
  <si>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</si>
  <si>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</si>
  <si>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</si>
  <si>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</si>
  <si>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</si>
  <si>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</si>
  <si>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</si>
  <si>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</si>
  <si>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</si>
  <si>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</si>
  <si>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</si>
  <si>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</si>
  <si>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</si>
  <si>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</si>
  <si>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</si>
  <si>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</si>
  <si>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</si>
  <si>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</si>
  <si>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</si>
  <si>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</si>
  <si>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</si>
  <si>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</si>
  <si>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</si>
  <si>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</si>
  <si>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</si>
  <si>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</si>
  <si>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</si>
  <si>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</si>
  <si>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</si>
  <si>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</si>
  <si>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</si>
  <si>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</si>
  <si>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</si>
  <si>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</si>
  <si>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</si>
  <si>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</si>
  <si>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</si>
  <si>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</si>
  <si>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</si>
  <si>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</si>
  <si>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</si>
  <si>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</si>
  <si>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</si>
  <si>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</si>
  <si>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</si>
  <si>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</si>
  <si>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</si>
  <si>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</si>
  <si>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</si>
  <si>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</si>
  <si>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</si>
  <si>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</si>
  <si>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</si>
  <si>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</si>
  <si>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</si>
  <si>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</si>
  <si>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</si>
  <si>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</si>
  <si>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</si>
  <si>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</si>
  <si>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</si>
  <si>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</si>
  <si>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</si>
  <si>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</si>
  <si>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</si>
  <si>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</si>
  <si>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</si>
  <si>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</si>
  <si>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</si>
  <si>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</si>
  <si>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</si>
  <si>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</si>
  <si>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</si>
  <si>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</si>
  <si>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</si>
  <si>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</si>
  <si>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</si>
  <si>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</si>
  <si>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</si>
  <si>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</si>
  <si>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</si>
  <si>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</si>
  <si>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</si>
  <si>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</si>
  <si>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</si>
  <si>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</si>
  <si>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</si>
  <si>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</si>
  <si>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</si>
  <si>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</si>
  <si>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</si>
  <si>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</si>
  <si>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</si>
  <si>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</si>
  <si>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</si>
  <si>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</si>
  <si>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</si>
  <si>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</si>
  <si>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</si>
  <si>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</si>
  <si>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</si>
  <si>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</si>
  <si>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</si>
  <si>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</si>
  <si>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</si>
  <si>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</si>
  <si>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</si>
  <si>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</si>
  <si>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</si>
  <si>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</si>
  <si>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</si>
  <si>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</si>
  <si>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</si>
  <si>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</si>
  <si>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</si>
  <si>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</si>
  <si>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</si>
  <si>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</si>
  <si>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</si>
  <si>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</si>
  <si>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</si>
  <si>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</si>
  <si>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</si>
  <si>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</si>
  <si>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</si>
  <si>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</si>
  <si>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</si>
  <si>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</si>
  <si>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</si>
  <si>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</si>
  <si>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</si>
  <si>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</si>
  <si>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</si>
  <si>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</si>
  <si>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</si>
  <si>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</si>
  <si>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</si>
  <si>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</si>
  <si>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</si>
  <si>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</si>
  <si>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</si>
  <si>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</si>
  <si>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</si>
  <si>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</si>
  <si>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</si>
  <si>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</si>
  <si>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</si>
  <si>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</si>
  <si>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</si>
  <si>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</si>
  <si>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</si>
  <si>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</si>
  <si>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</si>
  <si>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</si>
  <si>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</si>
  <si>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</si>
  <si>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</si>
  <si>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</si>
  <si>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</si>
  <si>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</si>
  <si>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</si>
  <si>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</si>
  <si>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</si>
  <si>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</si>
  <si>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</si>
  <si>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</si>
  <si>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</si>
  <si>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</si>
  <si>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</si>
  <si>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</si>
  <si>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</si>
  <si>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</si>
  <si>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</si>
  <si>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</si>
  <si>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</si>
  <si>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</si>
  <si>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</si>
  <si>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</si>
  <si>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</si>
  <si>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</si>
  <si>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</si>
  <si>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</si>
  <si>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</si>
  <si>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</si>
  <si>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</si>
  <si>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</si>
  <si>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</si>
  <si>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</si>
  <si>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</si>
  <si>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</si>
  <si>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</si>
  <si>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</si>
  <si>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</si>
  <si>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</si>
  <si>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</si>
  <si>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</si>
  <si>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</si>
  <si>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</si>
  <si>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</si>
  <si>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</si>
  <si>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</si>
  <si>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</si>
  <si>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</si>
  <si>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</si>
  <si>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</si>
  <si>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</si>
  <si>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</si>
  <si>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</si>
  <si>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</si>
  <si>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</si>
  <si>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</si>
  <si>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</si>
  <si>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</si>
  <si>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</si>
  <si>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</si>
  <si>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</si>
  <si>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</si>
  <si>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</si>
  <si>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</si>
  <si>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</si>
  <si>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</si>
  <si>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</si>
  <si>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</si>
  <si>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</si>
  <si>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</si>
  <si>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</si>
  <si>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</si>
  <si>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</si>
  <si>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</si>
  <si>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</si>
  <si>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</si>
  <si>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</si>
  <si>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</si>
  <si>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</si>
  <si>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</si>
  <si>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</si>
  <si>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</si>
  <si>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</si>
  <si>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</si>
  <si>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</si>
  <si>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</si>
  <si>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</si>
  <si>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</si>
  <si>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</si>
  <si>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</si>
  <si>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</si>
  <si>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</si>
  <si>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</si>
  <si>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</si>
  <si>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</si>
  <si>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</si>
  <si>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</si>
  <si>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</si>
  <si>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</si>
  <si>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</si>
  <si>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</si>
  <si>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</si>
  <si>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</si>
  <si>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</si>
  <si>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</si>
  <si>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</si>
  <si>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</si>
  <si>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</si>
  <si>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</si>
  <si>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</si>
  <si>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</si>
  <si>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</si>
  <si>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</si>
  <si>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</si>
  <si>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</si>
  <si>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</si>
  <si>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</si>
  <si>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</si>
  <si>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</si>
  <si>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</si>
  <si>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</si>
  <si>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</si>
  <si>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</si>
  <si>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</si>
  <si>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</si>
  <si>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</si>
  <si>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</si>
  <si>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</si>
  <si>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</si>
  <si>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</si>
  <si>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</si>
  <si>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</si>
  <si>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</si>
  <si>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</si>
  <si>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</si>
  <si>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</si>
  <si>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</si>
  <si>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</si>
  <si>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</si>
  <si>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</si>
  <si>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</si>
  <si>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</si>
  <si>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</si>
  <si>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</si>
  <si>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</si>
  <si>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</si>
  <si>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</si>
  <si>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</si>
  <si>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</si>
  <si>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</si>
  <si>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</si>
  <si>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</si>
  <si>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</si>
  <si>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</si>
  <si>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</si>
  <si>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</si>
  <si>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</si>
  <si>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</si>
  <si>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</si>
  <si>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</si>
  <si>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</si>
  <si>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</si>
  <si>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</si>
  <si>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</si>
  <si>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</si>
  <si>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</si>
  <si>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</si>
  <si>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</si>
  <si>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</si>
  <si>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</si>
  <si>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</si>
  <si>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</si>
  <si>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</si>
  <si>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</si>
  <si>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</si>
  <si>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</si>
  <si>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</si>
  <si>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</si>
  <si>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</si>
  <si>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</si>
  <si>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</si>
  <si>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</si>
  <si>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</si>
  <si>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</si>
  <si>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</si>
  <si>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</si>
  <si>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</si>
  <si>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</si>
  <si>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</si>
  <si>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</si>
  <si>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</si>
  <si>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</si>
  <si>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</si>
  <si>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</si>
  <si>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</si>
  <si>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</si>
  <si>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</si>
  <si>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</si>
  <si>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</si>
  <si>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</si>
  <si>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</si>
  <si>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</si>
  <si>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</si>
  <si>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</si>
  <si>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</si>
  <si>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</si>
  <si>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</si>
  <si>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</si>
  <si>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</si>
  <si>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</si>
  <si>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</si>
  <si>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</si>
  <si>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</si>
  <si>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</si>
  <si>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</si>
  <si>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</si>
  <si>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</si>
  <si>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</si>
  <si>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</si>
  <si>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</si>
  <si>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</si>
  <si>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</si>
  <si>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</si>
  <si>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</si>
  <si>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</si>
  <si>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</si>
  <si>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</si>
  <si>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</si>
  <si>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</si>
  <si>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</si>
  <si>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</si>
  <si>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</si>
  <si>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</si>
  <si>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</si>
  <si>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</si>
  <si>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</si>
  <si>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</si>
  <si>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</si>
  <si>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</si>
  <si>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</si>
  <si>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</si>
  <si>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</si>
  <si>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</si>
  <si>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</si>
  <si>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</si>
  <si>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</si>
  <si>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</si>
  <si>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</si>
  <si>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</si>
  <si>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</si>
  <si>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</si>
  <si>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</si>
  <si>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</si>
  <si>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</si>
  <si>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</si>
  <si>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</si>
  <si>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</si>
  <si>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</si>
  <si>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</si>
  <si>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</si>
  <si>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</si>
  <si>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</si>
  <si>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</si>
  <si>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</si>
  <si>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</si>
  <si>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</si>
  <si>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</si>
  <si>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</si>
  <si>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</si>
  <si>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</si>
  <si>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</si>
  <si>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</si>
  <si>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</si>
  <si>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</si>
  <si>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</si>
  <si>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</si>
  <si>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</si>
  <si>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</si>
  <si>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</si>
  <si>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</si>
  <si>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</si>
  <si>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</si>
  <si>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</si>
  <si>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</si>
  <si>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</si>
  <si>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</si>
  <si>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</si>
  <si>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</si>
  <si>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</si>
  <si>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</si>
  <si>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</si>
  <si>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</si>
  <si>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</si>
  <si>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</si>
  <si>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</si>
  <si>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</si>
  <si>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</si>
  <si>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</si>
  <si>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</si>
  <si>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</si>
  <si>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</si>
  <si>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</si>
  <si>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</si>
  <si>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</si>
  <si>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</si>
  <si>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</si>
  <si>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</si>
  <si>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</si>
  <si>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</si>
  <si>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</si>
  <si>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</si>
  <si>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</si>
  <si>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</si>
  <si>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</si>
  <si>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</si>
  <si>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</si>
  <si>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</si>
  <si>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</si>
  <si>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</si>
  <si>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</si>
  <si>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</si>
  <si>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</si>
  <si>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</si>
  <si>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</si>
  <si>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</si>
  <si>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</si>
  <si>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</si>
  <si>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</si>
  <si>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</si>
  <si>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</si>
  <si>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</si>
  <si>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</si>
  <si>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</si>
  <si>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</si>
  <si>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</si>
  <si>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</si>
  <si>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</si>
  <si>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</si>
  <si>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</si>
  <si>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</si>
  <si>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</si>
  <si>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</si>
  <si>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</si>
  <si>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</si>
  <si>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</si>
  <si>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</si>
  <si>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</si>
  <si>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</si>
  <si>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</si>
  <si>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</si>
  <si>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</si>
  <si>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</si>
  <si>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</si>
  <si>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</si>
  <si>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</si>
  <si>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</si>
  <si>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</si>
  <si>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</si>
  <si>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</si>
  <si>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</si>
  <si>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</si>
  <si>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</si>
  <si>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</si>
  <si>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</si>
  <si>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</si>
  <si>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</si>
  <si>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</si>
  <si>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</si>
  <si>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</si>
  <si>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</si>
  <si>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</si>
  <si>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</si>
  <si>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</si>
  <si>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</si>
  <si>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</si>
  <si>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</si>
  <si>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</si>
  <si>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</si>
  <si>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</si>
  <si>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</si>
  <si>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</si>
  <si>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</si>
  <si>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</si>
  <si>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</si>
  <si>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</si>
  <si>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</si>
  <si>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</si>
  <si>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</si>
  <si>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</si>
  <si>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</si>
  <si>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</si>
  <si>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</si>
  <si>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</si>
  <si>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</si>
  <si>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</si>
  <si>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</si>
  <si>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</si>
  <si>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</si>
  <si>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</si>
  <si>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</si>
  <si>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</si>
  <si>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</si>
  <si>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</si>
  <si>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</si>
  <si>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</si>
  <si>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</si>
  <si>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</si>
  <si>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</si>
  <si>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</si>
  <si>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</si>
  <si>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</si>
  <si>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</si>
  <si>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</si>
  <si>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</si>
  <si>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</si>
  <si>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</si>
  <si>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</si>
  <si>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</si>
  <si>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</si>
  <si>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</si>
  <si>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</si>
  <si>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</si>
  <si>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</si>
  <si>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</si>
  <si>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</si>
  <si>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</si>
  <si>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</si>
  <si>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</si>
  <si>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</si>
  <si>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</si>
  <si>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</si>
  <si>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</si>
  <si>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</si>
  <si>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</si>
  <si>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</si>
  <si>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</si>
  <si>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</si>
  <si>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</si>
  <si>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</si>
  <si>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</si>
  <si>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</si>
  <si>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</si>
  <si>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</si>
  <si>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</si>
  <si>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</si>
  <si>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</si>
  <si>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</si>
  <si>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</si>
  <si>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</si>
  <si>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</si>
  <si>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</si>
  <si>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</si>
  <si>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</si>
  <si>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</si>
  <si>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</si>
  <si>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</si>
  <si>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</si>
  <si>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</si>
  <si>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</si>
  <si>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</si>
  <si>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</si>
  <si>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</si>
  <si>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</si>
  <si>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</si>
  <si>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</si>
  <si>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</si>
  <si>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</si>
  <si>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</si>
  <si>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</si>
  <si>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</si>
  <si>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</si>
  <si>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</si>
  <si>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</si>
  <si>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</si>
  <si>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</si>
  <si>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</si>
  <si>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</si>
  <si>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</si>
  <si>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</si>
  <si>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</si>
  <si>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</si>
  <si>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</si>
  <si>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</si>
  <si>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</si>
  <si>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</si>
  <si>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</si>
  <si>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</si>
  <si>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</si>
  <si>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</si>
  <si>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</si>
  <si>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</si>
  <si>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</si>
  <si>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</si>
  <si>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</si>
  <si>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</si>
  <si>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</si>
  <si>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</si>
  <si>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</si>
  <si>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</si>
  <si>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</si>
  <si>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</si>
  <si>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</si>
  <si>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</si>
  <si>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</si>
  <si>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</si>
  <si>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</si>
  <si>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</si>
  <si>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</si>
  <si>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</si>
  <si>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</si>
  <si>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</si>
  <si>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</si>
  <si>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</si>
  <si>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</si>
  <si>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</si>
  <si>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</si>
  <si>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</si>
  <si>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</si>
  <si>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</si>
  <si>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</si>
  <si>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</si>
  <si>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</si>
  <si>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</si>
  <si>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</si>
  <si>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</si>
  <si>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</si>
  <si>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</si>
  <si>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</si>
  <si>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</si>
  <si>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</si>
  <si>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</si>
  <si>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</si>
  <si>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</si>
  <si>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</si>
  <si>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</si>
  <si>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</si>
  <si>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</si>
  <si>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</si>
  <si>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</si>
  <si>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</si>
  <si>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</si>
  <si>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</si>
  <si>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</si>
  <si>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</si>
  <si>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</si>
  <si>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</si>
  <si>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</si>
  <si>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</si>
  <si>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</si>
  <si>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</si>
  <si>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</si>
  <si>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</si>
  <si>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</si>
  <si>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</si>
  <si>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</si>
  <si>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</si>
  <si>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</si>
  <si>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</si>
  <si>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</si>
  <si>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</si>
  <si>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</si>
  <si>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</si>
  <si>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</si>
  <si>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</si>
  <si>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</si>
  <si>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</si>
  <si>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</si>
  <si>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</si>
  <si>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</si>
  <si>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</si>
  <si>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</si>
  <si>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</si>
  <si>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</si>
  <si>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</si>
  <si>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</si>
  <si>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</si>
  <si>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</si>
  <si>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</si>
  <si>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</si>
  <si>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</si>
  <si>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</si>
  <si>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</si>
  <si>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</si>
  <si>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</si>
  <si>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</si>
  <si>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</si>
  <si>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</si>
  <si>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</si>
  <si>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</si>
  <si>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</si>
  <si>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</si>
  <si>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</si>
  <si>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</si>
  <si>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</si>
  <si>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</si>
  <si>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</si>
  <si>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</si>
  <si>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</si>
  <si>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</si>
  <si>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</si>
  <si>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</si>
  <si>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</si>
  <si>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</si>
  <si>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</si>
  <si>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</si>
  <si>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</si>
  <si>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</si>
  <si>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</si>
  <si>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</si>
  <si>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</si>
  <si>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</si>
  <si>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</si>
  <si>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</si>
  <si>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</si>
  <si>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</si>
  <si>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</si>
  <si>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</si>
  <si>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</si>
  <si>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</si>
  <si>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</si>
  <si>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</si>
  <si>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</si>
  <si>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</si>
  <si>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</si>
  <si>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</si>
  <si>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</si>
  <si>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</si>
  <si>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</si>
  <si>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</si>
  <si>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</si>
  <si>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</si>
  <si>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</si>
  <si>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</si>
  <si>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</si>
  <si>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</si>
  <si>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</si>
  <si>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</si>
  <si>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</si>
  <si>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</si>
  <si>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</si>
  <si>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</si>
  <si>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</si>
  <si>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</si>
  <si>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</si>
  <si>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</si>
  <si>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</si>
  <si>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</si>
  <si>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</si>
  <si>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</si>
  <si>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</si>
  <si>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</si>
  <si>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</si>
  <si>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</si>
  <si>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</si>
  <si>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</si>
  <si>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</si>
  <si>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</si>
  <si>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</si>
  <si>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</si>
  <si>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</si>
  <si>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</si>
  <si>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</si>
  <si>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</si>
  <si>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</si>
  <si>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</si>
  <si>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</si>
  <si>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</si>
  <si>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</si>
  <si>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</si>
  <si>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</si>
  <si>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</si>
  <si>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</si>
  <si>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</si>
  <si>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</si>
  <si>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</si>
  <si>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</si>
  <si>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</si>
  <si>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</si>
  <si>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</si>
  <si>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</si>
  <si>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</si>
  <si>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</si>
  <si>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</si>
  <si>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</si>
  <si>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</si>
  <si>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</si>
  <si>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</si>
  <si>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</si>
  <si>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</si>
  <si>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</si>
  <si>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</si>
  <si>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</si>
  <si>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</si>
  <si>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</si>
  <si>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</si>
  <si>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</si>
  <si>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</si>
  <si>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</si>
  <si>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</si>
  <si>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</si>
  <si>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</si>
  <si>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</si>
  <si>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</si>
  <si>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</si>
  <si>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</si>
  <si>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</si>
  <si>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</si>
  <si>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</si>
  <si>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</si>
  <si>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</si>
  <si>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</si>
  <si>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</si>
  <si>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</si>
  <si>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</si>
  <si>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</si>
  <si>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</si>
  <si>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</si>
  <si>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</si>
  <si>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</si>
  <si>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</si>
  <si>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</si>
  <si>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</si>
  <si>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</si>
  <si>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</si>
  <si>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</si>
  <si>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</si>
  <si>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</si>
  <si>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</si>
  <si>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</si>
  <si>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</si>
  <si>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</si>
  <si>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</si>
  <si>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</si>
  <si>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</si>
  <si>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</si>
  <si>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</si>
  <si>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</si>
  <si>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</si>
  <si>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</si>
  <si>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</si>
  <si>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</si>
  <si>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</si>
  <si>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</si>
  <si>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</si>
  <si>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</si>
  <si>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</si>
  <si>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</si>
  <si>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</si>
  <si>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</si>
  <si>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</si>
  <si>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</si>
  <si>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</si>
  <si>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</si>
  <si>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</si>
  <si>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</si>
  <si>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</si>
  <si>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</si>
  <si>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</si>
  <si>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</si>
  <si>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</si>
  <si>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</si>
  <si>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</si>
  <si>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</si>
  <si>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</si>
  <si>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</si>
  <si>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</si>
  <si>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</si>
  <si>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</si>
  <si>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</si>
  <si>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</si>
  <si>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</si>
  <si>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</si>
  <si>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</si>
  <si>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</si>
  <si>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</si>
  <si>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</si>
  <si>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</si>
  <si>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</si>
  <si>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</si>
  <si>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</si>
  <si>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</si>
  <si>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</si>
  <si>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</si>
  <si>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</si>
  <si>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</si>
  <si>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</si>
  <si>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</si>
  <si>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</si>
  <si>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</si>
  <si>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</si>
  <si>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</si>
  <si>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</si>
  <si>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</si>
  <si>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</si>
  <si>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</si>
  <si>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</si>
  <si>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</si>
  <si>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</si>
  <si>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</si>
  <si>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</si>
  <si>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</si>
  <si>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</si>
  <si>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</si>
  <si>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</si>
  <si>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</si>
  <si>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</si>
  <si>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</si>
  <si>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</si>
  <si>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</si>
  <si>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</si>
  <si>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</si>
  <si>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</si>
  <si>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</si>
  <si>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</si>
  <si>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</si>
  <si>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</si>
  <si>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</si>
  <si>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</si>
  <si>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</si>
  <si>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</si>
  <si>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</si>
  <si>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</si>
  <si>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</si>
  <si>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</si>
  <si>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</si>
  <si>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</si>
  <si>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</si>
  <si>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</si>
  <si>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</si>
  <si>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</si>
  <si>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</si>
  <si>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</si>
  <si>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</si>
  <si>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</si>
  <si>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</si>
  <si>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</si>
  <si>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</si>
  <si>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</si>
  <si>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</si>
  <si>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</si>
  <si>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</si>
  <si>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</si>
  <si>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</si>
  <si>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</si>
  <si>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</si>
  <si>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</si>
  <si>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</si>
  <si>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</si>
  <si>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</si>
  <si>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</si>
  <si>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</si>
  <si>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</si>
  <si>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</si>
  <si>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</si>
  <si>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</si>
  <si>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</si>
  <si>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</si>
  <si>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</si>
  <si>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</si>
  <si>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</si>
  <si>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</si>
  <si>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</si>
  <si>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</si>
  <si>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</si>
  <si>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</si>
  <si>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</si>
  <si>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</si>
  <si>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</si>
  <si>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</si>
  <si>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</si>
  <si>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</si>
  <si>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</si>
  <si>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</si>
  <si>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</si>
  <si>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</si>
  <si>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</si>
  <si>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</si>
  <si>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</si>
  <si>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</si>
  <si>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</si>
  <si>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</si>
  <si>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</si>
  <si>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</si>
  <si>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</si>
  <si>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</si>
  <si>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</si>
  <si>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</si>
  <si>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</si>
  <si>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</si>
  <si>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</si>
  <si>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</si>
  <si>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</si>
  <si>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</si>
  <si>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</si>
  <si>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</si>
  <si>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</si>
  <si>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</si>
  <si>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</si>
  <si>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</si>
  <si>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</si>
  <si>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</si>
  <si>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</si>
  <si>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</si>
  <si>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</si>
  <si>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</si>
  <si>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</si>
  <si>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</si>
  <si>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</si>
  <si>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</si>
  <si>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</si>
  <si>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</si>
  <si>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</si>
  <si>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</si>
  <si>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</si>
  <si>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</si>
  <si>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</si>
  <si>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</si>
  <si>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</si>
  <si>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</si>
  <si>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</si>
  <si>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</si>
  <si>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</si>
  <si>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</si>
  <si>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</si>
  <si>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</si>
  <si>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</si>
  <si>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</si>
  <si>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</si>
  <si>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</si>
  <si>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</si>
  <si>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</si>
  <si>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</si>
  <si>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</si>
  <si>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</si>
  <si>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</si>
  <si>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</si>
  <si>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</si>
  <si>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</si>
  <si>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</si>
  <si>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</si>
  <si>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</si>
  <si>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</si>
  <si>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</si>
  <si>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</si>
  <si>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</si>
  <si>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</si>
  <si>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</si>
  <si>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</si>
  <si>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</si>
  <si>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</si>
  <si>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</si>
  <si>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</si>
  <si>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</si>
  <si>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</si>
  <si>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</si>
  <si>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</si>
  <si>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</si>
  <si>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</si>
  <si>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</si>
  <si>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</si>
  <si>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</si>
  <si>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</si>
  <si>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</si>
  <si>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</si>
  <si>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</si>
  <si>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</si>
  <si>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</si>
  <si>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</si>
  <si>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</si>
  <si>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</si>
  <si>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</si>
  <si>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</si>
  <si>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</si>
  <si>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</si>
  <si>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</si>
  <si>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</si>
  <si>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</si>
  <si>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</si>
  <si>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</si>
  <si>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</si>
  <si>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</si>
  <si>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</si>
  <si>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</si>
  <si>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</si>
  <si>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</si>
  <si>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</si>
  <si>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</si>
  <si>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</si>
  <si>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</si>
  <si>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</si>
  <si>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</si>
  <si>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</si>
  <si>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</si>
  <si>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</si>
  <si>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</si>
  <si>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</si>
  <si>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</si>
  <si>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</si>
  <si>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</si>
  <si>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</si>
  <si>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</si>
  <si>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</si>
  <si>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</si>
  <si>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</si>
  <si>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</si>
  <si>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</si>
  <si>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</si>
  <si>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</si>
  <si>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</si>
  <si>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</si>
  <si>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</si>
  <si>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</si>
  <si>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</si>
  <si>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</si>
  <si>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</si>
  <si>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</si>
  <si>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</si>
  <si>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</si>
  <si>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</si>
  <si>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</si>
  <si>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</si>
  <si>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</si>
  <si>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</si>
  <si>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</si>
  <si>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</si>
  <si>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</si>
  <si>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</si>
  <si>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</si>
  <si>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</si>
  <si>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</si>
  <si>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</si>
  <si>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</si>
  <si>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</si>
  <si>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</si>
  <si>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</si>
  <si>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</si>
  <si>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</si>
  <si>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</si>
  <si>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</si>
  <si>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</si>
  <si>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</si>
  <si>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</si>
  <si>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</si>
  <si>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</si>
  <si>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</si>
  <si>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</si>
  <si>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</si>
  <si>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</si>
  <si>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</si>
  <si>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</si>
  <si>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</si>
  <si>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</si>
  <si>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</si>
  <si>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</si>
  <si>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</si>
  <si>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</si>
  <si>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</si>
  <si>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</si>
  <si>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</si>
  <si>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</si>
  <si>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</si>
  <si>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</si>
  <si>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</si>
  <si>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</si>
  <si>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</si>
  <si>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</si>
  <si>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</si>
  <si>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</si>
  <si>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</si>
  <si>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</si>
  <si>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</si>
  <si>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</si>
  <si>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</si>
  <si>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</si>
  <si>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</si>
  <si>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</si>
  <si>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</si>
  <si>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</si>
  <si>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</si>
  <si>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</si>
  <si>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</si>
  <si>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</si>
  <si>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</si>
  <si>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</si>
  <si>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</si>
  <si>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</si>
  <si>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</si>
  <si>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</si>
  <si>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</si>
  <si>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</si>
  <si>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</si>
  <si>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</si>
  <si>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</si>
  <si>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</si>
  <si>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</si>
  <si>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</si>
  <si>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</si>
  <si>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</si>
  <si>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</si>
  <si>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</si>
  <si>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</si>
  <si>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</si>
  <si>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</si>
  <si>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</si>
  <si>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</si>
  <si>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</si>
  <si>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</si>
  <si>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</si>
  <si>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</si>
  <si>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</si>
  <si>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</si>
  <si>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</si>
  <si>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</si>
  <si>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</si>
  <si>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</si>
  <si>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</si>
  <si>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</si>
  <si>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</si>
  <si>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</si>
  <si>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</si>
  <si>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</si>
  <si>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</si>
  <si>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</si>
  <si>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</si>
  <si>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</si>
  <si>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</si>
  <si>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</si>
  <si>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</si>
  <si>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</si>
  <si>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</si>
  <si>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</si>
  <si>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</si>
  <si>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</si>
  <si>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</si>
  <si>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</si>
  <si>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</si>
  <si>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</si>
  <si>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</si>
  <si>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</si>
  <si>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</si>
  <si>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</si>
  <si>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</si>
  <si>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</si>
  <si>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</si>
  <si>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</si>
  <si>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</si>
  <si>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</si>
  <si>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</si>
  <si>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</si>
  <si>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</si>
  <si>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</si>
  <si>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</si>
  <si>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</si>
  <si>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</si>
  <si>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</si>
  <si>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</si>
  <si>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</si>
  <si>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</si>
  <si>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</si>
  <si>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</si>
  <si>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</si>
  <si>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</si>
  <si>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</si>
  <si>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</si>
  <si>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</si>
  <si>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</si>
  <si>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</si>
  <si>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</si>
  <si>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</si>
  <si>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</si>
  <si>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</si>
  <si>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</si>
  <si>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</si>
  <si>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</si>
  <si>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</si>
  <si>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</si>
  <si>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</si>
  <si>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</si>
  <si>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</si>
  <si>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</si>
  <si>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</si>
  <si>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</si>
  <si>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</si>
  <si>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</si>
  <si>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</si>
  <si>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</si>
  <si>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</si>
  <si>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</si>
  <si>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</si>
  <si>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</si>
  <si>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</si>
  <si>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</si>
  <si>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</si>
  <si>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</si>
  <si>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</si>
  <si>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</si>
  <si>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</si>
  <si>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</si>
  <si>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</si>
  <si>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</si>
  <si>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</si>
  <si>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</si>
  <si>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</si>
  <si>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</si>
  <si>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</si>
  <si>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</si>
  <si>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</si>
  <si>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</si>
  <si>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</si>
  <si>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</si>
  <si>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</si>
  <si>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</si>
  <si>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</si>
  <si>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</si>
  <si>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</si>
  <si>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</si>
  <si>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</si>
  <si>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</si>
  <si>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</si>
  <si>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</si>
  <si>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</si>
  <si>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</si>
  <si>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</si>
  <si>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</si>
  <si>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</si>
  <si>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</si>
  <si>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</si>
  <si>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</si>
  <si>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</si>
  <si>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</si>
  <si>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</si>
  <si>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</si>
  <si>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</si>
  <si>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</si>
  <si>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</si>
  <si>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</si>
  <si>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</si>
  <si>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</si>
  <si>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</si>
  <si>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</si>
  <si>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</si>
  <si>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</si>
  <si>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</si>
  <si>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</si>
  <si>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</si>
  <si>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</si>
  <si>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</si>
  <si>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</si>
  <si>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</si>
  <si>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</si>
  <si>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</si>
  <si>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</si>
  <si>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</si>
  <si>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</si>
  <si>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</si>
  <si>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</si>
  <si>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</si>
  <si>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</si>
  <si>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</si>
  <si>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</si>
  <si>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</si>
  <si>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</si>
  <si>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</si>
  <si>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</si>
  <si>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</si>
  <si>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</si>
  <si>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</si>
  <si>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</si>
  <si>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</si>
  <si>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</si>
  <si>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</si>
  <si>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</si>
  <si>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</si>
  <si>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</si>
  <si>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</si>
  <si>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</si>
  <si>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</si>
  <si>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</si>
  <si>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</si>
  <si>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</si>
  <si>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</si>
  <si>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</si>
  <si>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</si>
  <si>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</si>
  <si>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</si>
  <si>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</si>
  <si>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</si>
  <si>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</si>
  <si>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</si>
  <si>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</si>
  <si>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</si>
  <si>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</si>
  <si>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</si>
  <si>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</si>
  <si>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</si>
  <si>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</si>
  <si>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</si>
  <si>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</si>
  <si>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</si>
  <si>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</si>
  <si>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</si>
  <si>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</si>
  <si>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</si>
  <si>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</si>
  <si>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</si>
  <si>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</si>
  <si>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</si>
  <si>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</si>
  <si>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</si>
  <si>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</si>
  <si>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</si>
  <si>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</si>
  <si>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</si>
  <si>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</si>
  <si>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</si>
  <si>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</si>
  <si>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</si>
  <si>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</si>
  <si>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</si>
  <si>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</si>
  <si>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</si>
  <si>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</si>
  <si>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</si>
  <si>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</si>
  <si>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</si>
  <si>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</si>
  <si>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</si>
  <si>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</si>
  <si>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</si>
  <si>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</si>
  <si>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</si>
  <si>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</si>
  <si>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</si>
  <si>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</si>
  <si>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</si>
  <si>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</si>
  <si>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</si>
  <si>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</si>
  <si>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</si>
  <si>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</si>
  <si>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</si>
  <si>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</si>
  <si>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</si>
  <si>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</si>
  <si>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</si>
  <si>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</si>
  <si>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</si>
  <si>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</si>
  <si>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</si>
  <si>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</si>
  <si>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</si>
  <si>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</si>
  <si>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</si>
  <si>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</si>
  <si>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</si>
  <si>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</si>
  <si>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</si>
  <si>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</si>
  <si>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</si>
  <si>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</si>
  <si>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</si>
  <si>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</si>
  <si>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</si>
  <si>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</si>
  <si>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</si>
  <si>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</si>
  <si>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</si>
  <si>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</si>
  <si>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</si>
  <si>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</si>
  <si>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</si>
  <si>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</si>
  <si>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</si>
  <si>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</si>
  <si>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</si>
  <si>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</si>
  <si>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</si>
  <si>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</si>
  <si>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</si>
  <si>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</si>
  <si>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</si>
  <si>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</si>
  <si>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</si>
  <si>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</si>
  <si>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</si>
  <si>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</si>
  <si>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</si>
  <si>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</si>
  <si>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</si>
  <si>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</si>
  <si>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</si>
  <si>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</si>
  <si>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</si>
  <si>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</si>
  <si>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</si>
  <si>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</si>
  <si>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</si>
  <si>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</si>
  <si>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</si>
  <si>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</si>
  <si>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</si>
  <si>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</si>
  <si>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</si>
  <si>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</si>
  <si>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</si>
  <si>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</si>
  <si>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</si>
  <si>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</si>
  <si>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</si>
  <si>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</si>
  <si>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</si>
  <si>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</si>
  <si>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</si>
  <si>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</si>
  <si>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</si>
  <si>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</si>
  <si>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</si>
  <si>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</si>
  <si>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</si>
  <si>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</si>
  <si>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</si>
  <si>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</si>
  <si>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</si>
  <si>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</si>
  <si>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</si>
  <si>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</si>
  <si>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</si>
  <si>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</si>
  <si>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</si>
  <si>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</si>
  <si>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</si>
  <si>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</si>
  <si>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</si>
  <si>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</si>
  <si>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</si>
  <si>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</si>
  <si>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</si>
  <si>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</si>
  <si>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</si>
  <si>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</si>
  <si>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</si>
  <si>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</si>
  <si>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</si>
  <si>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</si>
  <si>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</si>
  <si>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</si>
  <si>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</si>
  <si>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</si>
  <si>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</si>
  <si>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</si>
  <si>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</si>
  <si>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</si>
  <si>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</si>
  <si>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</si>
  <si>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</si>
  <si>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</si>
  <si>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</si>
  <si>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</si>
  <si>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</si>
  <si>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</si>
  <si>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</si>
  <si>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</si>
  <si>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</si>
  <si>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</si>
  <si>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</si>
  <si>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</si>
  <si>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</si>
  <si>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</si>
  <si>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</si>
  <si>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</si>
  <si>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</si>
  <si>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</si>
  <si>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</si>
  <si>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</si>
  <si>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</si>
  <si>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</si>
  <si>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</si>
  <si>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</si>
  <si>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</si>
  <si>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</si>
  <si>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</si>
  <si>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</si>
  <si>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</si>
  <si>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</si>
  <si>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</si>
  <si>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</si>
  <si>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</si>
  <si>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</si>
  <si>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</si>
  <si>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</si>
  <si>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</si>
  <si>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</si>
  <si>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</si>
  <si>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</si>
  <si>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</si>
  <si>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</si>
  <si>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</si>
  <si>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</si>
  <si>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</si>
  <si>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</si>
  <si>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</si>
  <si>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</si>
  <si>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</si>
  <si>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</si>
  <si>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</si>
  <si>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</si>
  <si>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</si>
  <si>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</si>
  <si>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</si>
  <si>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</si>
  <si>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</si>
  <si>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</si>
  <si>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</si>
  <si>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</si>
  <si>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</si>
  <si>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</si>
  <si>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</si>
  <si>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</si>
  <si>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</si>
  <si>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</si>
  <si>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</si>
  <si>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</si>
  <si>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</si>
  <si>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</si>
  <si>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</si>
  <si>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</si>
  <si>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</si>
  <si>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</si>
  <si>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</si>
  <si>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</si>
  <si>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</si>
  <si>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</si>
  <si>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</si>
  <si>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</si>
  <si>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</si>
  <si>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</si>
  <si>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</si>
  <si>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</si>
  <si>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</si>
  <si>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</si>
  <si>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</si>
  <si>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</si>
  <si>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</si>
  <si>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</si>
  <si>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</si>
  <si>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</si>
  <si>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</si>
  <si>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</si>
  <si>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</si>
  <si>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</si>
  <si>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</si>
  <si>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</si>
  <si>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</si>
  <si>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</si>
  <si>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</si>
  <si>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</si>
  <si>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</si>
  <si>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</si>
  <si>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</si>
  <si>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</si>
  <si>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</si>
  <si>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</si>
  <si>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</si>
  <si>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</si>
  <si>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</si>
  <si>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</si>
  <si>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</si>
  <si>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</si>
  <si>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</si>
  <si>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</si>
  <si>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</si>
  <si>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</si>
  <si>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</si>
  <si>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</si>
  <si>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</si>
  <si>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</si>
  <si>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</si>
  <si>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</si>
  <si>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</si>
  <si>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</si>
  <si>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</si>
  <si>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</si>
  <si>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</si>
  <si>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</si>
  <si>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</si>
  <si>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</si>
  <si>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</si>
  <si>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</si>
  <si>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</si>
  <si>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</si>
  <si>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</si>
  <si>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</si>
  <si>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</si>
  <si>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</si>
  <si>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</si>
  <si>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</si>
  <si>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</si>
  <si>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</si>
  <si>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</si>
  <si>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</si>
  <si>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</si>
  <si>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</si>
  <si>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</si>
  <si>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</si>
  <si>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</si>
  <si>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</si>
  <si>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</si>
  <si>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</si>
  <si>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</si>
  <si>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</si>
  <si>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</si>
  <si>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</si>
  <si>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</si>
  <si>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</si>
  <si>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</si>
  <si>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</si>
  <si>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</si>
  <si>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</si>
  <si>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</si>
  <si>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</si>
  <si>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</si>
  <si>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</si>
  <si>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</si>
  <si>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</si>
  <si>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</si>
  <si>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</si>
  <si>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</si>
  <si>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</si>
  <si>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</si>
  <si>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</si>
  <si>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</si>
  <si>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</si>
  <si>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</si>
  <si>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</si>
  <si>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</si>
  <si>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</si>
  <si>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</si>
  <si>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</si>
  <si>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</si>
  <si>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</si>
  <si>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</si>
  <si>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</si>
  <si>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</si>
  <si>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</si>
  <si>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</si>
  <si>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</si>
  <si>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</si>
  <si>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</si>
  <si>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</si>
  <si>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</si>
  <si>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</si>
  <si>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</si>
  <si>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</si>
  <si>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</si>
  <si>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</si>
  <si>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</si>
  <si>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</si>
  <si>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</si>
  <si>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</si>
  <si>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</si>
  <si>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</si>
  <si>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</si>
  <si>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</si>
  <si>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</si>
  <si>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</si>
  <si>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</si>
  <si>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</si>
  <si>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</si>
  <si>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</si>
  <si>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</si>
  <si>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</si>
  <si>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</si>
  <si>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</si>
  <si>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</si>
  <si>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</si>
  <si>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</si>
  <si>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</si>
  <si>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</si>
  <si>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</si>
  <si>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</si>
  <si>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</si>
  <si>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</si>
  <si>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</si>
  <si>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</si>
  <si>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</si>
  <si>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</si>
  <si>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</si>
  <si>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</si>
  <si>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</si>
  <si>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</si>
  <si>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</si>
  <si>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</si>
  <si>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</si>
  <si>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</si>
  <si>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</si>
  <si>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</si>
  <si>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</si>
  <si>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</si>
  <si>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</si>
  <si>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</si>
  <si>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</si>
  <si>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</si>
  <si>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</si>
  <si>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</si>
  <si>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</si>
  <si>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</si>
  <si>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</si>
  <si>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</si>
  <si>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</si>
  <si>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</si>
  <si>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</si>
  <si>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</si>
  <si>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</si>
  <si>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</si>
  <si>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</si>
  <si>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</si>
  <si>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</si>
  <si>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</si>
  <si>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</si>
  <si>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</si>
  <si>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</si>
  <si>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</si>
  <si>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</si>
  <si>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</si>
  <si>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</si>
  <si>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</si>
  <si>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</si>
  <si>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</si>
  <si>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</si>
  <si>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</si>
  <si>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</si>
  <si>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</si>
  <si>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</si>
  <si>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</si>
  <si>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</si>
  <si>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</si>
  <si>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</si>
  <si>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</si>
  <si>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</si>
  <si>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</si>
  <si>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</si>
  <si>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</si>
  <si>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</si>
  <si>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</si>
  <si>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</si>
  <si>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</si>
  <si>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</si>
  <si>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</si>
  <si>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</si>
  <si>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</si>
  <si>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</si>
  <si>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</si>
  <si>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</si>
  <si>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</si>
  <si>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</si>
  <si>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</si>
  <si>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</si>
  <si>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</si>
  <si>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</si>
  <si>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</si>
  <si>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</si>
  <si>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</si>
  <si>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</si>
  <si>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</si>
  <si>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</si>
  <si>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</si>
  <si>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</si>
  <si>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</si>
  <si>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</si>
  <si>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</si>
  <si>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</si>
  <si>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</si>
  <si>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</si>
  <si>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</si>
  <si>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</si>
  <si>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</si>
  <si>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</si>
  <si>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</si>
  <si>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</si>
  <si>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</si>
  <si>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</si>
  <si>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</si>
  <si>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</si>
  <si>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</si>
  <si>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</si>
  <si>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</si>
  <si>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</si>
  <si>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</si>
  <si>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</si>
  <si>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</si>
  <si>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</si>
  <si>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</si>
  <si>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</si>
  <si>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</si>
  <si>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</si>
  <si>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</si>
  <si>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</si>
  <si>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</si>
  <si>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</si>
  <si>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</si>
  <si>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</si>
  <si>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</si>
  <si>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</si>
  <si>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</si>
  <si>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</si>
  <si>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</si>
  <si>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</si>
  <si>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</si>
  <si>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</si>
  <si>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</si>
  <si>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</si>
  <si>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</si>
  <si>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</si>
  <si>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</si>
  <si>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</si>
  <si>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</si>
  <si>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</si>
  <si>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</si>
  <si>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</si>
  <si>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</si>
  <si>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</si>
  <si>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</si>
  <si>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</si>
  <si>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</si>
  <si>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</si>
  <si>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</si>
  <si>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</si>
  <si>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</si>
  <si>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</si>
  <si>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</si>
  <si>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</si>
  <si>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</si>
  <si>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</si>
  <si>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</si>
  <si>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</si>
  <si>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</si>
  <si>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</si>
  <si>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</si>
  <si>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</si>
  <si>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</si>
  <si>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</si>
  <si>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</si>
  <si>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</si>
  <si>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</si>
  <si>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</si>
  <si>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</si>
  <si>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</si>
  <si>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</si>
  <si>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</si>
  <si>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</si>
  <si>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</si>
  <si>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</si>
  <si>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</si>
  <si>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</si>
  <si>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</si>
  <si>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</si>
  <si>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</si>
  <si>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</si>
  <si>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</si>
  <si>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</si>
  <si>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</si>
  <si>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</si>
  <si>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</si>
  <si>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</si>
  <si>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</si>
  <si>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</si>
  <si>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</si>
  <si>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</si>
  <si>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</si>
  <si>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</si>
  <si>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</si>
  <si>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</si>
  <si>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</si>
  <si>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</si>
  <si>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</si>
  <si>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</si>
  <si>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</si>
  <si>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</si>
  <si>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</si>
  <si>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</si>
  <si>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</si>
  <si>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</si>
  <si>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</si>
  <si>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</si>
  <si>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</si>
  <si>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</si>
  <si>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</si>
  <si>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</si>
  <si>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</si>
  <si>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</si>
  <si>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</si>
  <si>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</si>
  <si>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</si>
  <si>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</si>
  <si>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</si>
  <si>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</si>
  <si>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</si>
  <si>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</si>
  <si>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</si>
  <si>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</si>
  <si>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</si>
  <si>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</si>
  <si>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</si>
  <si>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</si>
  <si>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</si>
  <si>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</si>
  <si>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</si>
  <si>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</si>
  <si>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</si>
  <si>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</si>
  <si>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</si>
  <si>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</si>
  <si>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</si>
  <si>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</si>
  <si>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</si>
  <si>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</si>
  <si>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</si>
  <si>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</si>
  <si>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</si>
  <si>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</si>
  <si>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</si>
  <si>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</si>
  <si>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</si>
  <si>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</si>
  <si>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</si>
  <si>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</si>
  <si>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</si>
  <si>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</si>
  <si>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</si>
  <si>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</si>
  <si>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</si>
  <si>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</si>
  <si>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</si>
  <si>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</si>
  <si>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</si>
  <si>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</si>
  <si>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</si>
  <si>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</si>
  <si>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</si>
  <si>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</si>
  <si>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</si>
  <si>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</si>
  <si>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</si>
  <si>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</si>
  <si>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</si>
  <si>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</si>
  <si>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</si>
  <si>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</si>
  <si>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</si>
  <si>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</si>
  <si>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</si>
  <si>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</si>
  <si>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</si>
  <si>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</si>
  <si>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</si>
  <si>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</si>
  <si>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</si>
  <si>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</si>
  <si>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</si>
  <si>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</si>
  <si>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</si>
  <si>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</si>
  <si>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</si>
  <si>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</si>
  <si>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</si>
  <si>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</si>
  <si>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</si>
  <si>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</si>
  <si>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</si>
  <si>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</si>
  <si>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</si>
  <si>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</si>
  <si>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</si>
  <si>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</si>
  <si>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</si>
  <si>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</si>
  <si>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</si>
  <si>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</si>
  <si>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</si>
  <si>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</si>
  <si>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</si>
  <si>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</si>
  <si>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</si>
  <si>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</si>
  <si>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</si>
  <si>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</si>
  <si>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</si>
  <si>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</si>
  <si>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</si>
  <si>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</si>
  <si>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</si>
  <si>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</si>
  <si>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</si>
  <si>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</si>
  <si>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</si>
  <si>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</si>
  <si>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</si>
  <si>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</si>
  <si>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</si>
  <si>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</si>
  <si>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</si>
  <si>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</si>
  <si>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</si>
  <si>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</si>
  <si>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</si>
  <si>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</si>
  <si>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</si>
  <si>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</si>
  <si>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</si>
  <si>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</si>
  <si>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</si>
  <si>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</si>
  <si>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</si>
  <si>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</si>
  <si>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</si>
  <si>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</si>
  <si>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</si>
  <si>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</si>
  <si>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</si>
  <si>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</si>
  <si>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</si>
  <si>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</si>
  <si>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</si>
  <si>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</si>
  <si>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</si>
  <si>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</si>
  <si>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</si>
  <si>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</si>
  <si>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</si>
  <si>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</si>
  <si>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</si>
  <si>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</si>
  <si>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</si>
  <si>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</si>
  <si>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</si>
  <si>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</si>
  <si>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</si>
  <si>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</si>
  <si>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</si>
  <si>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</si>
  <si>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</si>
  <si>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</si>
  <si>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</si>
  <si>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</si>
  <si>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</si>
  <si>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</si>
  <si>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</si>
  <si>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</si>
  <si>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</si>
  <si>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</si>
  <si>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</si>
  <si>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</si>
  <si>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</si>
  <si>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</si>
  <si>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</si>
  <si>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</si>
  <si>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</si>
  <si>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</si>
  <si>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</si>
  <si>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</si>
  <si>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</si>
  <si>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</si>
  <si>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</si>
  <si>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</si>
  <si>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</si>
  <si>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</si>
  <si>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</si>
  <si>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</si>
  <si>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</si>
  <si>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</si>
  <si>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</si>
  <si>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</si>
  <si>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</si>
  <si>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</si>
  <si>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</si>
  <si>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</si>
  <si>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</si>
  <si>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</si>
  <si>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</si>
  <si>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</si>
  <si>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</si>
  <si>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</si>
  <si>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</si>
  <si>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</si>
  <si>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</si>
  <si>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</si>
  <si>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</si>
  <si>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</si>
  <si>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</si>
  <si>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</si>
  <si>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</si>
  <si>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</si>
  <si>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</si>
  <si>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</si>
  <si>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</si>
  <si>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</si>
  <si>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</si>
  <si>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</si>
  <si>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</si>
  <si>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</si>
  <si>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</si>
  <si>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</si>
  <si>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</si>
  <si>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</si>
  <si>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</si>
  <si>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</si>
  <si>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</si>
  <si>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</si>
  <si>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</si>
  <si>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</si>
  <si>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</si>
  <si>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</si>
  <si>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</si>
  <si>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</si>
  <si>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</si>
  <si>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</si>
  <si>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</si>
  <si>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</si>
  <si>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</si>
  <si>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</si>
  <si>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</si>
  <si>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</si>
  <si>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</si>
  <si>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</si>
  <si>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</si>
  <si>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</si>
  <si>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</si>
  <si>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</si>
  <si>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</si>
  <si>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</si>
  <si>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</si>
  <si>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</si>
  <si>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</si>
  <si>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</si>
  <si>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</si>
  <si>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</si>
  <si>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</si>
  <si>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</si>
  <si>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</si>
  <si>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</si>
  <si>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</si>
  <si>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</si>
  <si>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</si>
  <si>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</si>
  <si>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</si>
  <si>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</si>
  <si>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</si>
  <si>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</si>
  <si>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</si>
  <si>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</si>
  <si>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</si>
  <si>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</si>
  <si>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</si>
  <si>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</si>
  <si>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</si>
  <si>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</si>
  <si>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</si>
  <si>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</si>
  <si>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</si>
  <si>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</si>
  <si>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</si>
  <si>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</si>
  <si>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</si>
  <si>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</si>
  <si>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</si>
  <si>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</si>
  <si>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</si>
  <si>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</si>
  <si>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</si>
  <si>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</si>
  <si>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</si>
  <si>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</si>
  <si>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</si>
  <si>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</si>
  <si>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</si>
  <si>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</si>
  <si>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</si>
  <si>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</si>
  <si>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</si>
  <si>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</si>
  <si>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</si>
  <si>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</si>
  <si>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</si>
  <si>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</si>
  <si>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</si>
  <si>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</si>
  <si>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</si>
  <si>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</si>
  <si>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</si>
  <si>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</si>
  <si>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</si>
  <si>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</si>
  <si>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</si>
  <si>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</si>
  <si>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</si>
  <si>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</si>
  <si>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</si>
  <si>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</si>
  <si>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</si>
  <si>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</si>
  <si>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</si>
  <si>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</si>
  <si>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</si>
  <si>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</si>
  <si>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</si>
  <si>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</si>
  <si>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</si>
  <si>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</si>
  <si>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</si>
  <si>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</si>
  <si>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</si>
  <si>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</si>
  <si>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</si>
  <si>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</si>
  <si>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</si>
  <si>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</si>
  <si>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</si>
  <si>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</si>
  <si>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</si>
  <si>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</si>
  <si>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</si>
  <si>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</si>
  <si>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</si>
  <si>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</si>
  <si>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</si>
  <si>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</si>
  <si>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</si>
  <si>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</si>
  <si>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</si>
  <si>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</si>
  <si>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</si>
  <si>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</si>
  <si>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</si>
  <si>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</si>
  <si>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</si>
  <si>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</si>
  <si>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</si>
  <si>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</si>
  <si>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</si>
  <si>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</si>
  <si>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</si>
  <si>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</si>
  <si>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</si>
  <si>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</si>
  <si>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</si>
  <si>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</si>
  <si>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</si>
  <si>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</si>
  <si>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</si>
  <si>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</si>
  <si>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</si>
  <si>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</si>
  <si>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</si>
  <si>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</si>
  <si>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</si>
  <si>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</si>
  <si>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</si>
  <si>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</si>
  <si>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</si>
  <si>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</si>
  <si>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</si>
  <si>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</si>
  <si>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</si>
  <si>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</si>
  <si>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</si>
  <si>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</si>
  <si>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</si>
  <si>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</si>
  <si>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</si>
  <si>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</si>
  <si>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</si>
  <si>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</si>
  <si>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</si>
  <si>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</si>
  <si>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</si>
  <si>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</si>
  <si>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</si>
  <si>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</si>
  <si>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</si>
  <si>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</si>
  <si>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</si>
  <si>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</si>
  <si>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</si>
  <si>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</si>
  <si>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</si>
  <si>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</si>
  <si>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</si>
  <si>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</si>
  <si>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</si>
  <si>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</si>
  <si>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</si>
  <si>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</si>
  <si>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</si>
  <si>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</si>
  <si>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</si>
  <si>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</si>
  <si>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</si>
  <si>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</si>
  <si>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</si>
  <si>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</si>
  <si>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</si>
  <si>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</si>
  <si>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</si>
  <si>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</si>
  <si>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</si>
  <si>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</si>
  <si>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</si>
  <si>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</si>
  <si>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</si>
  <si>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</si>
  <si>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</si>
  <si>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</si>
  <si>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</si>
  <si>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</si>
  <si>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</si>
  <si>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</si>
  <si>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</si>
  <si>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</si>
  <si>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</si>
  <si>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</si>
  <si>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</si>
  <si>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</si>
  <si>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</si>
  <si>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</si>
  <si>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</si>
  <si>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</si>
  <si>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</si>
  <si>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</si>
  <si>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</si>
  <si>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</si>
  <si>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</si>
  <si>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</si>
  <si>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</si>
  <si>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</si>
  <si>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</si>
  <si>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</si>
  <si>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</si>
  <si>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</si>
  <si>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</si>
  <si>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</si>
  <si>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</si>
  <si>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</si>
  <si>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</si>
  <si>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</si>
  <si>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</si>
  <si>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</si>
  <si>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</si>
  <si>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</si>
  <si>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</si>
  <si>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</si>
  <si>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</si>
  <si>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</si>
  <si>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</si>
  <si>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</si>
  <si>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</si>
  <si>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</si>
  <si>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</si>
  <si>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</si>
  <si>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</si>
  <si>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</si>
  <si>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</si>
  <si>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</si>
  <si>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</si>
  <si>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</si>
  <si>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</si>
  <si>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</si>
  <si>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</si>
  <si>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</si>
  <si>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</si>
  <si>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</si>
  <si>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</si>
  <si>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</si>
  <si>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</si>
  <si>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</si>
  <si>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</si>
  <si>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</si>
  <si>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</si>
  <si>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</si>
  <si>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</si>
  <si>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</si>
  <si>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</si>
  <si>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</si>
  <si>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</si>
  <si>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</si>
  <si>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</si>
  <si>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</si>
  <si>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</si>
  <si>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</si>
  <si>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</si>
  <si>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</si>
  <si>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</si>
  <si>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</si>
  <si>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</si>
  <si>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</si>
  <si>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</si>
  <si>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</si>
  <si>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</si>
  <si>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</si>
  <si>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</si>
  <si>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</si>
  <si>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</si>
  <si>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</si>
  <si>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</si>
  <si>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</si>
  <si>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</si>
  <si>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</si>
  <si>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</si>
  <si>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</si>
  <si>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</si>
  <si>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</si>
  <si>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</si>
  <si>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</si>
  <si>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</si>
  <si>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</si>
  <si>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</si>
  <si>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</si>
  <si>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</si>
  <si>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</si>
  <si>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</si>
  <si>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</si>
  <si>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</si>
  <si>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</si>
  <si>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</si>
  <si>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</si>
  <si>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</si>
  <si>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</si>
  <si>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</si>
  <si>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</si>
  <si>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</si>
  <si>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</si>
  <si>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</si>
  <si>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</si>
  <si>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</si>
  <si>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</si>
  <si>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</si>
  <si>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</si>
  <si>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</si>
  <si>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</si>
  <si>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</si>
  <si>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</si>
  <si>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</si>
  <si>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</si>
  <si>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</si>
  <si>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</si>
  <si>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</si>
  <si>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</si>
  <si>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</si>
  <si>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</si>
  <si>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</si>
  <si>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</si>
  <si>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</si>
  <si>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</si>
  <si>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</si>
  <si>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</si>
  <si>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</si>
  <si>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</si>
  <si>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</si>
  <si>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</si>
  <si>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</si>
  <si>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</si>
  <si>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</si>
  <si>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</si>
  <si>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</si>
  <si>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</si>
  <si>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</si>
  <si>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</si>
  <si>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</si>
  <si>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</si>
  <si>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</si>
  <si>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</si>
  <si>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</si>
  <si>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</si>
  <si>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</si>
  <si>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</si>
  <si>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</si>
  <si>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</si>
  <si>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</si>
  <si>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</si>
  <si>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</si>
  <si>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</si>
  <si>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</si>
  <si>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</si>
  <si>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</si>
  <si>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</si>
  <si>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</si>
  <si>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</si>
  <si>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</si>
  <si>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</si>
  <si>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</si>
  <si>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</si>
  <si>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</si>
  <si>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</si>
  <si>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</si>
  <si>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</si>
  <si>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</si>
  <si>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</si>
  <si>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</si>
  <si>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</si>
  <si>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</si>
  <si>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</si>
  <si>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</si>
  <si>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</si>
  <si>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</si>
  <si>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</si>
  <si>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</si>
  <si>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</si>
  <si>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</si>
  <si>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</si>
  <si>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</si>
  <si>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</si>
  <si>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</si>
  <si>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</si>
  <si>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</si>
  <si>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</si>
  <si>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</si>
  <si>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</si>
  <si>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</si>
  <si>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</si>
  <si>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</si>
  <si>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</si>
  <si>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</si>
  <si>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</si>
  <si>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</si>
  <si>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</si>
  <si>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</si>
  <si>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</si>
  <si>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</si>
  <si>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</si>
  <si>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</si>
  <si>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</si>
  <si>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</si>
  <si>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</si>
  <si>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</si>
  <si>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</si>
  <si>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</si>
  <si>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</si>
  <si>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</si>
  <si>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</si>
  <si>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</si>
  <si>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</si>
  <si>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</si>
  <si>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</si>
  <si>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</si>
  <si>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</si>
  <si>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</si>
  <si>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</si>
  <si>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</si>
  <si>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</si>
  <si>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</si>
  <si>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</si>
  <si>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</si>
  <si>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</si>
  <si>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</si>
  <si>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</si>
  <si>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</si>
  <si>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</si>
  <si>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</si>
  <si>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</si>
  <si>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</si>
  <si>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</si>
  <si>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</si>
  <si>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</si>
  <si>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</si>
  <si>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</si>
  <si>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</si>
  <si>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</si>
  <si>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</si>
  <si>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</si>
  <si>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</si>
  <si>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</si>
  <si>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</si>
  <si>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</si>
  <si>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</si>
  <si>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</si>
  <si>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</si>
  <si>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</si>
  <si>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</si>
  <si>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</si>
  <si>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</si>
  <si>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</si>
  <si>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</si>
  <si>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</si>
  <si>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</si>
  <si>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</si>
  <si>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</si>
  <si>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</si>
  <si>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</si>
  <si>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</si>
  <si>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</si>
  <si>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</si>
  <si>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</si>
  <si>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</si>
  <si>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</si>
  <si>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</si>
  <si>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</si>
  <si>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</si>
  <si>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</si>
  <si>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</si>
  <si>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</si>
  <si>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</si>
  <si>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</si>
  <si>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</si>
  <si>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</si>
  <si>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</si>
  <si>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</si>
  <si>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</si>
  <si>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</si>
  <si>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</si>
  <si>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</si>
  <si>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</si>
  <si>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</si>
  <si>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</si>
  <si>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</si>
  <si>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</si>
  <si>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</si>
  <si>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</si>
  <si>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</si>
  <si>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</si>
  <si>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</si>
  <si>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</si>
  <si>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</si>
  <si>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</si>
  <si>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</si>
  <si>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</si>
  <si>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</si>
  <si>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</si>
  <si>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</si>
  <si>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</si>
  <si>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</si>
  <si>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</si>
  <si>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</si>
  <si>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</si>
  <si>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</si>
  <si>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</si>
  <si>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</si>
  <si>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</si>
  <si>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</si>
  <si>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</si>
  <si>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</si>
  <si>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</si>
  <si>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</si>
  <si>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</si>
  <si>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</si>
  <si>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</si>
  <si>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</si>
  <si>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</si>
  <si>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</si>
  <si>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</si>
  <si>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</si>
  <si>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</si>
  <si>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</si>
  <si>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</si>
  <si>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</si>
  <si>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</si>
  <si>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</si>
  <si>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</si>
  <si>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</si>
  <si>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</si>
  <si>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</si>
  <si>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</si>
  <si>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</si>
  <si>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</si>
  <si>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</si>
  <si>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</si>
  <si>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</si>
  <si>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</si>
  <si>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</si>
  <si>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</si>
  <si>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</si>
  <si>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</si>
  <si>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</si>
  <si>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</si>
  <si>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</si>
  <si>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</si>
  <si>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</si>
  <si>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</si>
  <si>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</si>
  <si>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</si>
  <si>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</si>
  <si>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</si>
  <si>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</si>
  <si>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</si>
  <si>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</si>
  <si>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</si>
  <si>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</si>
  <si>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</si>
  <si>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</si>
  <si>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</si>
  <si>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</si>
  <si>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</si>
  <si>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</si>
  <si>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</si>
  <si>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</si>
  <si>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</si>
  <si>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</si>
  <si>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</si>
  <si>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</si>
  <si>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</si>
  <si>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</si>
  <si>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</si>
  <si>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</si>
  <si>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</si>
  <si>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</si>
  <si>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</si>
  <si>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</si>
  <si>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</si>
  <si>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</si>
  <si>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</si>
  <si>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</si>
  <si>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</si>
  <si>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</si>
  <si>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</si>
  <si>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</si>
  <si>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</si>
  <si>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</si>
  <si>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</si>
  <si>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</si>
  <si>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</si>
  <si>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</si>
  <si>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</si>
  <si>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</si>
  <si>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</si>
  <si>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</si>
  <si>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</si>
  <si>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</si>
  <si>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</si>
  <si>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</si>
  <si>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</si>
  <si>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</si>
  <si>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</si>
  <si>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</si>
  <si>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</si>
  <si>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</si>
  <si>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</si>
  <si>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</si>
  <si>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</si>
  <si>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</si>
  <si>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</si>
  <si>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</si>
  <si>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</si>
  <si>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</si>
  <si>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</si>
  <si>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</si>
  <si>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</si>
  <si>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</si>
  <si>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</si>
  <si>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</si>
  <si>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</si>
  <si>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</si>
  <si>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</si>
  <si>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</si>
  <si>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</si>
  <si>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</si>
  <si>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</si>
  <si>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</si>
  <si>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</si>
  <si>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</si>
  <si>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</si>
  <si>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</si>
  <si>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</si>
  <si>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</si>
  <si>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</si>
  <si>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</si>
  <si>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</si>
  <si>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</si>
  <si>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</si>
  <si>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</si>
  <si>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</si>
  <si>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</si>
  <si>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</si>
  <si>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</si>
  <si>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</si>
  <si>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</si>
  <si>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</si>
  <si>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</si>
  <si>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</si>
  <si>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</si>
  <si>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</si>
  <si>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</si>
  <si>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</si>
  <si>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</si>
  <si>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</si>
  <si>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</si>
  <si>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</si>
  <si>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</si>
  <si>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</si>
  <si>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</si>
  <si>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</si>
  <si>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</si>
  <si>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</si>
  <si>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</si>
  <si>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</si>
  <si>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</si>
  <si>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</si>
  <si>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</si>
  <si>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</si>
  <si>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</si>
  <si>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</si>
  <si>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</si>
  <si>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</si>
  <si>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</si>
  <si>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</si>
  <si>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</si>
  <si>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</si>
  <si>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</si>
  <si>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</si>
  <si>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</si>
  <si>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</si>
  <si>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</si>
  <si>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</si>
  <si>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</si>
  <si>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</si>
  <si>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</si>
  <si>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</si>
  <si>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</si>
  <si>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</si>
  <si>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</si>
  <si>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</si>
  <si>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</si>
  <si>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</si>
  <si>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</si>
  <si>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</si>
  <si>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</si>
  <si>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</si>
  <si>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</si>
  <si>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</si>
  <si>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</si>
  <si>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</si>
  <si>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</si>
  <si>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</si>
  <si>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</si>
  <si>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</si>
  <si>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</si>
  <si>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</si>
  <si>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</si>
  <si>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</si>
  <si>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</si>
  <si>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</si>
  <si>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</si>
  <si>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</si>
  <si>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</si>
  <si>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</si>
  <si>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</si>
  <si>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</si>
  <si>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</si>
  <si>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</si>
  <si>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</si>
  <si>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</si>
  <si>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</si>
  <si>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</si>
  <si>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</si>
  <si>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</si>
  <si>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</si>
  <si>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</si>
  <si>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</si>
  <si>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</si>
  <si>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</si>
  <si>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</si>
  <si>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</si>
  <si>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</si>
  <si>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</si>
  <si>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</si>
  <si>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</si>
  <si>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</si>
  <si>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t>户号</t>
    <phoneticPr fontId="144" type="noConversion"/>
  </si>
  <si>
    <r>
      <t>Q</t>
    </r>
    <r>
      <rPr>
        <sz val="11"/>
        <color theme="1"/>
        <rFont val="宋体"/>
        <family val="3"/>
        <charset val="134"/>
        <scheme val="minor"/>
      </rPr>
      <t>D01</t>
    </r>
    <phoneticPr fontId="144" type="noConversion"/>
  </si>
  <si>
    <t>楼层</t>
    <phoneticPr fontId="144" type="noConversion"/>
  </si>
  <si>
    <t>地下1层</t>
  </si>
  <si>
    <t>地下1层</t>
    <phoneticPr fontId="144" type="noConversion"/>
  </si>
  <si>
    <t>建筑面积</t>
    <phoneticPr fontId="144" type="noConversion"/>
  </si>
  <si>
    <r>
      <t>Q</t>
    </r>
    <r>
      <rPr>
        <sz val="11"/>
        <color theme="1"/>
        <rFont val="宋体"/>
        <family val="3"/>
        <charset val="134"/>
        <scheme val="minor"/>
      </rPr>
      <t>D02</t>
    </r>
    <phoneticPr fontId="144" type="noConversion"/>
  </si>
  <si>
    <r>
      <t>Q</t>
    </r>
    <r>
      <rPr>
        <sz val="11"/>
        <color theme="1"/>
        <rFont val="宋体"/>
        <family val="3"/>
        <charset val="134"/>
        <scheme val="minor"/>
      </rPr>
      <t>D03</t>
    </r>
    <r>
      <rPr>
        <sz val="11"/>
        <color theme="1"/>
        <rFont val="宋体"/>
        <family val="2"/>
        <charset val="134"/>
        <scheme val="minor"/>
      </rPr>
      <t/>
    </r>
  </si>
  <si>
    <r>
      <t>Q</t>
    </r>
    <r>
      <rPr>
        <sz val="11"/>
        <color theme="1"/>
        <rFont val="宋体"/>
        <family val="3"/>
        <charset val="134"/>
        <scheme val="minor"/>
      </rPr>
      <t>D04</t>
    </r>
    <r>
      <rPr>
        <sz val="11"/>
        <color theme="1"/>
        <rFont val="宋体"/>
        <family val="2"/>
        <charset val="134"/>
        <scheme val="minor"/>
      </rPr>
      <t/>
    </r>
  </si>
  <si>
    <t>QD06</t>
    <phoneticPr fontId="144" type="noConversion"/>
  </si>
  <si>
    <t>QD08</t>
    <phoneticPr fontId="144" type="noConversion"/>
  </si>
  <si>
    <t>QD31</t>
    <phoneticPr fontId="144" type="noConversion"/>
  </si>
  <si>
    <t>QD36</t>
    <phoneticPr fontId="144" type="noConversion"/>
  </si>
  <si>
    <t>QD37</t>
    <phoneticPr fontId="144" type="noConversion"/>
  </si>
  <si>
    <t>地下2层</t>
  </si>
  <si>
    <t>QD42</t>
  </si>
  <si>
    <t>QD43</t>
  </si>
  <si>
    <t>QD39</t>
    <phoneticPr fontId="144" type="noConversion"/>
  </si>
  <si>
    <t>QD45</t>
    <phoneticPr fontId="144" type="noConversion"/>
  </si>
  <si>
    <t>QD49</t>
    <phoneticPr fontId="144" type="noConversion"/>
  </si>
  <si>
    <t>QD52</t>
    <phoneticPr fontId="144" type="noConversion"/>
  </si>
  <si>
    <t>QD56</t>
    <phoneticPr fontId="144" type="noConversion"/>
  </si>
  <si>
    <t>QD65</t>
    <phoneticPr fontId="144" type="noConversion"/>
  </si>
  <si>
    <t>QD69</t>
    <phoneticPr fontId="144" type="noConversion"/>
  </si>
  <si>
    <t>QD70</t>
    <phoneticPr fontId="144" type="noConversion"/>
  </si>
  <si>
    <t>QD71</t>
    <phoneticPr fontId="144" type="noConversion"/>
  </si>
  <si>
    <t>QA109</t>
    <phoneticPr fontId="144" type="noConversion"/>
  </si>
  <si>
    <t>QA111</t>
    <phoneticPr fontId="144" type="noConversion"/>
  </si>
  <si>
    <t>QA112</t>
    <phoneticPr fontId="144" type="noConversion"/>
  </si>
  <si>
    <t>QA112跃层</t>
    <phoneticPr fontId="144" type="noConversion"/>
  </si>
  <si>
    <t>QA113</t>
    <phoneticPr fontId="144" type="noConversion"/>
  </si>
  <si>
    <t>QA115</t>
    <phoneticPr fontId="144" type="noConversion"/>
  </si>
  <si>
    <t>1层</t>
  </si>
  <si>
    <t>1层</t>
    <phoneticPr fontId="144" type="noConversion"/>
  </si>
  <si>
    <t>2层</t>
  </si>
  <si>
    <t>4层</t>
  </si>
  <si>
    <t>1层跃层</t>
    <phoneticPr fontId="144" type="noConversion"/>
  </si>
  <si>
    <t>QB106</t>
    <phoneticPr fontId="144" type="noConversion"/>
  </si>
  <si>
    <t>QB107</t>
  </si>
  <si>
    <t>QB116</t>
    <phoneticPr fontId="144" type="noConversion"/>
  </si>
  <si>
    <t>QB115</t>
    <phoneticPr fontId="144" type="noConversion"/>
  </si>
  <si>
    <t>QB111B</t>
    <phoneticPr fontId="144" type="noConversion"/>
  </si>
  <si>
    <t>QB110B</t>
    <phoneticPr fontId="144" type="noConversion"/>
  </si>
  <si>
    <t>QB110A</t>
    <phoneticPr fontId="144" type="noConversion"/>
  </si>
  <si>
    <t>QB109</t>
    <phoneticPr fontId="144" type="noConversion"/>
  </si>
  <si>
    <t>D101</t>
    <phoneticPr fontId="144" type="noConversion"/>
  </si>
  <si>
    <t>D103</t>
  </si>
  <si>
    <t>D102</t>
    <phoneticPr fontId="144" type="noConversion"/>
  </si>
  <si>
    <t>D110</t>
    <phoneticPr fontId="144" type="noConversion"/>
  </si>
  <si>
    <t>QB203</t>
    <phoneticPr fontId="144" type="noConversion"/>
  </si>
  <si>
    <t>QB204</t>
  </si>
  <si>
    <t>QB205</t>
    <phoneticPr fontId="144" type="noConversion"/>
  </si>
  <si>
    <t>QB206</t>
    <phoneticPr fontId="144" type="noConversion"/>
  </si>
  <si>
    <t>2层</t>
    <phoneticPr fontId="144" type="noConversion"/>
  </si>
  <si>
    <t>2层</t>
    <phoneticPr fontId="144" type="noConversion"/>
  </si>
  <si>
    <t>2层</t>
    <phoneticPr fontId="144" type="noConversion"/>
  </si>
  <si>
    <t>D201</t>
    <phoneticPr fontId="144" type="noConversion"/>
  </si>
  <si>
    <t>D202</t>
    <phoneticPr fontId="144" type="noConversion"/>
  </si>
  <si>
    <t>总计</t>
    <phoneticPr fontId="144" type="noConversion"/>
  </si>
  <si>
    <t>序号</t>
    <phoneticPr fontId="144" type="noConversion"/>
  </si>
  <si>
    <r>
      <t>Q</t>
    </r>
    <r>
      <rPr>
        <sz val="11"/>
        <color theme="1"/>
        <rFont val="宋体"/>
        <family val="3"/>
        <charset val="134"/>
        <scheme val="minor"/>
      </rPr>
      <t>D201</t>
    </r>
    <phoneticPr fontId="144" type="noConversion"/>
  </si>
  <si>
    <t>地下2层</t>
    <phoneticPr fontId="144" type="noConversion"/>
  </si>
  <si>
    <r>
      <t>Q</t>
    </r>
    <r>
      <rPr>
        <sz val="11"/>
        <color theme="1"/>
        <rFont val="宋体"/>
        <family val="3"/>
        <charset val="134"/>
        <scheme val="minor"/>
      </rPr>
      <t>D202</t>
    </r>
    <r>
      <rPr>
        <sz val="11"/>
        <color theme="1"/>
        <rFont val="宋体"/>
        <family val="2"/>
        <charset val="134"/>
        <scheme val="minor"/>
      </rPr>
      <t/>
    </r>
  </si>
  <si>
    <r>
      <t>Q</t>
    </r>
    <r>
      <rPr>
        <sz val="11"/>
        <color theme="1"/>
        <rFont val="宋体"/>
        <family val="3"/>
        <charset val="134"/>
        <scheme val="minor"/>
      </rPr>
      <t>D203</t>
    </r>
    <r>
      <rPr>
        <sz val="11"/>
        <color theme="1"/>
        <rFont val="宋体"/>
        <family val="2"/>
        <charset val="134"/>
        <scheme val="minor"/>
      </rPr>
      <t/>
    </r>
  </si>
  <si>
    <r>
      <t>Q</t>
    </r>
    <r>
      <rPr>
        <sz val="11"/>
        <color theme="1"/>
        <rFont val="宋体"/>
        <family val="3"/>
        <charset val="134"/>
        <scheme val="minor"/>
      </rPr>
      <t>D204</t>
    </r>
    <r>
      <rPr>
        <sz val="11"/>
        <color theme="1"/>
        <rFont val="宋体"/>
        <family val="2"/>
        <charset val="134"/>
        <scheme val="minor"/>
      </rPr>
      <t/>
    </r>
  </si>
  <si>
    <r>
      <t>Q</t>
    </r>
    <r>
      <rPr>
        <sz val="11"/>
        <color theme="1"/>
        <rFont val="宋体"/>
        <family val="3"/>
        <charset val="134"/>
        <scheme val="minor"/>
      </rPr>
      <t>D205</t>
    </r>
    <r>
      <rPr>
        <sz val="11"/>
        <color theme="1"/>
        <rFont val="宋体"/>
        <family val="2"/>
        <charset val="134"/>
        <scheme val="minor"/>
      </rPr>
      <t/>
    </r>
  </si>
  <si>
    <r>
      <t>Q</t>
    </r>
    <r>
      <rPr>
        <sz val="11"/>
        <color theme="1"/>
        <rFont val="宋体"/>
        <family val="3"/>
        <charset val="134"/>
        <scheme val="minor"/>
      </rPr>
      <t>D206</t>
    </r>
    <r>
      <rPr>
        <sz val="11"/>
        <color theme="1"/>
        <rFont val="宋体"/>
        <family val="2"/>
        <charset val="134"/>
        <scheme val="minor"/>
      </rPr>
      <t/>
    </r>
  </si>
  <si>
    <r>
      <t>Q</t>
    </r>
    <r>
      <rPr>
        <sz val="11"/>
        <color theme="1"/>
        <rFont val="宋体"/>
        <family val="3"/>
        <charset val="134"/>
        <scheme val="minor"/>
      </rPr>
      <t>D207</t>
    </r>
    <r>
      <rPr>
        <sz val="11"/>
        <color theme="1"/>
        <rFont val="宋体"/>
        <family val="2"/>
        <charset val="134"/>
        <scheme val="minor"/>
      </rPr>
      <t/>
    </r>
  </si>
  <si>
    <t>DD201</t>
    <phoneticPr fontId="144" type="noConversion"/>
  </si>
  <si>
    <t>DD202</t>
  </si>
  <si>
    <t>DD203</t>
  </si>
  <si>
    <t>DD204</t>
  </si>
  <si>
    <t>DD205</t>
  </si>
  <si>
    <t>DD206</t>
  </si>
  <si>
    <t>DD207</t>
  </si>
  <si>
    <t>DD208</t>
  </si>
  <si>
    <t>DD209</t>
  </si>
  <si>
    <t>DD210</t>
  </si>
  <si>
    <t>DD211</t>
  </si>
  <si>
    <t>DD212</t>
  </si>
  <si>
    <t>DD101</t>
    <phoneticPr fontId="144" type="noConversion"/>
  </si>
  <si>
    <t>DD102</t>
    <phoneticPr fontId="144" type="noConversion"/>
  </si>
  <si>
    <t>QD09</t>
    <phoneticPr fontId="144" type="noConversion"/>
  </si>
  <si>
    <t>QD10</t>
  </si>
  <si>
    <t>QD11</t>
  </si>
  <si>
    <t>QD12</t>
  </si>
  <si>
    <t>QD13</t>
  </si>
  <si>
    <t>QD14</t>
  </si>
  <si>
    <t>QD15</t>
  </si>
  <si>
    <t>QD16</t>
  </si>
  <si>
    <t>QD17</t>
  </si>
  <si>
    <t>QD18</t>
  </si>
  <si>
    <t>QD19</t>
  </si>
  <si>
    <t>QD20</t>
  </si>
  <si>
    <t>QD21</t>
  </si>
  <si>
    <t>QD22</t>
  </si>
  <si>
    <t>QD23</t>
  </si>
  <si>
    <t>QD24</t>
  </si>
  <si>
    <t>QD25</t>
  </si>
  <si>
    <t>QD26</t>
  </si>
  <si>
    <t>QD27</t>
  </si>
  <si>
    <t>QD28</t>
  </si>
  <si>
    <t>QD29</t>
  </si>
  <si>
    <t>QD30</t>
  </si>
  <si>
    <t>QD33</t>
    <phoneticPr fontId="144" type="noConversion"/>
  </si>
  <si>
    <t>QD34</t>
    <phoneticPr fontId="144" type="noConversion"/>
  </si>
  <si>
    <t>QD40</t>
    <phoneticPr fontId="144" type="noConversion"/>
  </si>
  <si>
    <t>QD41</t>
    <phoneticPr fontId="144" type="noConversion"/>
  </si>
  <si>
    <t>QD46</t>
    <phoneticPr fontId="144" type="noConversion"/>
  </si>
  <si>
    <t>QD47</t>
    <phoneticPr fontId="144" type="noConversion"/>
  </si>
  <si>
    <t>QD50</t>
    <phoneticPr fontId="144" type="noConversion"/>
  </si>
  <si>
    <t>QD51</t>
    <phoneticPr fontId="144" type="noConversion"/>
  </si>
  <si>
    <t>QD32</t>
    <phoneticPr fontId="144" type="noConversion"/>
  </si>
  <si>
    <t>QD53</t>
    <phoneticPr fontId="144" type="noConversion"/>
  </si>
  <si>
    <t>QD54</t>
  </si>
  <si>
    <t>QD55</t>
  </si>
  <si>
    <t>QD57</t>
  </si>
  <si>
    <t>QD58</t>
  </si>
  <si>
    <t>QD59</t>
  </si>
  <si>
    <t>QD60</t>
  </si>
  <si>
    <t>QD61</t>
  </si>
  <si>
    <t>QD62</t>
  </si>
  <si>
    <t>QD63</t>
  </si>
  <si>
    <t>QD64</t>
  </si>
  <si>
    <t>QD67</t>
  </si>
  <si>
    <t>QD68</t>
    <phoneticPr fontId="144" type="noConversion"/>
  </si>
  <si>
    <t>QD73</t>
  </si>
  <si>
    <t>QD74</t>
  </si>
  <si>
    <t>QD75</t>
  </si>
  <si>
    <t>QD76</t>
  </si>
  <si>
    <t>QD77</t>
  </si>
  <si>
    <t>QD78</t>
  </si>
  <si>
    <t>QD79</t>
  </si>
  <si>
    <t>QD72</t>
    <phoneticPr fontId="144" type="noConversion"/>
  </si>
  <si>
    <t>QD80</t>
  </si>
  <si>
    <t>QD81</t>
  </si>
  <si>
    <t>QD82</t>
  </si>
  <si>
    <t>QD84</t>
    <phoneticPr fontId="144" type="noConversion"/>
  </si>
  <si>
    <t>QD85</t>
  </si>
  <si>
    <t>QD86</t>
  </si>
  <si>
    <t>QD87</t>
  </si>
  <si>
    <t>QD88</t>
  </si>
  <si>
    <t>QD89</t>
  </si>
  <si>
    <t>QD90</t>
  </si>
  <si>
    <t>QD91</t>
  </si>
  <si>
    <t>QD92</t>
  </si>
  <si>
    <t>QD93</t>
  </si>
  <si>
    <t>QD94</t>
  </si>
  <si>
    <t>QD95</t>
  </si>
  <si>
    <t>QA101</t>
    <phoneticPr fontId="144" type="noConversion"/>
  </si>
  <si>
    <t>QA103</t>
  </si>
  <si>
    <t>QA116</t>
  </si>
  <si>
    <t>QA117</t>
  </si>
  <si>
    <t>QA118</t>
  </si>
  <si>
    <t>QA119</t>
  </si>
  <si>
    <t>QA120</t>
    <phoneticPr fontId="144" type="noConversion"/>
  </si>
  <si>
    <t>QA121</t>
    <phoneticPr fontId="144" type="noConversion"/>
  </si>
  <si>
    <t>QB103</t>
    <phoneticPr fontId="144" type="noConversion"/>
  </si>
  <si>
    <t>QB117</t>
    <phoneticPr fontId="144" type="noConversion"/>
  </si>
  <si>
    <t>QB118</t>
    <phoneticPr fontId="144" type="noConversion"/>
  </si>
  <si>
    <t>QB119</t>
    <phoneticPr fontId="144" type="noConversion"/>
  </si>
  <si>
    <t>QB120</t>
  </si>
  <si>
    <t>QB121</t>
  </si>
  <si>
    <t>D104</t>
    <phoneticPr fontId="144" type="noConversion"/>
  </si>
  <si>
    <t>D105</t>
  </si>
  <si>
    <t>D107</t>
    <phoneticPr fontId="144" type="noConversion"/>
  </si>
  <si>
    <t>D109</t>
    <phoneticPr fontId="144" type="noConversion"/>
  </si>
  <si>
    <t>D115</t>
    <phoneticPr fontId="144" type="noConversion"/>
  </si>
  <si>
    <t>D116</t>
    <phoneticPr fontId="144" type="noConversion"/>
  </si>
  <si>
    <t>D117</t>
    <phoneticPr fontId="144" type="noConversion"/>
  </si>
  <si>
    <t>D118</t>
    <phoneticPr fontId="144" type="noConversion"/>
  </si>
  <si>
    <t>QA201</t>
    <phoneticPr fontId="144" type="noConversion"/>
  </si>
  <si>
    <t>QB201</t>
    <phoneticPr fontId="144" type="noConversion"/>
  </si>
  <si>
    <t>QB202</t>
    <phoneticPr fontId="144" type="noConversion"/>
  </si>
  <si>
    <t>QB207</t>
  </si>
  <si>
    <t>QB208</t>
  </si>
  <si>
    <t>QB209</t>
  </si>
  <si>
    <t>D203</t>
    <phoneticPr fontId="144" type="noConversion"/>
  </si>
  <si>
    <t>QA301</t>
    <phoneticPr fontId="144" type="noConversion"/>
  </si>
  <si>
    <t>QB301</t>
    <phoneticPr fontId="144" type="noConversion"/>
  </si>
  <si>
    <t>QD301</t>
    <phoneticPr fontId="144" type="noConversion"/>
  </si>
  <si>
    <t>QA401</t>
    <phoneticPr fontId="144" type="noConversion"/>
  </si>
  <si>
    <t>QA402</t>
    <phoneticPr fontId="144" type="noConversion"/>
  </si>
  <si>
    <t>QA403</t>
    <phoneticPr fontId="144" type="noConversion"/>
  </si>
  <si>
    <t>3层</t>
    <phoneticPr fontId="144" type="noConversion"/>
  </si>
  <si>
    <t>4层</t>
    <phoneticPr fontId="144" type="noConversion"/>
  </si>
  <si>
    <t>QB401</t>
    <phoneticPr fontId="144" type="noConversion"/>
  </si>
  <si>
    <t>QB402</t>
    <phoneticPr fontId="144" type="noConversion"/>
  </si>
  <si>
    <t>附房</t>
    <phoneticPr fontId="144" type="noConversion"/>
  </si>
  <si>
    <t>D401</t>
    <phoneticPr fontId="144" type="noConversion"/>
  </si>
  <si>
    <t>D501</t>
    <phoneticPr fontId="144" type="noConversion"/>
  </si>
  <si>
    <t>5层</t>
    <phoneticPr fontId="144" type="noConversion"/>
  </si>
  <si>
    <t>隆福广场广场</t>
    <phoneticPr fontId="144" type="noConversion"/>
  </si>
  <si>
    <t>隆福广场</t>
  </si>
  <si>
    <t>隆福广场</t>
    <phoneticPr fontId="4" type="noConversion"/>
  </si>
  <si>
    <t>是</t>
  </si>
  <si>
    <t>地上</t>
  </si>
  <si>
    <t>独栋</t>
  </si>
  <si>
    <t>地下</t>
  </si>
  <si>
    <t>隆福广场</t>
    <phoneticPr fontId="8" type="noConversion"/>
  </si>
  <si>
    <t>王鹏</t>
  </si>
  <si>
    <t>郑燚</t>
  </si>
  <si>
    <t>抵押</t>
  </si>
  <si>
    <t>房地产抵押价值</t>
  </si>
  <si>
    <t>北京市</t>
  </si>
  <si>
    <t>企业</t>
  </si>
  <si>
    <t>出让</t>
  </si>
  <si>
    <t>商业项目</t>
  </si>
  <si>
    <t>无</t>
  </si>
  <si>
    <t>否</t>
  </si>
  <si>
    <t>在建</t>
  </si>
  <si>
    <t>通路</t>
  </si>
  <si>
    <t>通电</t>
  </si>
  <si>
    <t>通讯</t>
  </si>
  <si>
    <t>通上水</t>
  </si>
  <si>
    <t>通下水</t>
  </si>
  <si>
    <t>收益法</t>
  </si>
  <si>
    <t>在建（套用方法）</t>
  </si>
  <si>
    <t>自定义</t>
  </si>
  <si>
    <t>按租金收入计税</t>
  </si>
  <si>
    <t>钢混</t>
  </si>
  <si>
    <t>非生产用房</t>
  </si>
  <si>
    <t>不临58条商业街</t>
  </si>
  <si>
    <t>批发零售用地</t>
  </si>
  <si>
    <t>有</t>
  </si>
  <si>
    <t>500米范围内</t>
  </si>
  <si>
    <t>五通一平</t>
  </si>
  <si>
    <t>缺少</t>
  </si>
  <si>
    <t>通热</t>
  </si>
  <si>
    <t>燃气</t>
  </si>
  <si>
    <t>按公示增长率计算</t>
  </si>
  <si>
    <t>楼层修正</t>
  </si>
  <si>
    <t>未包含在土地购买价格中</t>
  </si>
  <si>
    <t>全部缴纳</t>
  </si>
  <si>
    <t>已包含在土地取得成本中</t>
  </si>
  <si>
    <t>较好</t>
  </si>
  <si>
    <t>好</t>
  </si>
  <si>
    <t>一般</t>
  </si>
  <si>
    <t>较差</t>
  </si>
  <si>
    <t>成本法</t>
  </si>
  <si>
    <t>假设开发法</t>
  </si>
  <si>
    <t>已全部缴纳</t>
  </si>
  <si>
    <t>楼层</t>
    <phoneticPr fontId="4" type="noConversion"/>
  </si>
  <si>
    <t>系数</t>
    <phoneticPr fontId="4" type="noConversion"/>
  </si>
  <si>
    <t>租金</t>
    <phoneticPr fontId="4" type="noConversion"/>
  </si>
  <si>
    <t>面积</t>
    <phoneticPr fontId="4" type="noConversion"/>
  </si>
  <si>
    <t>总额</t>
    <phoneticPr fontId="4" type="noConversion"/>
  </si>
  <si>
    <t>平均租金</t>
    <phoneticPr fontId="4" type="noConversion"/>
  </si>
  <si>
    <t>项目局部</t>
  </si>
  <si>
    <t>评估总额</t>
    <phoneticPr fontId="4" type="noConversion"/>
  </si>
  <si>
    <t>单价</t>
    <phoneticPr fontId="4" type="noConversion"/>
  </si>
  <si>
    <t>地下2层</t>
    <phoneticPr fontId="144" type="noConversion"/>
  </si>
  <si>
    <t>地下1层</t>
    <phoneticPr fontId="144" type="noConversion"/>
  </si>
  <si>
    <t>1层</t>
    <phoneticPr fontId="144" type="noConversion"/>
  </si>
  <si>
    <t>2层</t>
    <phoneticPr fontId="144" type="noConversion"/>
  </si>
  <si>
    <t>3层</t>
  </si>
  <si>
    <t>5层</t>
  </si>
  <si>
    <t>估价对象容积率</t>
  </si>
  <si>
    <t>——</t>
    <phoneticPr fontId="144" type="noConversion"/>
  </si>
  <si>
    <t>序号</t>
    <phoneticPr fontId="144" type="noConversion"/>
  </si>
  <si>
    <t>建筑面积</t>
    <phoneticPr fontId="144" type="noConversion"/>
  </si>
  <si>
    <t>地上</t>
    <phoneticPr fontId="144" type="noConversion"/>
  </si>
  <si>
    <t>地下</t>
    <phoneticPr fontId="144" type="noConversion"/>
  </si>
  <si>
    <t>建设年期</t>
    <phoneticPr fontId="144" type="noConversion"/>
  </si>
  <si>
    <t>合计</t>
    <phoneticPr fontId="144" type="noConversion"/>
  </si>
  <si>
    <t>已建</t>
    <phoneticPr fontId="144" type="noConversion"/>
  </si>
  <si>
    <t>待建</t>
    <phoneticPr fontId="144" type="noConversion"/>
  </si>
  <si>
    <t>工程进度</t>
    <phoneticPr fontId="144" type="noConversion"/>
  </si>
  <si>
    <t>描述</t>
    <phoneticPr fontId="144" type="noConversion"/>
  </si>
  <si>
    <t>比值</t>
    <phoneticPr fontId="144" type="noConversion"/>
  </si>
  <si>
    <t>项目名称</t>
    <phoneticPr fontId="144" type="noConversion"/>
  </si>
  <si>
    <t>地类用途</t>
    <phoneticPr fontId="144" type="noConversion"/>
  </si>
  <si>
    <t>价值时点</t>
    <phoneticPr fontId="144" type="noConversion"/>
  </si>
  <si>
    <t>土地面积</t>
    <phoneticPr fontId="144" type="noConversion"/>
  </si>
  <si>
    <t>容积率</t>
    <phoneticPr fontId="144" type="noConversion"/>
  </si>
  <si>
    <t>利润率</t>
    <phoneticPr fontId="144" type="noConversion"/>
  </si>
  <si>
    <t>建安均价</t>
    <phoneticPr fontId="144" type="noConversion"/>
  </si>
  <si>
    <t>设计用途</t>
    <phoneticPr fontId="144" type="noConversion"/>
  </si>
  <si>
    <t>总楼层</t>
    <phoneticPr fontId="144" type="noConversion"/>
  </si>
  <si>
    <t>商业</t>
    <phoneticPr fontId="144" type="noConversion"/>
  </si>
  <si>
    <r>
      <t>-</t>
    </r>
    <r>
      <rPr>
        <sz val="11"/>
        <color theme="1"/>
        <rFont val="宋体"/>
        <family val="3"/>
        <charset val="134"/>
        <scheme val="minor"/>
      </rPr>
      <t>3-8</t>
    </r>
    <phoneticPr fontId="144" type="noConversion"/>
  </si>
  <si>
    <t>现房</t>
    <phoneticPr fontId="144" type="noConversion"/>
  </si>
  <si>
    <t>-1-7、平房</t>
    <phoneticPr fontId="144" type="noConversion"/>
  </si>
  <si>
    <t>配套、办公</t>
    <phoneticPr fontId="144" type="noConversion"/>
  </si>
  <si>
    <t>隆福广场（局部）</t>
    <phoneticPr fontId="144" type="noConversion"/>
  </si>
  <si>
    <r>
      <t>-</t>
    </r>
    <r>
      <rPr>
        <sz val="11"/>
        <color theme="1"/>
        <rFont val="宋体"/>
        <family val="3"/>
        <charset val="134"/>
        <scheme val="minor"/>
      </rPr>
      <t>2-5</t>
    </r>
    <phoneticPr fontId="144" type="noConversion"/>
  </si>
  <si>
    <t>已取得施工证、正在进行内外装</t>
    <phoneticPr fontId="144" type="noConversion"/>
  </si>
  <si>
    <t>长虹电影院</t>
    <phoneticPr fontId="144" type="noConversion"/>
  </si>
  <si>
    <t>文体娱乐</t>
    <phoneticPr fontId="144" type="noConversion"/>
  </si>
  <si>
    <t>商务金融</t>
    <phoneticPr fontId="144" type="noConversion"/>
  </si>
  <si>
    <t>办公</t>
    <phoneticPr fontId="144" type="noConversion"/>
  </si>
  <si>
    <r>
      <t>-</t>
    </r>
    <r>
      <rPr>
        <sz val="11"/>
        <color theme="1"/>
        <rFont val="宋体"/>
        <family val="3"/>
        <charset val="134"/>
        <scheme val="minor"/>
      </rPr>
      <t>3-3</t>
    </r>
    <phoneticPr fontId="144" type="noConversion"/>
  </si>
  <si>
    <t>电影院</t>
    <phoneticPr fontId="144" type="noConversion"/>
  </si>
  <si>
    <t>总值</t>
    <phoneticPr fontId="144" type="noConversion"/>
  </si>
  <si>
    <t>楼面单价</t>
    <phoneticPr fontId="144" type="noConversion"/>
  </si>
  <si>
    <t>平均租金</t>
    <phoneticPr fontId="144" type="noConversion"/>
  </si>
  <si>
    <t>隆福大厦</t>
    <phoneticPr fontId="144" type="noConversion"/>
  </si>
  <si>
    <t>隆福后院</t>
    <phoneticPr fontId="144" type="noConversion"/>
  </si>
  <si>
    <t>一商办公区</t>
    <phoneticPr fontId="144" type="noConversion"/>
  </si>
  <si>
    <t>1-4</t>
    <phoneticPr fontId="144" type="noConversion"/>
  </si>
  <si>
    <t>合计（除隆福大厦）</t>
    <phoneticPr fontId="144" type="noConversion"/>
  </si>
  <si>
    <t>翻修、装修项目成新度（成本、假开）及红线内市政（成本应记为全额、假开不必扣除）</t>
    <phoneticPr fontId="144" type="noConversion"/>
  </si>
  <si>
    <t>因隆福大厦项目高评，影响租金水平取值</t>
    <phoneticPr fontId="144" type="noConversion"/>
  </si>
  <si>
    <t>电影院收益缺乏依据</t>
    <phoneticPr fontId="144" type="noConversion"/>
  </si>
  <si>
    <t>未取得施工证、正在进行内外装</t>
    <phoneticPr fontId="144" type="noConversion"/>
  </si>
  <si>
    <t>未取得施工证、尚未开工翻新</t>
    <phoneticPr fontId="144" type="noConversion"/>
  </si>
  <si>
    <t>-1-5、平房</t>
    <phoneticPr fontId="144" type="noConversion"/>
  </si>
  <si>
    <t>成本比率</t>
  </si>
  <si>
    <t>建筑面积</t>
  </si>
  <si>
    <t>分摊土地面积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</si>
</sst>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cellStyleXfs>
  <cellXfs count="333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00" fillId="0" borderId="0" xfId="0" applyFont="1">
      <alignment vertical="center"/>
    </xf>
    <xf numFmtId="0" fontId="81" fillId="0" borderId="1" xfId="0" applyFont="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0" fontId="81" fillId="6" borderId="0" xfId="0" applyFont="1" applyFill="1" applyAlignment="1" applyProtection="1">
      <alignment vertical="center"/>
      <protection locked="0"/>
    </xf>
    <xf numFmtId="0" fontId="81" fillId="6" borderId="0" xfId="0" applyFont="1" applyFill="1" applyAlignment="1" applyProtection="1">
      <alignment horizontal="center" vertical="center"/>
      <protection locked="0"/>
    </xf>
    <xf numFmtId="1" fontId="51" fillId="6" borderId="0" xfId="0" applyNumberFormat="1" applyFont="1" applyFill="1" applyAlignment="1" applyProtection="1">
      <alignment horizontal="center" vertical="center"/>
      <protection locked="0"/>
    </xf>
    <xf numFmtId="0" fontId="0" fillId="9" borderId="0" xfId="0" applyFill="1">
      <alignment vertical="center"/>
    </xf>
    <xf numFmtId="181" fontId="106" fillId="9" borderId="1" xfId="0" applyNumberFormat="1" applyFont="1" applyFill="1" applyBorder="1" applyAlignment="1" applyProtection="1">
      <alignment horizontal="center" vertical="center"/>
      <protection locked="0"/>
    </xf>
    <xf numFmtId="181" fontId="48" fillId="9" borderId="1" xfId="0" applyNumberFormat="1" applyFont="1" applyFill="1" applyBorder="1" applyAlignment="1" applyProtection="1">
      <alignment horizontal="center" vertical="center"/>
      <protection locked="0"/>
    </xf>
    <xf numFmtId="2" fontId="51" fillId="6" borderId="0" xfId="0" applyNumberFormat="1" applyFont="1" applyFill="1" applyAlignment="1" applyProtection="1">
      <alignment horizontal="center" vertical="center"/>
      <protection locked="0"/>
    </xf>
    <xf numFmtId="181" fontId="48" fillId="8" borderId="1" xfId="0" applyNumberFormat="1" applyFont="1" applyFill="1" applyBorder="1" applyAlignment="1" applyProtection="1">
      <alignment vertical="center"/>
      <protection locked="0"/>
    </xf>
    <xf numFmtId="177" fontId="57" fillId="8" borderId="1" xfId="1" applyNumberFormat="1" applyFont="1" applyFill="1" applyBorder="1" applyAlignment="1" applyProtection="1">
      <alignment horizontal="center" vertical="center"/>
    </xf>
    <xf numFmtId="179" fontId="57" fillId="8" borderId="1" xfId="1" applyNumberFormat="1" applyFont="1" applyFill="1" applyBorder="1" applyAlignment="1" applyProtection="1">
      <alignment horizontal="center"/>
    </xf>
    <xf numFmtId="0" fontId="51" fillId="8" borderId="1" xfId="0" applyFont="1" applyFill="1" applyBorder="1" applyAlignment="1" applyProtection="1">
      <alignment horizontal="center" vertical="center"/>
    </xf>
    <xf numFmtId="0" fontId="51" fillId="8" borderId="1" xfId="1" applyNumberFormat="1" applyFont="1" applyFill="1" applyBorder="1" applyAlignment="1" applyProtection="1">
      <alignment horizontal="center" vertical="center"/>
    </xf>
    <xf numFmtId="181" fontId="48" fillId="8" borderId="24" xfId="0" applyNumberFormat="1" applyFont="1" applyFill="1" applyBorder="1" applyAlignment="1" applyProtection="1">
      <alignment vertical="center"/>
      <protection locked="0"/>
    </xf>
    <xf numFmtId="10" fontId="58" fillId="8" borderId="1" xfId="1" applyNumberFormat="1" applyFont="1" applyFill="1" applyBorder="1" applyAlignment="1" applyProtection="1">
      <alignment horizontal="center" vertical="center"/>
    </xf>
    <xf numFmtId="10" fontId="48" fillId="9" borderId="1" xfId="0" applyNumberFormat="1" applyFont="1" applyFill="1" applyBorder="1" applyAlignment="1" applyProtection="1">
      <alignment horizontal="center" vertical="center"/>
      <protection locked="0"/>
    </xf>
    <xf numFmtId="0" fontId="57" fillId="9" borderId="1" xfId="0" applyFont="1" applyFill="1" applyBorder="1" applyAlignment="1" applyProtection="1">
      <alignment horizontal="left" vertical="center"/>
      <protection locked="0"/>
    </xf>
    <xf numFmtId="0" fontId="172" fillId="6" borderId="13" xfId="12" applyFont="1" applyFill="1" applyBorder="1" applyAlignment="1" applyProtection="1">
      <alignment horizontal="center" vertical="center" wrapText="1"/>
      <protection locked="0"/>
    </xf>
    <xf numFmtId="0" fontId="0" fillId="0" borderId="0" xfId="0" applyAlignment="1">
      <alignment horizontal="center" vertical="center"/>
    </xf>
    <xf numFmtId="49" fontId="0" fillId="0" borderId="0" xfId="0" applyNumberFormat="1">
      <alignment vertical="center"/>
    </xf>
    <xf numFmtId="0" fontId="100" fillId="0" borderId="1" xfId="0" applyFont="1" applyBorder="1" applyAlignment="1">
      <alignment horizontal="center" vertical="center"/>
    </xf>
    <xf numFmtId="14" fontId="0" fillId="0" borderId="1" xfId="0" applyNumberFormat="1" applyBorder="1" applyAlignment="1">
      <alignment horizontal="right" vertical="center"/>
    </xf>
    <xf numFmtId="0" fontId="0" fillId="0" borderId="1" xfId="0" applyBorder="1" applyAlignment="1">
      <alignment horizontal="right" vertical="center"/>
    </xf>
    <xf numFmtId="49" fontId="100" fillId="0" borderId="1" xfId="0" applyNumberFormat="1" applyFont="1" applyBorder="1" applyAlignment="1">
      <alignment horizontal="right" vertical="center"/>
    </xf>
    <xf numFmtId="9" fontId="0" fillId="0" borderId="1" xfId="0" applyNumberFormat="1" applyBorder="1" applyAlignment="1">
      <alignment horizontal="right" vertical="center"/>
    </xf>
    <xf numFmtId="14" fontId="0" fillId="0" borderId="1" xfId="0" applyNumberFormat="1" applyBorder="1">
      <alignment vertical="center"/>
    </xf>
    <xf numFmtId="2" fontId="0" fillId="0" borderId="1" xfId="0" applyNumberFormat="1" applyBorder="1" applyAlignment="1">
      <alignment horizontal="right" vertical="center"/>
    </xf>
    <xf numFmtId="2" fontId="0" fillId="0" borderId="1" xfId="0" applyNumberFormat="1" applyBorder="1">
      <alignment vertical="center"/>
    </xf>
    <xf numFmtId="0" fontId="0" fillId="0" borderId="1" xfId="0" applyNumberFormat="1" applyBorder="1" applyAlignment="1">
      <alignment horizontal="right" vertical="center"/>
    </xf>
    <xf numFmtId="0" fontId="0" fillId="0" borderId="0" xfId="0" applyNumberFormat="1">
      <alignment vertical="center"/>
    </xf>
    <xf numFmtId="0" fontId="100" fillId="6" borderId="1" xfId="0" applyFont="1" applyFill="1" applyBorder="1" applyAlignment="1">
      <alignment horizontal="center" vertical="center"/>
    </xf>
    <xf numFmtId="14" fontId="0" fillId="6" borderId="1" xfId="0" applyNumberFormat="1" applyFill="1" applyBorder="1" applyAlignment="1">
      <alignment horizontal="right" vertical="center"/>
    </xf>
    <xf numFmtId="0" fontId="100" fillId="6" borderId="1" xfId="0" applyNumberFormat="1" applyFont="1" applyFill="1" applyBorder="1" applyAlignment="1">
      <alignment horizontal="right" vertical="center"/>
    </xf>
    <xf numFmtId="0" fontId="0" fillId="6" borderId="1" xfId="0" applyNumberFormat="1" applyFill="1" applyBorder="1" applyAlignment="1">
      <alignment horizontal="right" vertical="center"/>
    </xf>
    <xf numFmtId="2" fontId="0" fillId="6" borderId="1" xfId="0" applyNumberFormat="1" applyFill="1" applyBorder="1" applyAlignment="1">
      <alignment horizontal="right" vertical="center"/>
    </xf>
    <xf numFmtId="49" fontId="100" fillId="6" borderId="1" xfId="0" applyNumberFormat="1" applyFont="1" applyFill="1" applyBorder="1" applyAlignment="1">
      <alignment horizontal="right" vertical="center"/>
    </xf>
    <xf numFmtId="0" fontId="0" fillId="6" borderId="1" xfId="0" applyFill="1" applyBorder="1" applyAlignment="1">
      <alignment horizontal="right" vertical="center"/>
    </xf>
    <xf numFmtId="9" fontId="0" fillId="6" borderId="1" xfId="0" applyNumberFormat="1" applyFill="1" applyBorder="1" applyAlignment="1">
      <alignment horizontal="right" vertical="center"/>
    </xf>
    <xf numFmtId="0" fontId="100" fillId="0" borderId="24" xfId="0" applyFont="1" applyBorder="1" applyAlignment="1">
      <alignment horizontal="center" vertical="center"/>
    </xf>
    <xf numFmtId="0" fontId="0" fillId="6" borderId="23" xfId="0" applyFill="1" applyBorder="1">
      <alignment vertical="center"/>
    </xf>
    <xf numFmtId="9" fontId="0" fillId="0" borderId="24" xfId="0" applyNumberFormat="1" applyBorder="1" applyAlignment="1">
      <alignment horizontal="right" vertical="center"/>
    </xf>
    <xf numFmtId="0" fontId="0" fillId="0" borderId="23" xfId="0" applyBorder="1">
      <alignment vertical="center"/>
    </xf>
    <xf numFmtId="0" fontId="100" fillId="0" borderId="32" xfId="0" applyFont="1" applyBorder="1" applyAlignment="1">
      <alignment horizontal="center" vertical="center"/>
    </xf>
    <xf numFmtId="49" fontId="100" fillId="0" borderId="32" xfId="0" applyNumberFormat="1" applyFont="1" applyBorder="1" applyAlignment="1">
      <alignment horizontal="right" vertical="center"/>
    </xf>
    <xf numFmtId="0" fontId="0" fillId="0" borderId="32" xfId="0" applyBorder="1" applyAlignment="1">
      <alignment horizontal="right" vertical="center"/>
    </xf>
    <xf numFmtId="9" fontId="0" fillId="0" borderId="32" xfId="0" applyNumberFormat="1" applyBorder="1">
      <alignment vertical="center"/>
    </xf>
    <xf numFmtId="0" fontId="0" fillId="0" borderId="32" xfId="0" applyBorder="1">
      <alignment vertical="center"/>
    </xf>
    <xf numFmtId="9" fontId="0" fillId="0" borderId="49" xfId="0" applyNumberFormat="1" applyBorder="1" applyAlignment="1">
      <alignment horizontal="right" vertical="center"/>
    </xf>
    <xf numFmtId="14" fontId="101" fillId="0" borderId="74" xfId="0" applyNumberFormat="1" applyFont="1" applyBorder="1">
      <alignment vertical="center"/>
    </xf>
    <xf numFmtId="0" fontId="101" fillId="0" borderId="74" xfId="0" applyNumberFormat="1" applyFont="1" applyBorder="1">
      <alignment vertical="center"/>
    </xf>
    <xf numFmtId="0" fontId="101" fillId="0" borderId="74" xfId="0" applyNumberFormat="1" applyFont="1" applyBorder="1" applyAlignment="1">
      <alignment horizontal="right" vertical="center"/>
    </xf>
    <xf numFmtId="2" fontId="101" fillId="0" borderId="74" xfId="0" applyNumberFormat="1" applyFont="1" applyBorder="1">
      <alignment vertical="center"/>
    </xf>
    <xf numFmtId="2" fontId="101" fillId="0" borderId="76" xfId="0" applyNumberFormat="1" applyFont="1" applyBorder="1">
      <alignment vertical="center"/>
    </xf>
    <xf numFmtId="49" fontId="101" fillId="0" borderId="12" xfId="0" applyNumberFormat="1" applyFont="1" applyBorder="1" applyAlignment="1">
      <alignment horizontal="right" vertical="center"/>
    </xf>
    <xf numFmtId="0" fontId="100" fillId="0" borderId="0" xfId="0" applyFont="1" applyAlignment="1">
      <alignment horizontal="left" vertical="center"/>
    </xf>
    <xf numFmtId="10" fontId="51" fillId="0" borderId="1" xfId="0" applyNumberFormat="1" applyFont="1" applyBorder="1" applyProtection="1">
      <alignment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101" fillId="0" borderId="74" xfId="0" applyFont="1" applyBorder="1" applyAlignment="1">
      <alignment horizontal="center" vertical="center"/>
    </xf>
    <xf numFmtId="0" fontId="100" fillId="0" borderId="9" xfId="0" applyFont="1" applyBorder="1" applyAlignment="1">
      <alignment horizontal="center" vertical="center"/>
    </xf>
    <xf numFmtId="0" fontId="100" fillId="0" borderId="1" xfId="0" applyFont="1" applyBorder="1" applyAlignment="1">
      <alignment horizontal="center" vertical="center"/>
    </xf>
    <xf numFmtId="49" fontId="100" fillId="0" borderId="9" xfId="0" applyNumberFormat="1" applyFont="1" applyBorder="1" applyAlignment="1">
      <alignment horizontal="center" vertical="center"/>
    </xf>
    <xf numFmtId="49" fontId="100" fillId="0" borderId="1" xfId="0" applyNumberFormat="1" applyFont="1" applyBorder="1" applyAlignment="1">
      <alignment horizontal="center" vertical="center"/>
    </xf>
    <xf numFmtId="0" fontId="100" fillId="0" borderId="10" xfId="0" applyFont="1" applyBorder="1" applyAlignment="1">
      <alignment horizontal="center" vertical="center"/>
    </xf>
    <xf numFmtId="0" fontId="100" fillId="0" borderId="6" xfId="0" applyFont="1" applyBorder="1" applyAlignment="1">
      <alignment horizontal="center" vertical="center"/>
    </xf>
    <xf numFmtId="0" fontId="100" fillId="0" borderId="23" xfId="0" applyFont="1" applyBorder="1" applyAlignment="1">
      <alignment horizontal="center" vertical="center"/>
    </xf>
    <xf numFmtId="0" fontId="100" fillId="0" borderId="9" xfId="0" applyNumberFormat="1" applyFont="1" applyBorder="1" applyAlignment="1">
      <alignment horizontal="center" vertical="center"/>
    </xf>
    <xf numFmtId="0" fontId="100" fillId="0" borderId="1" xfId="0" applyNumberFormat="1" applyFont="1" applyBorder="1" applyAlignment="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8534;&#31119;&#22823;&#21414;&#21518;&#38498;&#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534;&#31119;&#22823;&#21414;&#21518;&#38498;&#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9968;&#21830;&#2010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8271;&#34425;&#20108;&#2345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7979;&#31639;&#12305;2017-1-0699&#19996;&#22478;&#21306;&#38534;&#31119;&#22823;&#21414;&#183;&#23457;&#2668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9968;&#21830;&#19968;&#2345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38271;&#34425;&#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3">
          <cell r="D3">
            <v>2122.21</v>
          </cell>
        </row>
        <row r="31">
          <cell r="F31">
            <v>10131.5</v>
          </cell>
          <cell r="G31">
            <v>1317.1</v>
          </cell>
        </row>
      </sheetData>
      <sheetData sheetId="15" refreshError="1"/>
      <sheetData sheetId="16" refreshError="1"/>
      <sheetData sheetId="17">
        <row r="14">
          <cell r="B14">
            <v>11448.600000000002</v>
          </cell>
          <cell r="D14">
            <v>38726</v>
          </cell>
          <cell r="G14">
            <v>38726</v>
          </cell>
        </row>
      </sheetData>
      <sheetData sheetId="18">
        <row r="19">
          <cell r="G19">
            <v>38726</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D3">
            <v>2122.21</v>
          </cell>
        </row>
      </sheetData>
      <sheetData sheetId="15">
        <row r="2">
          <cell r="B2">
            <v>43131</v>
          </cell>
        </row>
        <row r="6">
          <cell r="N6">
            <v>0.4</v>
          </cell>
          <cell r="Q6">
            <v>0.15</v>
          </cell>
          <cell r="U6">
            <v>8.4</v>
          </cell>
        </row>
        <row r="16">
          <cell r="L16">
            <v>3500</v>
          </cell>
        </row>
        <row r="21">
          <cell r="B21">
            <v>0.9</v>
          </cell>
        </row>
      </sheetData>
      <sheetData sheetId="16"/>
      <sheetData sheetId="17"/>
      <sheetData sheetId="18">
        <row r="19">
          <cell r="G19">
            <v>58794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16#"/>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汇总）"/>
      <sheetName val="收益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D3">
            <v>3919.4</v>
          </cell>
        </row>
        <row r="31">
          <cell r="F31">
            <v>4454.2</v>
          </cell>
          <cell r="G31">
            <v>693.3</v>
          </cell>
        </row>
      </sheetData>
      <sheetData sheetId="15"/>
      <sheetData sheetId="16"/>
      <sheetData sheetId="17">
        <row r="14">
          <cell r="B14">
            <v>5147.5</v>
          </cell>
          <cell r="C14">
            <v>3919.4</v>
          </cell>
          <cell r="D14">
            <v>16630</v>
          </cell>
        </row>
      </sheetData>
      <sheetData sheetId="18">
        <row r="19">
          <cell r="G19">
            <v>16630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地下"/>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D3">
            <v>2462.7600000000002</v>
          </cell>
        </row>
        <row r="31">
          <cell r="F31">
            <v>3099.76</v>
          </cell>
          <cell r="G31">
            <v>4107.46</v>
          </cell>
        </row>
      </sheetData>
      <sheetData sheetId="14" refreshError="1"/>
      <sheetData sheetId="15" refreshError="1"/>
      <sheetData sheetId="16">
        <row r="14">
          <cell r="B14">
            <v>7207.22</v>
          </cell>
          <cell r="C14">
            <v>2462.7600000000002</v>
          </cell>
          <cell r="D14">
            <v>14592</v>
          </cell>
        </row>
      </sheetData>
      <sheetData sheetId="17">
        <row r="19">
          <cell r="G19">
            <v>14592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商业"/>
      <sheetName val="收益法地下车库"/>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地价"/>
      <sheetName val="典型户型修正"/>
      <sheetName val="成本法（废）"/>
      <sheetName val="区片价"/>
      <sheetName val="因素修正幅度"/>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row r="3">
          <cell r="D3">
            <v>42928</v>
          </cell>
        </row>
      </sheetData>
      <sheetData sheetId="11"/>
      <sheetData sheetId="12"/>
      <sheetData sheetId="13">
        <row r="3">
          <cell r="D3">
            <v>10794.06</v>
          </cell>
        </row>
        <row r="31">
          <cell r="F31">
            <v>45056.7</v>
          </cell>
          <cell r="G31">
            <v>13173.5</v>
          </cell>
        </row>
      </sheetData>
      <sheetData sheetId="14">
        <row r="6">
          <cell r="U6">
            <v>7.8</v>
          </cell>
        </row>
        <row r="16">
          <cell r="L16">
            <v>4000</v>
          </cell>
        </row>
        <row r="20">
          <cell r="B20">
            <v>2</v>
          </cell>
        </row>
      </sheetData>
      <sheetData sheetId="15"/>
      <sheetData sheetId="16"/>
      <sheetData sheetId="17">
        <row r="19">
          <cell r="G19">
            <v>324195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16#"/>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汇总）"/>
      <sheetName val="收益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D3">
            <v>3919.4</v>
          </cell>
        </row>
      </sheetData>
      <sheetData sheetId="15">
        <row r="2">
          <cell r="B2">
            <v>43131</v>
          </cell>
        </row>
        <row r="6">
          <cell r="N6">
            <v>0.3</v>
          </cell>
          <cell r="Q6">
            <v>0.15</v>
          </cell>
          <cell r="U6">
            <v>8.35</v>
          </cell>
        </row>
        <row r="16">
          <cell r="L16">
            <v>3501</v>
          </cell>
        </row>
        <row r="21">
          <cell r="B21">
            <v>0.8</v>
          </cell>
        </row>
      </sheetData>
      <sheetData sheetId="16"/>
      <sheetData sheetId="17"/>
      <sheetData sheetId="18">
        <row r="19">
          <cell r="G19">
            <v>25254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地下"/>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2462.7600000000002</v>
          </cell>
        </row>
      </sheetData>
      <sheetData sheetId="14">
        <row r="2">
          <cell r="B2">
            <v>43131</v>
          </cell>
        </row>
        <row r="6">
          <cell r="N6">
            <v>0.3</v>
          </cell>
          <cell r="Q6">
            <v>0.15</v>
          </cell>
          <cell r="U6">
            <v>6.4633333333333338</v>
          </cell>
        </row>
        <row r="16">
          <cell r="L16">
            <v>4500</v>
          </cell>
        </row>
        <row r="21">
          <cell r="B21">
            <v>0.6</v>
          </cell>
        </row>
      </sheetData>
      <sheetData sheetId="15"/>
      <sheetData sheetId="16"/>
      <sheetData sheetId="17">
        <row r="19">
          <cell r="G19">
            <v>21413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北京市出让国有建设用地使用权及在建建筑物房地产抵押价值预评估</v>
      </c>
    </row>
    <row r="3" spans="1:2" s="1596" customFormat="1">
      <c r="A3" s="1594" t="s">
        <v>1221</v>
      </c>
      <c r="B3" s="1595">
        <f>'预评函-封皮'!B40</f>
        <v>0</v>
      </c>
    </row>
    <row r="4" spans="1:2" s="1596" customFormat="1">
      <c r="A4" s="1594" t="s">
        <v>1222</v>
      </c>
      <c r="B4" s="1595" t="str">
        <f ca="1">'预评函-封皮'!B46</f>
        <v>王鹏（注册号：1120050019)、郑燚（注册号：1120070131)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受贵公司委托，我公司对北京市出让国有建设用地使用权及在建建筑物房地产抵押价值进行了预评估。</v>
      </c>
    </row>
    <row r="7" spans="1:2" s="1596" customFormat="1">
      <c r="A7" s="1594" t="s">
        <v>1264</v>
      </c>
      <c r="B7" s="1595" t="str">
        <f>'预评函-1'!A7</f>
        <v>估价对象为北京市出让国有建设用地使用权及在建建筑物房地产，为所有。根据《国有土地使用证》[]，估价对象（分摊）出让国有建设用地使用权面积为8452.18平方米，建筑面积为41596.89平方米。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出让国有建设用地使用权及在建建筑物房地产,属开发建设的商业项目，该项目尚在开发建设中。根据《国有土地使用证》[]，估价对象（分摊）出让国有建设用地使用权面积为8452.18平方米，规划建筑面积为41596.89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2018年1月31日（评估专业人员实地查勘之日）</v>
      </c>
    </row>
    <row r="13" spans="1:2" s="1596" customFormat="1">
      <c r="A13" s="1594" t="s">
        <v>1227</v>
      </c>
      <c r="B13" s="1595" t="str">
        <f>'预评函-1'!A18</f>
        <v>本次估价的“房地产价值”是指在正常市场情况下，在价值时点2018年1月31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本次评估采用的主估价方法为成本法和假设开发法。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174734</v>
      </c>
    </row>
    <row r="21" spans="1:2" s="1596" customFormat="1">
      <c r="A21" s="1594" t="s">
        <v>1235</v>
      </c>
      <c r="B21" s="1595">
        <f ca="1">'预评函-2'!D7</f>
        <v>42007</v>
      </c>
    </row>
    <row r="22" spans="1:2" s="1596" customFormat="1">
      <c r="A22" s="1594" t="s">
        <v>1236</v>
      </c>
      <c r="B22" s="1595" t="str">
        <f ca="1">'预评函-2'!D6</f>
        <v>壹拾柒亿肆仟柒佰叁拾肆万元整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174734</v>
      </c>
    </row>
    <row r="31" spans="1:2" s="1596" customFormat="1">
      <c r="A31" s="1594" t="s">
        <v>1274</v>
      </c>
      <c r="B31" s="1595">
        <f ca="1">'预评函-2'!D15</f>
        <v>42007</v>
      </c>
    </row>
    <row r="32" spans="1:2" s="1596" customFormat="1">
      <c r="A32" s="1594" t="s">
        <v>1241</v>
      </c>
      <c r="B32" s="1595" t="str">
        <f ca="1">'预评函-2'!D14</f>
        <v>壹拾柒亿肆仟柒佰叁拾肆万元整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北京市出让国有建设用地使用权及在建建筑物房地产</v>
      </c>
    </row>
    <row r="42" spans="1:2" s="1596" customFormat="1">
      <c r="A42" s="1594" t="s">
        <v>1288</v>
      </c>
      <c r="B42" s="1595" t="str">
        <f>'预评函-3'!B2</f>
        <v>建筑面积</v>
      </c>
    </row>
    <row r="43" spans="1:2" s="1596" customFormat="1">
      <c r="A43" s="1594" t="s">
        <v>1289</v>
      </c>
      <c r="B43" s="1595">
        <f>'预评函-3'!B4</f>
        <v>41596.89</v>
      </c>
    </row>
    <row r="44" spans="1:2" s="1596" customFormat="1">
      <c r="A44" s="1594" t="s">
        <v>1273</v>
      </c>
      <c r="B44" s="1595" t="str">
        <f>'预评函-3'!C2</f>
        <v>(分摊)土地面积</v>
      </c>
    </row>
    <row r="45" spans="1:2" s="1596" customFormat="1">
      <c r="A45" s="1594" t="s">
        <v>1245</v>
      </c>
      <c r="B45" s="1595">
        <f>'预评函-3'!C4</f>
        <v>8452.18</v>
      </c>
    </row>
    <row r="46" spans="1:2" s="1596" customFormat="1">
      <c r="A46" s="1594" t="s">
        <v>1271</v>
      </c>
      <c r="B46" s="1595" t="str">
        <f>'预评函-3'!D2</f>
        <v>出让国有建设用地使用权价值</v>
      </c>
    </row>
    <row r="47" spans="1:2" s="1596" customFormat="1">
      <c r="A47" s="1594" t="s">
        <v>1246</v>
      </c>
      <c r="B47" s="1595">
        <f ca="1">'预评函-3'!D4</f>
        <v>163551</v>
      </c>
    </row>
    <row r="48" spans="1:2" s="1596" customFormat="1">
      <c r="A48" s="1594" t="s">
        <v>1247</v>
      </c>
      <c r="B48" s="1595">
        <f ca="1">'预评函-3'!E4</f>
        <v>39319</v>
      </c>
    </row>
    <row r="49" spans="1:2" s="1596" customFormat="1">
      <c r="A49" s="1594" t="s">
        <v>1248</v>
      </c>
      <c r="B49" s="1595" t="str">
        <f ca="1">'预评函-3'!D5</f>
        <v>壹拾陆亿叁仟伍佰伍拾壹万元整</v>
      </c>
    </row>
    <row r="50" spans="1:2" s="1596" customFormat="1">
      <c r="A50" s="1594" t="s">
        <v>1272</v>
      </c>
      <c r="B50" s="1595" t="str">
        <f>'预评函-3'!F2</f>
        <v>在建建筑物价值</v>
      </c>
    </row>
    <row r="51" spans="1:2" s="1596" customFormat="1">
      <c r="A51" s="1594" t="s">
        <v>1249</v>
      </c>
      <c r="B51" s="1595">
        <f ca="1">'预评函-3'!F4</f>
        <v>11183</v>
      </c>
    </row>
    <row r="52" spans="1:2" s="1596" customFormat="1">
      <c r="A52" s="1594" t="s">
        <v>1250</v>
      </c>
      <c r="B52" s="1595">
        <f ca="1">'预评函-3'!G4</f>
        <v>2688</v>
      </c>
    </row>
    <row r="53" spans="1:2" s="1596" customFormat="1">
      <c r="A53" s="1594" t="s">
        <v>1278</v>
      </c>
      <c r="B53" s="1595" t="str">
        <f ca="1">'预评函-3'!F5</f>
        <v>壹亿壹仟壹佰捌拾叁万元整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王鹏</v>
      </c>
    </row>
    <row r="71" spans="1:2">
      <c r="A71" s="1594" t="s">
        <v>1261</v>
      </c>
      <c r="B71" s="1595">
        <f ca="1">'预评函-4'!B4</f>
        <v>1120050019</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1691</v>
      </c>
      <c r="C1" s="2011" t="s">
        <v>759</v>
      </c>
      <c r="D1" s="2012" t="s">
        <v>1692</v>
      </c>
      <c r="E1" s="2012" t="s">
        <v>1693</v>
      </c>
      <c r="F1" s="2012" t="s">
        <v>1694</v>
      </c>
      <c r="G1" s="2012" t="s">
        <v>1695</v>
      </c>
      <c r="H1" s="2012" t="s">
        <v>1696</v>
      </c>
      <c r="I1" s="2012" t="s">
        <v>1697</v>
      </c>
      <c r="J1" s="2012" t="s">
        <v>1698</v>
      </c>
      <c r="K1" s="2012" t="s">
        <v>1699</v>
      </c>
      <c r="L1" s="2012" t="s">
        <v>1700</v>
      </c>
      <c r="M1" s="2012" t="s">
        <v>1701</v>
      </c>
      <c r="N1" s="2012" t="s">
        <v>1702</v>
      </c>
      <c r="O1" s="2012" t="s">
        <v>1703</v>
      </c>
      <c r="P1" s="2013" t="s">
        <v>753</v>
      </c>
      <c r="Q1" s="2013" t="s">
        <v>1144</v>
      </c>
      <c r="R1" s="2012" t="s">
        <v>1138</v>
      </c>
      <c r="S1" s="2012" t="s">
        <v>1704</v>
      </c>
      <c r="T1" s="2014" t="s">
        <v>1705</v>
      </c>
      <c r="U1" s="2012" t="s">
        <v>1706</v>
      </c>
      <c r="V1" s="2012" t="s">
        <v>1707</v>
      </c>
      <c r="W1" s="2012" t="s">
        <v>755</v>
      </c>
    </row>
    <row r="2" spans="1:23">
      <c r="A2" s="2016" t="s">
        <v>22</v>
      </c>
      <c r="B2" s="2016" t="s">
        <v>1708</v>
      </c>
      <c r="C2" s="2017" t="s">
        <v>760</v>
      </c>
      <c r="D2" s="2018" t="s">
        <v>1709</v>
      </c>
      <c r="E2" s="2018" t="s">
        <v>1710</v>
      </c>
      <c r="F2" s="2018" t="s">
        <v>1711</v>
      </c>
      <c r="G2" s="2018">
        <v>40</v>
      </c>
      <c r="H2" s="2018" t="s">
        <v>1711</v>
      </c>
      <c r="I2" s="2018" t="s">
        <v>1712</v>
      </c>
      <c r="J2" s="2018" t="s">
        <v>1713</v>
      </c>
      <c r="K2" s="2018" t="s">
        <v>1714</v>
      </c>
      <c r="L2" s="2018" t="s">
        <v>1714</v>
      </c>
      <c r="M2" s="2018" t="s">
        <v>1714</v>
      </c>
      <c r="N2" s="2018" t="s">
        <v>1714</v>
      </c>
      <c r="O2" s="2018" t="s">
        <v>1714</v>
      </c>
      <c r="P2" s="2018" t="s">
        <v>1714</v>
      </c>
      <c r="Q2" s="2018" t="s">
        <v>1714</v>
      </c>
      <c r="R2" s="2018" t="s">
        <v>1140</v>
      </c>
      <c r="S2" s="2018" t="s">
        <v>1714</v>
      </c>
      <c r="T2" s="2018" t="s">
        <v>1715</v>
      </c>
      <c r="U2" s="2018" t="s">
        <v>1714</v>
      </c>
      <c r="V2" s="2018" t="s">
        <v>1716</v>
      </c>
      <c r="W2" s="2018" t="s">
        <v>1714</v>
      </c>
    </row>
    <row r="3" spans="1:23">
      <c r="A3" s="2016" t="s">
        <v>1717</v>
      </c>
      <c r="B3" s="2019" t="s">
        <v>1145</v>
      </c>
      <c r="C3" s="2020" t="s">
        <v>761</v>
      </c>
      <c r="D3" s="2018" t="s">
        <v>1718</v>
      </c>
      <c r="E3" s="2018" t="s">
        <v>16</v>
      </c>
      <c r="F3" s="2018" t="s">
        <v>1719</v>
      </c>
      <c r="G3" s="2018">
        <v>50</v>
      </c>
      <c r="H3" s="2018" t="s">
        <v>1719</v>
      </c>
      <c r="I3" s="2018" t="s">
        <v>1720</v>
      </c>
      <c r="J3" s="2018" t="s">
        <v>1721</v>
      </c>
      <c r="K3" s="2018" t="s">
        <v>1722</v>
      </c>
      <c r="L3" s="2018" t="s">
        <v>1722</v>
      </c>
      <c r="M3" s="2018" t="s">
        <v>1722</v>
      </c>
      <c r="N3" s="2018" t="s">
        <v>1722</v>
      </c>
      <c r="O3" s="2018" t="s">
        <v>1722</v>
      </c>
      <c r="P3" s="2018" t="s">
        <v>1722</v>
      </c>
      <c r="Q3" s="2018" t="s">
        <v>1722</v>
      </c>
      <c r="R3" s="2018" t="s">
        <v>1139</v>
      </c>
      <c r="S3" s="2018" t="s">
        <v>1722</v>
      </c>
      <c r="T3" s="2018" t="s">
        <v>1723</v>
      </c>
      <c r="U3" s="2018" t="s">
        <v>1722</v>
      </c>
      <c r="V3" s="2018" t="s">
        <v>1724</v>
      </c>
      <c r="W3" s="2018" t="s">
        <v>1722</v>
      </c>
    </row>
    <row r="4" spans="1:23">
      <c r="A4" s="2016" t="s">
        <v>1725</v>
      </c>
      <c r="B4" s="2016" t="s">
        <v>1726</v>
      </c>
      <c r="C4" s="2017" t="s">
        <v>762</v>
      </c>
      <c r="D4" s="2018" t="s">
        <v>868</v>
      </c>
      <c r="E4" s="2018" t="s">
        <v>1727</v>
      </c>
      <c r="F4" s="2018" t="s">
        <v>1728</v>
      </c>
      <c r="G4" s="2018">
        <v>70</v>
      </c>
      <c r="H4" s="2018" t="s">
        <v>1728</v>
      </c>
      <c r="I4" s="2018" t="s">
        <v>1729</v>
      </c>
      <c r="K4" s="2018" t="s">
        <v>1730</v>
      </c>
      <c r="L4" s="2018" t="s">
        <v>1730</v>
      </c>
      <c r="M4" s="2018" t="s">
        <v>1730</v>
      </c>
      <c r="N4" s="2018" t="s">
        <v>1730</v>
      </c>
      <c r="O4" s="2018" t="s">
        <v>1730</v>
      </c>
      <c r="P4" s="2018" t="s">
        <v>1730</v>
      </c>
      <c r="Q4" s="2018" t="s">
        <v>1730</v>
      </c>
      <c r="R4" s="2018" t="s">
        <v>1141</v>
      </c>
      <c r="S4" s="2018" t="s">
        <v>1730</v>
      </c>
      <c r="T4" s="2018" t="s">
        <v>1731</v>
      </c>
      <c r="U4" s="2018" t="s">
        <v>1730</v>
      </c>
      <c r="W4" s="2018" t="s">
        <v>1730</v>
      </c>
    </row>
    <row r="5" spans="1:23">
      <c r="A5" s="2016" t="s">
        <v>1732</v>
      </c>
      <c r="B5" s="2016" t="s">
        <v>1733</v>
      </c>
      <c r="C5" s="2017" t="s">
        <v>763</v>
      </c>
      <c r="F5" s="2018" t="s">
        <v>1734</v>
      </c>
      <c r="H5" s="2018" t="s">
        <v>1735</v>
      </c>
      <c r="I5" s="2018" t="s">
        <v>1736</v>
      </c>
      <c r="K5" s="2018" t="s">
        <v>1737</v>
      </c>
      <c r="L5" s="2018" t="s">
        <v>1737</v>
      </c>
      <c r="M5" s="2018" t="s">
        <v>1737</v>
      </c>
      <c r="N5" s="2018" t="s">
        <v>1737</v>
      </c>
      <c r="O5" s="2018" t="s">
        <v>1737</v>
      </c>
      <c r="P5" s="2018" t="s">
        <v>1737</v>
      </c>
      <c r="Q5" s="2018" t="s">
        <v>1737</v>
      </c>
      <c r="R5" s="2018" t="s">
        <v>1142</v>
      </c>
      <c r="S5" s="2018" t="s">
        <v>1737</v>
      </c>
      <c r="T5" s="2018" t="s">
        <v>1738</v>
      </c>
      <c r="U5" s="2018" t="s">
        <v>1737</v>
      </c>
      <c r="W5" s="2018" t="s">
        <v>1737</v>
      </c>
    </row>
    <row r="6" spans="1:23">
      <c r="A6" s="2016" t="s">
        <v>1739</v>
      </c>
      <c r="B6" s="2019" t="s">
        <v>1146</v>
      </c>
      <c r="C6" s="2022" t="s">
        <v>30</v>
      </c>
      <c r="F6" s="2018" t="s">
        <v>1735</v>
      </c>
      <c r="H6" s="2018" t="s">
        <v>1740</v>
      </c>
      <c r="I6" s="2018" t="s">
        <v>1741</v>
      </c>
      <c r="K6" s="2018" t="s">
        <v>1742</v>
      </c>
      <c r="L6" s="2018" t="s">
        <v>1742</v>
      </c>
      <c r="M6" s="2018" t="s">
        <v>1742</v>
      </c>
      <c r="N6" s="2018" t="s">
        <v>1742</v>
      </c>
      <c r="O6" s="2018" t="s">
        <v>1742</v>
      </c>
      <c r="P6" s="2018" t="s">
        <v>1742</v>
      </c>
      <c r="Q6" s="2018" t="s">
        <v>1742</v>
      </c>
      <c r="R6" s="2018" t="s">
        <v>1143</v>
      </c>
      <c r="S6" s="2018" t="s">
        <v>1742</v>
      </c>
      <c r="T6" s="2018"/>
      <c r="U6" s="2018" t="s">
        <v>1742</v>
      </c>
      <c r="W6" s="2018" t="s">
        <v>1742</v>
      </c>
    </row>
    <row r="7" spans="1:23">
      <c r="A7" s="2016" t="s">
        <v>1743</v>
      </c>
      <c r="B7" s="2019" t="s">
        <v>1147</v>
      </c>
      <c r="C7" s="2017" t="s">
        <v>31</v>
      </c>
      <c r="F7" s="2018" t="s">
        <v>1744</v>
      </c>
      <c r="H7" s="2018" t="s">
        <v>1745</v>
      </c>
      <c r="I7" s="2018" t="s">
        <v>1746</v>
      </c>
    </row>
    <row r="8" spans="1:23">
      <c r="A8" s="2016" t="s">
        <v>1747</v>
      </c>
      <c r="B8" s="2016" t="s">
        <v>1748</v>
      </c>
      <c r="C8" s="2017" t="s">
        <v>764</v>
      </c>
      <c r="F8" s="2018" t="s">
        <v>1749</v>
      </c>
      <c r="H8" s="2018"/>
      <c r="I8" s="2018" t="s">
        <v>1750</v>
      </c>
    </row>
    <row r="9" spans="1:23">
      <c r="A9" s="2016" t="s">
        <v>1751</v>
      </c>
      <c r="B9" s="2016" t="s">
        <v>1752</v>
      </c>
      <c r="C9" s="2017" t="s">
        <v>765</v>
      </c>
      <c r="F9" s="2018" t="s">
        <v>1753</v>
      </c>
      <c r="H9" s="2018"/>
    </row>
    <row r="10" spans="1:23">
      <c r="A10" s="2016" t="s">
        <v>1754</v>
      </c>
      <c r="B10" s="2016" t="s">
        <v>1755</v>
      </c>
      <c r="C10" s="2017" t="s">
        <v>766</v>
      </c>
      <c r="F10" s="2018" t="s">
        <v>16</v>
      </c>
    </row>
    <row r="11" spans="1:23">
      <c r="A11" s="2016" t="s">
        <v>1756</v>
      </c>
      <c r="B11" s="2016" t="s">
        <v>1757</v>
      </c>
      <c r="C11" s="2017" t="s">
        <v>767</v>
      </c>
    </row>
    <row r="12" spans="1:23">
      <c r="A12" s="2016" t="s">
        <v>1758</v>
      </c>
      <c r="B12" s="2016" t="s">
        <v>1759</v>
      </c>
      <c r="C12" s="2017" t="s">
        <v>768</v>
      </c>
    </row>
    <row r="13" spans="1:23">
      <c r="A13" s="2016" t="s">
        <v>1760</v>
      </c>
      <c r="B13" s="2016" t="s">
        <v>1761</v>
      </c>
      <c r="C13" s="2017" t="s">
        <v>769</v>
      </c>
    </row>
    <row r="14" spans="1:23">
      <c r="A14" s="2016" t="s">
        <v>1762</v>
      </c>
      <c r="B14" s="2016" t="s">
        <v>1763</v>
      </c>
      <c r="C14" s="2018" t="s">
        <v>16</v>
      </c>
    </row>
    <row r="15" spans="1:23">
      <c r="A15" s="2016" t="s">
        <v>1764</v>
      </c>
      <c r="B15" s="2016" t="s">
        <v>1765</v>
      </c>
      <c r="C15" s="2017"/>
    </row>
    <row r="16" spans="1:23">
      <c r="A16" s="2016" t="s">
        <v>1766</v>
      </c>
      <c r="B16" s="2016" t="s">
        <v>756</v>
      </c>
      <c r="C16" s="2017"/>
    </row>
    <row r="17" spans="1:3">
      <c r="A17" s="2016" t="s">
        <v>1767</v>
      </c>
      <c r="B17" s="2016" t="s">
        <v>757</v>
      </c>
      <c r="C17" s="2017"/>
    </row>
    <row r="18" spans="1:3">
      <c r="A18" s="2016" t="s">
        <v>1768</v>
      </c>
      <c r="B18" s="2016" t="s">
        <v>757</v>
      </c>
      <c r="C18" s="2017"/>
    </row>
    <row r="19" spans="1:3">
      <c r="A19" s="2016" t="s">
        <v>1769</v>
      </c>
      <c r="B19" s="2016" t="s">
        <v>757</v>
      </c>
      <c r="C19" s="2017"/>
    </row>
    <row r="20" spans="1:3">
      <c r="A20" s="2016" t="s">
        <v>1770</v>
      </c>
      <c r="B20" s="2016" t="s">
        <v>757</v>
      </c>
      <c r="C20" s="2017"/>
    </row>
    <row r="21" spans="1:3">
      <c r="A21" s="2016" t="s">
        <v>1771</v>
      </c>
      <c r="B21" s="2016" t="s">
        <v>757</v>
      </c>
      <c r="C21" s="2017"/>
    </row>
    <row r="22" spans="1:3">
      <c r="A22" s="2016" t="s">
        <v>1772</v>
      </c>
      <c r="B22" s="2016" t="s">
        <v>757</v>
      </c>
      <c r="C22" s="2017"/>
    </row>
    <row r="23" spans="1:3">
      <c r="A23" s="2016" t="s">
        <v>1773</v>
      </c>
      <c r="B23" s="2016" t="s">
        <v>757</v>
      </c>
      <c r="C23" s="2017"/>
    </row>
    <row r="24" spans="1:3">
      <c r="A24" s="2016" t="s">
        <v>1774</v>
      </c>
      <c r="B24" s="2016" t="s">
        <v>757</v>
      </c>
      <c r="C24" s="2017"/>
    </row>
    <row r="25" spans="1:3">
      <c r="A25" s="2016" t="s">
        <v>1775</v>
      </c>
      <c r="B25" s="2016" t="s">
        <v>757</v>
      </c>
      <c r="C25" s="2017"/>
    </row>
    <row r="26" spans="1:3">
      <c r="A26" s="2016" t="s">
        <v>1776</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45"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5"/>
      <c r="B54" s="2024" t="s">
        <v>864</v>
      </c>
      <c r="C54" s="2021" t="s">
        <v>1281</v>
      </c>
    </row>
    <row r="55" spans="1:4">
      <c r="A55" s="3045"/>
      <c r="B55" s="2024" t="s">
        <v>865</v>
      </c>
      <c r="C55" s="2021" t="s">
        <v>1282</v>
      </c>
    </row>
    <row r="56" spans="1:4">
      <c r="A56" s="3045"/>
      <c r="B56" s="2024" t="s">
        <v>866</v>
      </c>
      <c r="C56" s="2021" t="s">
        <v>1286</v>
      </c>
    </row>
    <row r="57" spans="1:4">
      <c r="A57" s="3045"/>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G24" sqref="G24"/>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1777</v>
      </c>
      <c r="B1" s="3054"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55"/>
      <c r="D1" s="3055"/>
      <c r="E1" s="3055"/>
      <c r="F1" s="3055"/>
      <c r="G1" s="3055"/>
      <c r="H1" s="3055"/>
      <c r="I1" s="3056"/>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8" t="s">
        <v>1778</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7" t="s">
        <v>1779</v>
      </c>
      <c r="B3" s="2038">
        <v>43131</v>
      </c>
      <c r="C3" s="2039" t="s">
        <v>1780</v>
      </c>
      <c r="D3" s="2038">
        <v>43131</v>
      </c>
      <c r="E3" s="2028"/>
      <c r="F3" s="2028"/>
      <c r="G3" s="2028"/>
      <c r="H3" s="2028"/>
      <c r="I3" s="2028"/>
      <c r="J3" s="2028"/>
      <c r="K3" s="2029"/>
      <c r="L3" s="2030"/>
      <c r="M3" s="2030"/>
      <c r="N3" s="2031"/>
      <c r="O3" s="2032"/>
      <c r="P3" s="2031"/>
      <c r="Q3" s="2031"/>
      <c r="R3" s="2031"/>
      <c r="S3" s="2033"/>
    </row>
    <row r="4" spans="1:19" ht="18" customHeight="1" thickBot="1">
      <c r="A4" s="2040" t="s">
        <v>1781</v>
      </c>
      <c r="B4" s="2041" t="s">
        <v>3246</v>
      </c>
      <c r="C4" s="1040">
        <f ca="1">SUMIF(注册房地产估价师,B4,估价师及机构信息!B3:B24)</f>
        <v>1120050019</v>
      </c>
      <c r="D4" s="2041" t="s">
        <v>3247</v>
      </c>
      <c r="E4" s="1041">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王鹏（注册号：1120050019)、郑燚（注册号：1120070131)</v>
      </c>
      <c r="L4" s="2030"/>
      <c r="M4" s="2030"/>
      <c r="N4" s="2031"/>
      <c r="O4" s="2032"/>
      <c r="P4" s="2031"/>
      <c r="Q4" s="2031"/>
      <c r="R4" s="2031"/>
      <c r="S4" s="2033"/>
    </row>
    <row r="5" spans="1:19" ht="18" customHeight="1" thickTop="1">
      <c r="A5" s="2046" t="s">
        <v>1782</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1783</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1784</v>
      </c>
      <c r="B7" s="2055"/>
      <c r="C7" s="2052"/>
      <c r="D7" s="2053"/>
      <c r="E7" s="2036"/>
      <c r="F7" s="2044"/>
      <c r="G7" s="2044"/>
      <c r="H7" s="2044"/>
      <c r="I7" s="2044"/>
      <c r="J7" s="2044"/>
      <c r="K7" s="2056"/>
      <c r="L7" s="2030"/>
      <c r="M7" s="2030"/>
      <c r="N7" s="2031"/>
      <c r="O7" s="2032"/>
      <c r="P7" s="2031"/>
      <c r="Q7" s="2031"/>
      <c r="R7" s="2031"/>
    </row>
    <row r="8" spans="1:19" ht="18" customHeight="1">
      <c r="A8" s="2050" t="s">
        <v>1785</v>
      </c>
      <c r="B8" s="2057" t="s">
        <v>3248</v>
      </c>
      <c r="C8" s="2058"/>
      <c r="D8" s="3057" t="s">
        <v>1786</v>
      </c>
      <c r="E8" s="2059" t="s">
        <v>3249</v>
      </c>
      <c r="F8" s="2060"/>
      <c r="G8" s="2028"/>
      <c r="H8" s="2028"/>
      <c r="I8" s="2028"/>
      <c r="J8" s="2044"/>
      <c r="K8" s="2045"/>
      <c r="L8" s="2030"/>
      <c r="M8" s="2030"/>
      <c r="N8" s="2031"/>
      <c r="O8" s="2032"/>
      <c r="P8" s="2031"/>
      <c r="Q8" s="2031"/>
      <c r="R8" s="2031"/>
    </row>
    <row r="9" spans="1:19" ht="18" customHeight="1" thickBot="1">
      <c r="A9" s="2042" t="s">
        <v>1787</v>
      </c>
      <c r="B9" s="2061" t="s">
        <v>3249</v>
      </c>
      <c r="C9" s="2062"/>
      <c r="D9" s="3058"/>
      <c r="E9" s="2061" t="s">
        <v>70</v>
      </c>
      <c r="F9" s="2063"/>
      <c r="G9" s="2064"/>
      <c r="H9" s="2064"/>
      <c r="I9" s="2064"/>
      <c r="J9" s="2044"/>
      <c r="K9" s="2056"/>
      <c r="L9" s="2030"/>
      <c r="M9" s="2030"/>
      <c r="N9" s="2031"/>
      <c r="O9" s="2032"/>
      <c r="P9" s="2031"/>
      <c r="Q9" s="2031"/>
      <c r="R9" s="2031"/>
    </row>
    <row r="10" spans="1:19" ht="18" customHeight="1" thickTop="1">
      <c r="A10" s="2065" t="s">
        <v>1788</v>
      </c>
      <c r="B10" s="2066" t="s">
        <v>3250</v>
      </c>
      <c r="C10" s="2067"/>
      <c r="D10" s="2049"/>
      <c r="E10" s="2068" t="s">
        <v>1789</v>
      </c>
      <c r="F10" s="2069"/>
      <c r="G10" s="2070"/>
      <c r="H10" s="2071"/>
      <c r="I10" s="2049"/>
      <c r="J10" s="2044"/>
      <c r="K10" s="2056"/>
      <c r="L10" s="2030"/>
      <c r="M10" s="2030"/>
      <c r="N10" s="2031"/>
      <c r="O10" s="2032"/>
      <c r="P10" s="2031"/>
      <c r="Q10" s="2031"/>
      <c r="R10" s="2031"/>
    </row>
    <row r="11" spans="1:19" ht="18" customHeight="1">
      <c r="A11" s="2072" t="s">
        <v>1790</v>
      </c>
      <c r="B11" s="2073" t="s">
        <v>3251</v>
      </c>
      <c r="C11" s="2074"/>
      <c r="D11" s="2075"/>
      <c r="E11" s="2044"/>
      <c r="F11" s="2044"/>
      <c r="G11" s="2044"/>
      <c r="H11" s="2044"/>
      <c r="I11" s="2044"/>
      <c r="J11" s="2044"/>
      <c r="K11" s="2056"/>
      <c r="L11" s="2030"/>
      <c r="M11" s="2030"/>
      <c r="N11" s="2031"/>
      <c r="O11" s="2032"/>
      <c r="P11" s="2031"/>
      <c r="Q11" s="2031"/>
      <c r="R11" s="2031"/>
    </row>
    <row r="12" spans="1:19" ht="18" customHeight="1">
      <c r="A12" s="2076" t="s">
        <v>1791</v>
      </c>
      <c r="B12" s="2073" t="s">
        <v>3252</v>
      </c>
      <c r="C12" s="2077" t="s">
        <v>1792</v>
      </c>
      <c r="D12" s="2078" t="s">
        <v>1793</v>
      </c>
      <c r="E12" s="2078" t="s">
        <v>1794</v>
      </c>
      <c r="F12" s="2078" t="s">
        <v>1795</v>
      </c>
      <c r="G12" s="2078" t="s">
        <v>1796</v>
      </c>
      <c r="H12" s="2078" t="s">
        <v>1797</v>
      </c>
      <c r="I12" s="2078" t="s">
        <v>1798</v>
      </c>
      <c r="J12" s="2044"/>
      <c r="K12" s="2056"/>
      <c r="L12" s="2030"/>
      <c r="M12" s="2030"/>
      <c r="N12" s="2031"/>
      <c r="O12" s="2032"/>
      <c r="P12" s="2031"/>
      <c r="Q12" s="2031"/>
      <c r="R12" s="2031"/>
    </row>
    <row r="13" spans="1:19" ht="18" customHeight="1">
      <c r="A13" s="2079"/>
      <c r="B13" s="2080"/>
      <c r="C13" s="2081" t="s">
        <v>1799</v>
      </c>
      <c r="D13" s="2082"/>
      <c r="E13" s="2082">
        <v>57314</v>
      </c>
      <c r="F13" s="2082"/>
      <c r="G13" s="2082"/>
      <c r="H13" s="2082"/>
      <c r="I13" s="1050"/>
      <c r="J13" s="2044"/>
      <c r="K13" s="2056"/>
      <c r="L13" s="2030"/>
      <c r="M13" s="2030"/>
      <c r="N13" s="2031"/>
      <c r="O13" s="2032"/>
      <c r="P13" s="2031"/>
      <c r="Q13" s="2031"/>
      <c r="R13" s="2031"/>
    </row>
    <row r="14" spans="1:19" ht="18" customHeight="1">
      <c r="A14" s="2079"/>
      <c r="B14" s="2080"/>
      <c r="C14" s="2081" t="s">
        <v>1800</v>
      </c>
      <c r="D14" s="1053"/>
      <c r="E14" s="1053">
        <v>40</v>
      </c>
      <c r="F14" s="1053"/>
      <c r="G14" s="1053"/>
      <c r="H14" s="1053"/>
      <c r="I14" s="1053"/>
      <c r="J14" s="2044"/>
      <c r="K14" s="2083"/>
      <c r="L14" s="2030"/>
      <c r="M14" s="2030"/>
      <c r="N14" s="2031"/>
      <c r="O14" s="2032"/>
      <c r="P14" s="2031"/>
      <c r="Q14" s="2031"/>
      <c r="R14" s="2031"/>
    </row>
    <row r="15" spans="1:19" ht="18" customHeight="1">
      <c r="A15" s="2065"/>
      <c r="B15" s="2084"/>
      <c r="C15" s="2081" t="s">
        <v>1801</v>
      </c>
      <c r="D15" s="1052" t="str">
        <f>IF(B12="出让",IF(D13="","",ROUNDDOWN(MIN((D13-$D$3)/365,D14),2)),D14)</f>
        <v/>
      </c>
      <c r="E15" s="1052">
        <f>IF(B12="出让",IF(E13="","",ROUNDDOWN(MIN((E13-$D$3)/365,E14),2)),E14)</f>
        <v>38.85</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5"/>
      <c r="L15" s="2086"/>
      <c r="M15" s="2086"/>
      <c r="N15" s="2087"/>
      <c r="O15" s="2086"/>
      <c r="P15" s="2087"/>
      <c r="Q15" s="2031"/>
      <c r="R15" s="2031"/>
    </row>
    <row r="16" spans="1:19" ht="30.75" customHeight="1">
      <c r="A16" s="2068" t="s">
        <v>1802</v>
      </c>
      <c r="B16" s="3064"/>
      <c r="C16" s="3065"/>
      <c r="D16" s="3066"/>
      <c r="E16" s="2088" t="s">
        <v>1803</v>
      </c>
      <c r="F16" s="3067"/>
      <c r="G16" s="3068"/>
      <c r="H16" s="3068"/>
      <c r="I16" s="3069"/>
      <c r="J16" s="2031"/>
      <c r="K16" s="2085"/>
      <c r="L16" s="2086"/>
      <c r="M16" s="2086"/>
      <c r="N16" s="2087"/>
      <c r="O16" s="2086"/>
      <c r="P16" s="2087"/>
      <c r="Q16" s="2031"/>
      <c r="R16" s="2031"/>
    </row>
    <row r="17" spans="1:22" ht="18" customHeight="1">
      <c r="A17" s="2089" t="s">
        <v>1804</v>
      </c>
      <c r="B17" s="2037" t="s">
        <v>1805</v>
      </c>
      <c r="C17" s="1057">
        <f>'数据-汇总表'!E3</f>
        <v>41596.89</v>
      </c>
      <c r="D17" s="2090" t="s">
        <v>1806</v>
      </c>
      <c r="E17" s="3070" t="s">
        <v>1807</v>
      </c>
      <c r="F17" s="3071"/>
      <c r="G17" s="3071"/>
      <c r="H17" s="3071"/>
      <c r="I17" s="3072"/>
      <c r="J17" s="2031"/>
      <c r="K17" s="2091"/>
      <c r="L17" s="2086"/>
      <c r="M17" s="2086"/>
      <c r="N17" s="2087"/>
      <c r="O17" s="2086"/>
      <c r="P17" s="2087"/>
      <c r="Q17" s="2031"/>
      <c r="R17" s="2031"/>
      <c r="S17" s="2031"/>
      <c r="T17" s="2031"/>
      <c r="U17" s="2031"/>
      <c r="V17" s="2031"/>
    </row>
    <row r="18" spans="1:22" ht="36" customHeight="1" thickBot="1">
      <c r="A18" s="2092" t="s">
        <v>1808</v>
      </c>
      <c r="B18" s="2040" t="s">
        <v>1809</v>
      </c>
      <c r="C18" s="1447">
        <f>'数据-汇总表'!D3</f>
        <v>8452.18</v>
      </c>
      <c r="D18" s="2093" t="s">
        <v>1806</v>
      </c>
      <c r="E18" s="3073" t="s">
        <v>1810</v>
      </c>
      <c r="F18" s="3074"/>
      <c r="G18" s="3074"/>
      <c r="H18" s="3074"/>
      <c r="I18" s="3075"/>
      <c r="J18" s="2031"/>
      <c r="K18" s="2091"/>
      <c r="L18" s="2086"/>
      <c r="M18" s="2086"/>
      <c r="N18" s="2087"/>
      <c r="O18" s="2086"/>
      <c r="P18" s="2087"/>
      <c r="Q18" s="2031"/>
      <c r="R18" s="2031"/>
      <c r="S18" s="2031"/>
      <c r="T18" s="2031"/>
      <c r="U18" s="2031"/>
      <c r="V18" s="2031"/>
    </row>
    <row r="19" spans="1:22" ht="37.5" customHeight="1" thickTop="1" thickBot="1">
      <c r="A19" s="373" t="s">
        <v>1811</v>
      </c>
      <c r="B19" s="352" t="s">
        <v>1812</v>
      </c>
      <c r="C19" s="2094"/>
      <c r="D19" s="2095" t="s">
        <v>1813</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1814</v>
      </c>
      <c r="B20" s="3060" t="s">
        <v>1815</v>
      </c>
      <c r="C20" s="3061"/>
      <c r="D20" s="3062" t="s">
        <v>1816</v>
      </c>
      <c r="E20" s="3063"/>
      <c r="F20" s="2100" t="s">
        <v>1817</v>
      </c>
      <c r="G20" s="2044"/>
      <c r="H20" s="2044"/>
      <c r="I20" s="2044"/>
      <c r="J20" s="2044"/>
      <c r="K20" s="3059" t="s">
        <v>1818</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1819</v>
      </c>
      <c r="C21" s="2102" t="s">
        <v>1820</v>
      </c>
      <c r="D21" s="2103" t="s">
        <v>1821</v>
      </c>
      <c r="E21" s="2104" t="s">
        <v>1820</v>
      </c>
      <c r="F21" s="2105"/>
      <c r="G21" s="2044"/>
      <c r="H21" s="2044"/>
      <c r="I21" s="2044"/>
      <c r="J21" s="2044"/>
      <c r="K21" s="305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1822</v>
      </c>
      <c r="C22" s="2102" t="s">
        <v>1823</v>
      </c>
      <c r="D22" s="2028"/>
      <c r="E22" s="2028"/>
      <c r="F22" s="2107"/>
      <c r="G22" s="2044"/>
      <c r="H22" s="2044"/>
      <c r="I22" s="2044"/>
      <c r="J22" s="2044"/>
      <c r="K22" s="305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1824</v>
      </c>
      <c r="B23" s="183" t="s">
        <v>1825</v>
      </c>
      <c r="C23" s="2109"/>
      <c r="D23" s="2110" t="s">
        <v>1825</v>
      </c>
      <c r="E23" s="2111"/>
      <c r="F23" s="2107"/>
      <c r="G23" s="2044"/>
      <c r="H23" s="2044"/>
      <c r="I23" s="2044"/>
      <c r="J23" s="2044"/>
      <c r="K23" s="2112"/>
      <c r="L23" s="748"/>
      <c r="M23" s="2030"/>
      <c r="N23" s="2087"/>
      <c r="O23" s="2086"/>
      <c r="P23" s="2087"/>
      <c r="Q23" s="2031"/>
      <c r="R23" s="2031"/>
      <c r="S23" s="2031"/>
      <c r="T23" s="2031"/>
      <c r="U23" s="2031"/>
      <c r="V23" s="2031"/>
    </row>
    <row r="24" spans="1:22" ht="18" customHeight="1">
      <c r="A24" s="2113"/>
      <c r="B24" s="183" t="s">
        <v>1826</v>
      </c>
      <c r="C24" s="2114"/>
      <c r="D24" s="2108" t="s">
        <v>1826</v>
      </c>
      <c r="E24" s="2115"/>
      <c r="F24" s="2107"/>
      <c r="G24" s="2044"/>
      <c r="H24" s="2044"/>
      <c r="I24" s="2044"/>
      <c r="J24" s="2044"/>
      <c r="K24" s="2112"/>
      <c r="L24" s="748"/>
      <c r="M24" s="2030"/>
      <c r="N24" s="2087"/>
      <c r="O24" s="2086"/>
      <c r="P24" s="2087"/>
      <c r="Q24" s="2031"/>
      <c r="R24" s="2031"/>
      <c r="S24" s="2031"/>
      <c r="T24" s="2031"/>
      <c r="U24" s="2031"/>
      <c r="V24" s="2031"/>
    </row>
    <row r="25" spans="1:22" ht="18" customHeight="1">
      <c r="A25" s="2113"/>
      <c r="B25" s="183" t="s">
        <v>1827</v>
      </c>
      <c r="C25" s="2114"/>
      <c r="D25" s="2108" t="s">
        <v>1827</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1828</v>
      </c>
      <c r="C26" s="2118"/>
      <c r="D26" s="2119" t="s">
        <v>1829</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47" t="s">
        <v>1830</v>
      </c>
      <c r="B27" s="2065" t="s">
        <v>1831</v>
      </c>
      <c r="C27" s="2122" t="s">
        <v>3253</v>
      </c>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47"/>
      <c r="B28" s="2037" t="s">
        <v>1832</v>
      </c>
      <c r="C28" s="2124" t="s">
        <v>3254</v>
      </c>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47"/>
      <c r="B29" s="2037" t="s">
        <v>1833</v>
      </c>
      <c r="C29" s="2127" t="s">
        <v>3255</v>
      </c>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48"/>
      <c r="B30" s="2037" t="s">
        <v>1834</v>
      </c>
      <c r="C30" s="3049"/>
      <c r="D30" s="3050"/>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51" t="s">
        <v>1835</v>
      </c>
      <c r="B31" s="2129" t="s">
        <v>3256</v>
      </c>
      <c r="C31" s="2130" t="str">
        <f>IF(B31="现房","成新及维护状况正常否",IF(B31="在建","工程状态是否正常",IF(B31="土地","是否闲置","-")))</f>
        <v>工程状态是否正常</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52"/>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52"/>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1836</v>
      </c>
      <c r="B34" s="2136" t="s">
        <v>3257</v>
      </c>
      <c r="C34" s="2136" t="s">
        <v>3258</v>
      </c>
      <c r="D34" s="2136" t="s">
        <v>3259</v>
      </c>
      <c r="E34" s="2136" t="s">
        <v>3260</v>
      </c>
      <c r="F34" s="2136" t="s">
        <v>3261</v>
      </c>
      <c r="G34" s="2136"/>
      <c r="H34" s="2136"/>
      <c r="I34" s="2044"/>
      <c r="J34" s="2044"/>
      <c r="K34" s="1797">
        <f>COUNTIF(B34:H34,"——")</f>
        <v>0</v>
      </c>
      <c r="L34" s="2077" t="s">
        <v>1837</v>
      </c>
      <c r="M34" s="2077" t="s">
        <v>1838</v>
      </c>
      <c r="N34" s="2077" t="s">
        <v>1839</v>
      </c>
      <c r="O34" s="2077" t="s">
        <v>1840</v>
      </c>
      <c r="P34" s="2077" t="s">
        <v>1841</v>
      </c>
      <c r="Q34" s="2077" t="s">
        <v>1842</v>
      </c>
      <c r="R34" s="2077" t="s">
        <v>1843</v>
      </c>
      <c r="S34" s="3046" t="s">
        <v>1844</v>
      </c>
      <c r="T34" s="2137" t="str">
        <f>NUMBERSTRING(7-K34,1)&amp;"通"</f>
        <v>七通</v>
      </c>
      <c r="U34" s="2031"/>
      <c r="V34" s="2031"/>
    </row>
    <row r="35" spans="1:22" ht="18" customHeight="1">
      <c r="A35" s="2138"/>
      <c r="B35" s="3053" t="s">
        <v>1845</v>
      </c>
      <c r="C35" s="3053"/>
      <c r="D35" s="3053"/>
      <c r="E35" s="3053"/>
      <c r="F35" s="2139">
        <f>C10</f>
        <v>0</v>
      </c>
      <c r="G35" s="2044"/>
      <c r="H35" s="2044"/>
      <c r="I35" s="2044"/>
      <c r="J35" s="2044"/>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46"/>
      <c r="T35" s="48" t="str">
        <f>IF(T34="一通",L35,IF(T34="二通",M35,IF(T34="三通",N35,IF(T34="四通",O35,IF(T34="五通",P35,IF(T34="六通",Q35,R35))))))</f>
        <v>通路、通电、通讯、通上水、通下水、、</v>
      </c>
      <c r="U35" s="2031"/>
      <c r="V35" s="2031"/>
    </row>
    <row r="36" spans="1:22" ht="18" customHeight="1">
      <c r="A36" s="2140"/>
      <c r="B36" s="2139" t="s">
        <v>1846</v>
      </c>
      <c r="C36" s="2139" t="s">
        <v>1847</v>
      </c>
      <c r="D36" s="2139" t="s">
        <v>1848</v>
      </c>
      <c r="E36" s="2139" t="s">
        <v>1849</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1850</v>
      </c>
      <c r="B37" s="2143" t="s">
        <v>269</v>
      </c>
      <c r="C37" s="2143"/>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1851</v>
      </c>
      <c r="B38" s="2145" t="s">
        <v>343</v>
      </c>
      <c r="C38" s="2145"/>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1852</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6"/>
      <c r="L40" s="2086"/>
      <c r="M40" s="2086"/>
      <c r="N40" s="2087"/>
      <c r="O40" s="2086"/>
      <c r="P40" s="2031"/>
      <c r="Q40" s="2031"/>
      <c r="R40" s="2031"/>
      <c r="S40" s="2031"/>
      <c r="T40" s="2031"/>
      <c r="U40" s="2031"/>
      <c r="V40" s="2031"/>
    </row>
    <row r="41" spans="1:22" ht="18" customHeight="1">
      <c r="A41" s="8" t="s">
        <v>1853</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1854</v>
      </c>
      <c r="B42" s="1797" t="s">
        <v>1855</v>
      </c>
      <c r="C42" s="1797" t="s">
        <v>1856</v>
      </c>
      <c r="D42" s="1797" t="s">
        <v>1857</v>
      </c>
      <c r="E42" s="1797" t="s">
        <v>1858</v>
      </c>
      <c r="F42" s="1797" t="s">
        <v>1859</v>
      </c>
      <c r="G42" s="1797" t="s">
        <v>1860</v>
      </c>
      <c r="H42" s="1797" t="s">
        <v>1861</v>
      </c>
      <c r="I42" s="1797" t="s">
        <v>1862</v>
      </c>
      <c r="J42" s="2155" t="s">
        <v>1863</v>
      </c>
      <c r="K42" s="2078" t="s">
        <v>1864</v>
      </c>
      <c r="L42" s="2078" t="s">
        <v>1865</v>
      </c>
      <c r="M42" s="2078" t="s">
        <v>1866</v>
      </c>
      <c r="N42" s="1797" t="s">
        <v>1867</v>
      </c>
      <c r="O42" s="1797" t="s">
        <v>1868</v>
      </c>
      <c r="P42" s="1797" t="s">
        <v>1869</v>
      </c>
      <c r="Q42" s="2077" t="s">
        <v>1870</v>
      </c>
      <c r="R42" s="2077" t="s">
        <v>1871</v>
      </c>
      <c r="S42" s="2031"/>
      <c r="T42" s="2031"/>
      <c r="U42" s="2031"/>
      <c r="V42" s="2031"/>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1872</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1873</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1874</v>
      </c>
      <c r="B2" s="11" t="s">
        <v>1875</v>
      </c>
      <c r="C2" s="11" t="s">
        <v>1876</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1877</v>
      </c>
      <c r="AZ2" s="1273" t="s">
        <v>1878</v>
      </c>
      <c r="BA2" s="11" t="s">
        <v>1879</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f>7504.03+948.15</f>
        <v>8452.18</v>
      </c>
      <c r="B3" s="14">
        <f>IF(C3="否",G5-AT5,G5)</f>
        <v>41596.89</v>
      </c>
      <c r="C3" s="2171" t="s">
        <v>1880</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1881</v>
      </c>
      <c r="B5" s="1805"/>
      <c r="C5" s="1805"/>
      <c r="D5" s="1808"/>
      <c r="E5" s="16" t="s">
        <v>1</v>
      </c>
      <c r="F5" s="16">
        <f>SUM(F13:F587)</f>
        <v>0</v>
      </c>
      <c r="G5" s="16">
        <f>SUM(G13:G587)</f>
        <v>41596.89</v>
      </c>
      <c r="H5" s="16">
        <f t="shared" ref="H5:AT5" si="0">SUM(H13:H656)</f>
        <v>41596.89</v>
      </c>
      <c r="I5" s="16">
        <f t="shared" si="0"/>
        <v>24763.08</v>
      </c>
      <c r="J5" s="16">
        <f t="shared" si="0"/>
        <v>0</v>
      </c>
      <c r="K5" s="16">
        <f t="shared" si="0"/>
        <v>16833.809999999998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1881</v>
      </c>
      <c r="AW5" s="1805"/>
      <c r="AX5" s="1805"/>
      <c r="AY5" s="17" t="s">
        <v>3</v>
      </c>
      <c r="AZ5" s="18">
        <f t="shared" ref="AZ5:BT5" si="1">SUM(AZ13:AZ656)</f>
        <v>41596.89</v>
      </c>
      <c r="BA5" s="18">
        <f t="shared" si="1"/>
        <v>41596.89</v>
      </c>
      <c r="BB5" s="18">
        <f t="shared" si="1"/>
        <v>24763.08</v>
      </c>
      <c r="BC5" s="18">
        <f t="shared" si="1"/>
        <v>16833.809999999998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1882</v>
      </c>
      <c r="B6" s="2177"/>
      <c r="C6" s="2177"/>
      <c r="D6" s="2178"/>
      <c r="E6" s="16">
        <f>H6+AC6+AT6</f>
        <v>8452.18</v>
      </c>
      <c r="F6" s="16" t="s">
        <v>1</v>
      </c>
      <c r="G6" s="16" t="s">
        <v>2</v>
      </c>
      <c r="H6" s="20">
        <f>SUMIF(I$12:AB$12,"总值",I6:AB6)</f>
        <v>8452.18</v>
      </c>
      <c r="I6" s="16">
        <f t="shared" ref="I6:AB6" si="2">ROUND($A$3*I5/$B$3,2)</f>
        <v>5031.67</v>
      </c>
      <c r="J6" s="16">
        <f t="shared" si="2"/>
        <v>0</v>
      </c>
      <c r="K6" s="16">
        <f t="shared" si="2"/>
        <v>3420.51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1882</v>
      </c>
      <c r="AW6" s="2177"/>
      <c r="AX6" s="2177"/>
      <c r="AY6" s="21">
        <f>IF(AY3&gt;0,AY3,ROUND($A$3*AZ5/$B$3,2))</f>
        <v>8452.18</v>
      </c>
      <c r="AZ6" s="16" t="s">
        <v>3</v>
      </c>
      <c r="BA6" s="16">
        <f>ROUND($AY$6*BA5/$AZ$5,2)</f>
        <v>8452.18</v>
      </c>
      <c r="BB6" s="16">
        <f>ROUND($AY$6*BB5/$AZ$5,2)</f>
        <v>5031.67</v>
      </c>
      <c r="BC6" s="16">
        <f t="shared" ref="BC6:BH6" si="4">ROUND($AY$6*BC5/$AZ$5,2)</f>
        <v>3420.51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1883</v>
      </c>
      <c r="B7" s="2112" t="s">
        <v>1884</v>
      </c>
      <c r="C7" s="2112" t="s">
        <v>1885</v>
      </c>
      <c r="D7" s="2112" t="s">
        <v>1886</v>
      </c>
      <c r="E7" s="2112" t="s">
        <v>1887</v>
      </c>
      <c r="F7" s="2112" t="s">
        <v>1888</v>
      </c>
      <c r="G7" s="2181" t="s">
        <v>1889</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1890</v>
      </c>
      <c r="AV7" s="23" t="s">
        <v>1891</v>
      </c>
      <c r="AW7" s="2169" t="s">
        <v>1892</v>
      </c>
      <c r="AX7" s="23" t="s">
        <v>1885</v>
      </c>
      <c r="AY7" s="1805" t="s">
        <v>1893</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1894</v>
      </c>
      <c r="H8" s="2187" t="s">
        <v>1895</v>
      </c>
      <c r="I8" s="2188"/>
      <c r="J8" s="1820"/>
      <c r="K8" s="1820"/>
      <c r="L8" s="1820"/>
      <c r="M8" s="1820"/>
      <c r="N8" s="1820"/>
      <c r="O8" s="1820"/>
      <c r="P8" s="1820"/>
      <c r="Q8" s="1820"/>
      <c r="R8" s="1820"/>
      <c r="S8" s="1820"/>
      <c r="T8" s="1820"/>
      <c r="U8" s="1820"/>
      <c r="V8" s="2189"/>
      <c r="W8" s="1820"/>
      <c r="X8" s="1820"/>
      <c r="Y8" s="1820"/>
      <c r="Z8" s="1820"/>
      <c r="AA8" s="2189"/>
      <c r="AB8" s="2190"/>
      <c r="AC8" s="984" t="s">
        <v>1896</v>
      </c>
      <c r="AD8" s="2191"/>
      <c r="AE8" s="2183"/>
      <c r="AF8" s="1820"/>
      <c r="AG8" s="1820"/>
      <c r="AH8" s="1820"/>
      <c r="AI8" s="1820"/>
      <c r="AJ8" s="1820"/>
      <c r="AK8" s="1820"/>
      <c r="AL8" s="1820"/>
      <c r="AM8" s="1820"/>
      <c r="AN8" s="1820"/>
      <c r="AO8" s="1820"/>
      <c r="AP8" s="1820"/>
      <c r="AQ8" s="1820"/>
      <c r="AR8" s="1820"/>
      <c r="AS8" s="1820"/>
      <c r="AT8" s="1295" t="s">
        <v>1897</v>
      </c>
      <c r="AU8" s="2185" t="s">
        <v>1898</v>
      </c>
      <c r="AV8" s="1295"/>
      <c r="AW8" s="2168"/>
      <c r="AX8" s="1295"/>
      <c r="AY8" s="2169" t="s">
        <v>1899</v>
      </c>
      <c r="AZ8" s="1819" t="s">
        <v>1900</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5"/>
      <c r="H9" s="2193" t="s">
        <v>1901</v>
      </c>
      <c r="I9" s="2194" t="s">
        <v>3242</v>
      </c>
      <c r="J9" s="984"/>
      <c r="K9" s="2194" t="s">
        <v>3244</v>
      </c>
      <c r="L9" s="984"/>
      <c r="M9" s="2194"/>
      <c r="N9" s="984"/>
      <c r="O9" s="2194"/>
      <c r="P9" s="984"/>
      <c r="Q9" s="2194"/>
      <c r="R9" s="984"/>
      <c r="S9" s="2194"/>
      <c r="T9" s="984"/>
      <c r="U9" s="2194"/>
      <c r="V9" s="984"/>
      <c r="W9" s="2194"/>
      <c r="X9" s="2195"/>
      <c r="Y9" s="2194"/>
      <c r="Z9" s="984"/>
      <c r="AA9" s="2194"/>
      <c r="AB9" s="984"/>
      <c r="AC9" s="2186" t="s">
        <v>1901</v>
      </c>
      <c r="AD9" s="15" t="s">
        <v>1902</v>
      </c>
      <c r="AE9" s="1301"/>
      <c r="AF9" s="15" t="s">
        <v>1903</v>
      </c>
      <c r="AG9" s="1301"/>
      <c r="AH9" s="15" t="s">
        <v>1902</v>
      </c>
      <c r="AI9" s="1301"/>
      <c r="AJ9" s="15" t="s">
        <v>1903</v>
      </c>
      <c r="AK9" s="1301"/>
      <c r="AL9" s="15" t="s">
        <v>1902</v>
      </c>
      <c r="AM9" s="1301"/>
      <c r="AN9" s="15" t="s">
        <v>1903</v>
      </c>
      <c r="AO9" s="1301"/>
      <c r="AP9" s="15" t="s">
        <v>1902</v>
      </c>
      <c r="AQ9" s="1301"/>
      <c r="AR9" s="15" t="s">
        <v>1903</v>
      </c>
      <c r="AS9" s="2196"/>
      <c r="AT9" s="2185"/>
      <c r="AU9" s="2185" t="s">
        <v>1904</v>
      </c>
      <c r="AV9" s="1295"/>
      <c r="AW9" s="2168"/>
      <c r="AX9" s="1295"/>
      <c r="AY9" s="28"/>
      <c r="AZ9" s="28" t="s">
        <v>1894</v>
      </c>
      <c r="BA9" s="2197" t="s">
        <v>1905</v>
      </c>
      <c r="BB9" s="2198"/>
      <c r="BC9" s="1341"/>
      <c r="BD9" s="1341"/>
      <c r="BE9" s="1341"/>
      <c r="BF9" s="1341"/>
      <c r="BG9" s="1341"/>
      <c r="BH9" s="1341"/>
      <c r="BI9" s="1341"/>
      <c r="BJ9" s="1341"/>
      <c r="BK9" s="2199"/>
      <c r="BL9" s="15" t="s">
        <v>1906</v>
      </c>
      <c r="BM9" s="1820"/>
      <c r="BN9" s="2188"/>
      <c r="BO9" s="1820"/>
      <c r="BP9" s="1820"/>
      <c r="BQ9" s="1820"/>
      <c r="BR9" s="1820"/>
      <c r="BS9" s="1820"/>
      <c r="BT9" s="26"/>
    </row>
    <row r="10" spans="1:72" s="2192" customFormat="1" ht="12.75">
      <c r="A10" s="2185"/>
      <c r="B10" s="2185"/>
      <c r="C10" s="2185"/>
      <c r="D10" s="2185"/>
      <c r="E10" s="2185"/>
      <c r="F10" s="2185"/>
      <c r="G10" s="1295"/>
      <c r="H10" s="28"/>
      <c r="I10" s="2194" t="s">
        <v>1377</v>
      </c>
      <c r="J10" s="984"/>
      <c r="K10" s="2200" t="s">
        <v>1377</v>
      </c>
      <c r="L10" s="984"/>
      <c r="M10" s="2200"/>
      <c r="N10" s="984"/>
      <c r="O10" s="2200"/>
      <c r="P10" s="984"/>
      <c r="Q10" s="2200"/>
      <c r="R10" s="984"/>
      <c r="S10" s="2200"/>
      <c r="T10" s="984"/>
      <c r="U10" s="2200"/>
      <c r="V10" s="984"/>
      <c r="W10" s="2200"/>
      <c r="X10" s="984"/>
      <c r="Y10" s="2200"/>
      <c r="Z10" s="984"/>
      <c r="AA10" s="2200"/>
      <c r="AB10" s="984"/>
      <c r="AC10" s="1295"/>
      <c r="AD10" s="15" t="s">
        <v>1907</v>
      </c>
      <c r="AE10" s="2201"/>
      <c r="AF10" s="15" t="s">
        <v>1907</v>
      </c>
      <c r="AG10" s="2201"/>
      <c r="AH10" s="15" t="s">
        <v>1908</v>
      </c>
      <c r="AI10" s="2201"/>
      <c r="AJ10" s="15" t="s">
        <v>1908</v>
      </c>
      <c r="AK10" s="2201"/>
      <c r="AL10" s="15" t="s">
        <v>1909</v>
      </c>
      <c r="AM10" s="1301"/>
      <c r="AN10" s="15" t="s">
        <v>1909</v>
      </c>
      <c r="AO10" s="1301"/>
      <c r="AP10" s="15" t="s">
        <v>1910</v>
      </c>
      <c r="AQ10" s="1301"/>
      <c r="AR10" s="15" t="s">
        <v>1910</v>
      </c>
      <c r="AS10" s="1301"/>
      <c r="AT10" s="2185"/>
      <c r="AU10" s="2185"/>
      <c r="AV10" s="1295"/>
      <c r="AW10" s="2168"/>
      <c r="AX10" s="1295"/>
      <c r="AY10" s="28"/>
      <c r="AZ10" s="28"/>
      <c r="BA10" s="2202" t="s">
        <v>1901</v>
      </c>
      <c r="BB10" s="2203" t="str">
        <f>I9</f>
        <v>地上</v>
      </c>
      <c r="BC10" s="29" t="str">
        <f>K9</f>
        <v>地下</v>
      </c>
      <c r="BD10" s="29">
        <f>M9</f>
        <v>0</v>
      </c>
      <c r="BE10" s="29">
        <f>O9</f>
        <v>0</v>
      </c>
      <c r="BF10" s="29">
        <f>Q9</f>
        <v>0</v>
      </c>
      <c r="BG10" s="29">
        <f>S9</f>
        <v>0</v>
      </c>
      <c r="BH10" s="29">
        <f>U9</f>
        <v>0</v>
      </c>
      <c r="BI10" s="29">
        <f>W9</f>
        <v>0</v>
      </c>
      <c r="BJ10" s="29">
        <f>Y9</f>
        <v>0</v>
      </c>
      <c r="BK10" s="29">
        <f>AA9</f>
        <v>0</v>
      </c>
      <c r="BL10" s="25" t="s">
        <v>1901</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5"/>
      <c r="H11" s="2202"/>
      <c r="I11" s="2205" t="s">
        <v>3243</v>
      </c>
      <c r="J11" s="2206"/>
      <c r="K11" s="2205" t="s">
        <v>3243</v>
      </c>
      <c r="L11" s="2206"/>
      <c r="M11" s="2205"/>
      <c r="N11" s="2206"/>
      <c r="O11" s="2205"/>
      <c r="P11" s="2206"/>
      <c r="Q11" s="2205"/>
      <c r="R11" s="2206"/>
      <c r="S11" s="2205"/>
      <c r="T11" s="2206"/>
      <c r="U11" s="2205"/>
      <c r="V11" s="2206"/>
      <c r="W11" s="2205"/>
      <c r="X11" s="2206"/>
      <c r="Y11" s="2205"/>
      <c r="Z11" s="2206"/>
      <c r="AA11" s="2205"/>
      <c r="AB11" s="2206"/>
      <c r="AC11" s="1295"/>
      <c r="AD11" s="2207" t="s">
        <v>1911</v>
      </c>
      <c r="AE11" s="1821"/>
      <c r="AF11" s="2207" t="s">
        <v>1911</v>
      </c>
      <c r="AG11" s="1821"/>
      <c r="AH11" s="2207" t="s">
        <v>1912</v>
      </c>
      <c r="AI11" s="2208"/>
      <c r="AJ11" s="2207" t="s">
        <v>1912</v>
      </c>
      <c r="AK11" s="1821"/>
      <c r="AL11" s="1819"/>
      <c r="AM11" s="1821"/>
      <c r="AN11" s="1819"/>
      <c r="AO11" s="1821"/>
      <c r="AP11" s="1819"/>
      <c r="AQ11" s="1821"/>
      <c r="AR11" s="1819"/>
      <c r="AS11" s="1821"/>
      <c r="AT11" s="2168"/>
      <c r="AU11" s="2185"/>
      <c r="AV11" s="1295"/>
      <c r="AW11" s="2168"/>
      <c r="AX11" s="1295"/>
      <c r="AY11" s="28"/>
      <c r="AZ11" s="28"/>
      <c r="BA11" s="28"/>
      <c r="BB11" s="2190" t="str">
        <f>I10</f>
        <v>商业</v>
      </c>
      <c r="BC11" s="2190" t="str">
        <f>K10</f>
        <v>商业</v>
      </c>
      <c r="BD11" s="2190">
        <f>M10</f>
        <v>0</v>
      </c>
      <c r="BE11" s="2190">
        <f>O10</f>
        <v>0</v>
      </c>
      <c r="BF11" s="2190">
        <f>Q10</f>
        <v>0</v>
      </c>
      <c r="BG11" s="2190">
        <f>S10</f>
        <v>0</v>
      </c>
      <c r="BH11" s="2190">
        <f>U10</f>
        <v>0</v>
      </c>
      <c r="BI11" s="2190">
        <f>W10</f>
        <v>0</v>
      </c>
      <c r="BJ11" s="2190">
        <f>Y10</f>
        <v>0</v>
      </c>
      <c r="BK11" s="2190">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1913</v>
      </c>
      <c r="J12" s="11" t="s">
        <v>1914</v>
      </c>
      <c r="K12" s="11" t="s">
        <v>1913</v>
      </c>
      <c r="L12" s="11" t="s">
        <v>1914</v>
      </c>
      <c r="M12" s="11" t="s">
        <v>1913</v>
      </c>
      <c r="N12" s="11" t="s">
        <v>1914</v>
      </c>
      <c r="O12" s="11" t="s">
        <v>1913</v>
      </c>
      <c r="P12" s="11" t="s">
        <v>1914</v>
      </c>
      <c r="Q12" s="11" t="s">
        <v>1913</v>
      </c>
      <c r="R12" s="11" t="s">
        <v>1914</v>
      </c>
      <c r="S12" s="11" t="s">
        <v>1913</v>
      </c>
      <c r="T12" s="11" t="s">
        <v>1914</v>
      </c>
      <c r="U12" s="11" t="s">
        <v>1913</v>
      </c>
      <c r="V12" s="1804" t="s">
        <v>1914</v>
      </c>
      <c r="W12" s="11" t="s">
        <v>1913</v>
      </c>
      <c r="X12" s="11" t="s">
        <v>1914</v>
      </c>
      <c r="Y12" s="11" t="s">
        <v>1913</v>
      </c>
      <c r="Z12" s="11" t="s">
        <v>1914</v>
      </c>
      <c r="AA12" s="11" t="s">
        <v>1913</v>
      </c>
      <c r="AB12" s="11" t="s">
        <v>1914</v>
      </c>
      <c r="AC12" s="2212"/>
      <c r="AD12" s="1808" t="s">
        <v>1913</v>
      </c>
      <c r="AE12" s="11" t="s">
        <v>1914</v>
      </c>
      <c r="AF12" s="11" t="s">
        <v>1913</v>
      </c>
      <c r="AG12" s="11" t="s">
        <v>1914</v>
      </c>
      <c r="AH12" s="11" t="s">
        <v>1913</v>
      </c>
      <c r="AI12" s="11" t="s">
        <v>1914</v>
      </c>
      <c r="AJ12" s="11" t="s">
        <v>1913</v>
      </c>
      <c r="AK12" s="11" t="s">
        <v>1914</v>
      </c>
      <c r="AL12" s="11" t="s">
        <v>1913</v>
      </c>
      <c r="AM12" s="11" t="s">
        <v>1914</v>
      </c>
      <c r="AN12" s="11" t="s">
        <v>1913</v>
      </c>
      <c r="AO12" s="11" t="s">
        <v>1914</v>
      </c>
      <c r="AP12" s="11" t="s">
        <v>1913</v>
      </c>
      <c r="AQ12" s="11" t="s">
        <v>1914</v>
      </c>
      <c r="AR12" s="30" t="s">
        <v>1913</v>
      </c>
      <c r="AS12" s="2210" t="s">
        <v>1914</v>
      </c>
      <c r="AT12" s="2213"/>
      <c r="AU12" s="2210"/>
      <c r="AV12" s="31"/>
      <c r="AW12" s="2169"/>
      <c r="AX12" s="31"/>
      <c r="AY12" s="2214"/>
      <c r="AZ12" s="28"/>
      <c r="BA12" s="2202"/>
      <c r="BB12" s="24" t="str">
        <f>I11</f>
        <v>独栋</v>
      </c>
      <c r="BC12" s="2215" t="str">
        <f>K11</f>
        <v>独栋</v>
      </c>
      <c r="BD12" s="2215">
        <f>M11</f>
        <v>0</v>
      </c>
      <c r="BE12" s="2190">
        <f>O11</f>
        <v>0</v>
      </c>
      <c r="BF12" s="2190">
        <f>Q11</f>
        <v>0</v>
      </c>
      <c r="BG12" s="2190">
        <f>S11</f>
        <v>0</v>
      </c>
      <c r="BH12" s="2190">
        <f>U11</f>
        <v>0</v>
      </c>
      <c r="BI12" s="2190">
        <f>W11</f>
        <v>0</v>
      </c>
      <c r="BJ12" s="2190">
        <f>Y11</f>
        <v>0</v>
      </c>
      <c r="BK12" s="2190">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2945" t="s">
        <v>3240</v>
      </c>
      <c r="D13" s="2216" t="s">
        <v>3241</v>
      </c>
      <c r="E13" s="16">
        <f>IF($C$3="是",ROUND($A$3*G13/$B$3,2),ROUND($A$3*(G13-AT13)/$B$3,2))</f>
        <v>8452.18</v>
      </c>
      <c r="F13" s="32"/>
      <c r="G13" s="33">
        <f>H13+AC13+AT13</f>
        <v>41596.89</v>
      </c>
      <c r="H13" s="20">
        <f>SUMIF(I$12:AB$12,"总值",I13:AB13)</f>
        <v>41596.89</v>
      </c>
      <c r="I13" s="2217">
        <f>SUM(面积!E58:E59)+SUM(面积!E64:E68)</f>
        <v>24763.08</v>
      </c>
      <c r="J13" s="2217"/>
      <c r="K13" s="2217">
        <f>面积!E57+面积!E62+面积!E63</f>
        <v>16833.809999999998</v>
      </c>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t="str">
        <f t="shared" si="6"/>
        <v>隆福广场</v>
      </c>
      <c r="AY13" s="1808">
        <f>ROUND($AY$6*AZ13/$AZ$5,2)</f>
        <v>8452.18</v>
      </c>
      <c r="AZ13" s="16">
        <f>BA13+BL13</f>
        <v>41596.89</v>
      </c>
      <c r="BA13" s="16">
        <f>SUM(BB13:BK13)</f>
        <v>41596.89</v>
      </c>
      <c r="BB13" s="16">
        <f>IF($D13="是",I13-J13,0)</f>
        <v>24763.08</v>
      </c>
      <c r="BC13" s="16">
        <f>IF($D13="是",K13-L13,0)</f>
        <v>16833.809999999998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c r="B14" s="1275"/>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6" t="s">
        <v>0</v>
      </c>
      <c r="B1" s="3076" t="s">
        <v>4</v>
      </c>
      <c r="C1" s="3076" t="s">
        <v>5</v>
      </c>
      <c r="D1" s="3077" t="s">
        <v>53</v>
      </c>
      <c r="E1" s="3077" t="s">
        <v>54</v>
      </c>
      <c r="F1" s="3077"/>
      <c r="G1" s="3077"/>
      <c r="H1" s="3077"/>
      <c r="I1" s="3077"/>
      <c r="J1" s="3077"/>
      <c r="K1" s="3077"/>
      <c r="L1" s="3077"/>
      <c r="M1" s="3077"/>
    </row>
    <row r="2" spans="1:13" ht="27" customHeight="1">
      <c r="A2" s="3076"/>
      <c r="B2" s="3076"/>
      <c r="C2" s="3076"/>
      <c r="D2" s="3077"/>
      <c r="E2" s="3077" t="s">
        <v>37</v>
      </c>
      <c r="F2" s="3077" t="s">
        <v>38</v>
      </c>
      <c r="G2" s="3077"/>
      <c r="H2" s="3077"/>
      <c r="I2" s="3077"/>
      <c r="J2" s="3077" t="s">
        <v>39</v>
      </c>
      <c r="K2" s="3077"/>
      <c r="L2" s="3077"/>
      <c r="M2" s="3077"/>
    </row>
    <row r="3" spans="1:13" ht="28.5">
      <c r="A3" s="3076"/>
      <c r="B3" s="3076"/>
      <c r="C3" s="3076"/>
      <c r="D3" s="3077"/>
      <c r="E3" s="307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7" t="s">
        <v>55</v>
      </c>
      <c r="B9" s="3077"/>
      <c r="C9" s="307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135"/>
  <sheetViews>
    <sheetView topLeftCell="A22" workbookViewId="0">
      <selection activeCell="J136" sqref="J136"/>
    </sheetView>
  </sheetViews>
  <sheetFormatPr defaultRowHeight="13.5"/>
  <cols>
    <col min="2" max="2" width="12.125" customWidth="1"/>
    <col min="3" max="3" width="11" customWidth="1"/>
  </cols>
  <sheetData>
    <row r="3" spans="2:10">
      <c r="B3" s="2944" t="s">
        <v>3105</v>
      </c>
      <c r="C3" s="2944" t="s">
        <v>3046</v>
      </c>
      <c r="D3" s="2944" t="s">
        <v>3048</v>
      </c>
      <c r="E3" s="2944" t="s">
        <v>3051</v>
      </c>
      <c r="G3" s="2944" t="s">
        <v>3105</v>
      </c>
      <c r="H3" s="2944" t="s">
        <v>3046</v>
      </c>
      <c r="I3" s="2944" t="s">
        <v>3048</v>
      </c>
      <c r="J3" s="2944" t="s">
        <v>3051</v>
      </c>
    </row>
    <row r="4" spans="2:10">
      <c r="B4">
        <v>1</v>
      </c>
      <c r="C4" s="2944" t="s">
        <v>3047</v>
      </c>
      <c r="D4" s="2944" t="s">
        <v>3050</v>
      </c>
      <c r="E4">
        <v>30.5</v>
      </c>
      <c r="G4">
        <v>1</v>
      </c>
      <c r="H4" s="2944" t="s">
        <v>3106</v>
      </c>
      <c r="I4" s="2944" t="s">
        <v>3107</v>
      </c>
      <c r="J4">
        <v>2887.16</v>
      </c>
    </row>
    <row r="5" spans="2:10">
      <c r="B5">
        <v>2</v>
      </c>
      <c r="C5" s="2944" t="s">
        <v>3052</v>
      </c>
      <c r="D5" s="2944" t="s">
        <v>3050</v>
      </c>
      <c r="E5">
        <v>22.2</v>
      </c>
      <c r="G5">
        <v>2</v>
      </c>
      <c r="H5" s="2944" t="s">
        <v>3108</v>
      </c>
      <c r="I5" s="2944" t="s">
        <v>3107</v>
      </c>
      <c r="J5">
        <v>238.6</v>
      </c>
    </row>
    <row r="6" spans="2:10">
      <c r="B6">
        <v>3</v>
      </c>
      <c r="C6" s="2944" t="s">
        <v>3053</v>
      </c>
      <c r="D6" s="2944" t="s">
        <v>3050</v>
      </c>
      <c r="E6">
        <v>55.79</v>
      </c>
      <c r="G6">
        <v>3</v>
      </c>
      <c r="H6" s="2944" t="s">
        <v>3109</v>
      </c>
      <c r="I6" s="2944" t="s">
        <v>3107</v>
      </c>
      <c r="J6">
        <v>188.69</v>
      </c>
    </row>
    <row r="7" spans="2:10">
      <c r="B7">
        <v>4</v>
      </c>
      <c r="C7" s="2944" t="s">
        <v>3054</v>
      </c>
      <c r="D7" s="2944" t="s">
        <v>3050</v>
      </c>
      <c r="E7">
        <v>55.79</v>
      </c>
      <c r="G7">
        <v>4</v>
      </c>
      <c r="H7" s="2944" t="s">
        <v>3110</v>
      </c>
      <c r="I7" s="2944" t="s">
        <v>3107</v>
      </c>
      <c r="J7">
        <v>117.08</v>
      </c>
    </row>
    <row r="8" spans="2:10">
      <c r="B8">
        <v>5</v>
      </c>
      <c r="C8" s="2944" t="s">
        <v>3055</v>
      </c>
      <c r="D8" s="2944" t="s">
        <v>3050</v>
      </c>
      <c r="E8">
        <v>55.79</v>
      </c>
      <c r="G8">
        <v>5</v>
      </c>
      <c r="H8" s="2944" t="s">
        <v>3111</v>
      </c>
      <c r="I8" s="2944" t="s">
        <v>3107</v>
      </c>
      <c r="J8">
        <v>117.08</v>
      </c>
    </row>
    <row r="9" spans="2:10">
      <c r="B9">
        <v>6</v>
      </c>
      <c r="C9" s="2944" t="s">
        <v>3056</v>
      </c>
      <c r="D9" s="2944" t="s">
        <v>3050</v>
      </c>
      <c r="E9">
        <v>26.7</v>
      </c>
      <c r="G9">
        <v>6</v>
      </c>
      <c r="H9" s="2944" t="s">
        <v>3112</v>
      </c>
      <c r="I9" s="2944" t="s">
        <v>3107</v>
      </c>
      <c r="J9">
        <v>188.69</v>
      </c>
    </row>
    <row r="10" spans="2:10">
      <c r="B10">
        <v>7</v>
      </c>
      <c r="C10" s="2944" t="s">
        <v>3057</v>
      </c>
      <c r="D10" s="2944" t="s">
        <v>3050</v>
      </c>
      <c r="E10">
        <v>52.7</v>
      </c>
      <c r="G10">
        <v>7</v>
      </c>
      <c r="H10" s="2944" t="s">
        <v>3113</v>
      </c>
      <c r="I10" s="2944" t="s">
        <v>3107</v>
      </c>
      <c r="J10">
        <v>238.6</v>
      </c>
    </row>
    <row r="11" spans="2:10">
      <c r="B11">
        <v>8</v>
      </c>
      <c r="C11" s="2944" t="s">
        <v>3058</v>
      </c>
      <c r="D11" s="2944" t="s">
        <v>3050</v>
      </c>
      <c r="E11">
        <v>52.7</v>
      </c>
      <c r="G11">
        <v>8</v>
      </c>
      <c r="H11" s="2944" t="s">
        <v>3114</v>
      </c>
      <c r="I11" s="2944" t="s">
        <v>3060</v>
      </c>
      <c r="J11">
        <v>175.07</v>
      </c>
    </row>
    <row r="12" spans="2:10">
      <c r="B12">
        <v>9</v>
      </c>
      <c r="C12" s="2944" t="s">
        <v>3059</v>
      </c>
      <c r="D12" s="2944" t="s">
        <v>3050</v>
      </c>
      <c r="E12">
        <v>52.7</v>
      </c>
      <c r="G12">
        <v>9</v>
      </c>
      <c r="H12" s="2944" t="s">
        <v>3115</v>
      </c>
      <c r="I12" s="2944" t="s">
        <v>3060</v>
      </c>
      <c r="J12">
        <v>236.44</v>
      </c>
    </row>
    <row r="13" spans="2:10">
      <c r="B13">
        <v>10</v>
      </c>
      <c r="C13" s="2944" t="s">
        <v>3063</v>
      </c>
      <c r="D13" s="2944" t="s">
        <v>3049</v>
      </c>
      <c r="E13">
        <v>52.7</v>
      </c>
      <c r="G13">
        <v>10</v>
      </c>
      <c r="H13" s="2944" t="s">
        <v>3116</v>
      </c>
      <c r="I13" s="2944" t="s">
        <v>3060</v>
      </c>
      <c r="J13">
        <v>158.66</v>
      </c>
    </row>
    <row r="14" spans="2:10">
      <c r="B14">
        <v>11</v>
      </c>
      <c r="C14" s="2944" t="s">
        <v>3064</v>
      </c>
      <c r="D14" s="2944" t="s">
        <v>3049</v>
      </c>
      <c r="E14">
        <v>56.82</v>
      </c>
      <c r="G14">
        <v>11</v>
      </c>
      <c r="H14" s="2944" t="s">
        <v>3117</v>
      </c>
      <c r="I14" s="2944" t="s">
        <v>3060</v>
      </c>
      <c r="J14">
        <v>241.12</v>
      </c>
    </row>
    <row r="15" spans="2:10">
      <c r="B15">
        <v>12</v>
      </c>
      <c r="C15" s="2944" t="s">
        <v>3065</v>
      </c>
      <c r="D15" s="2944" t="s">
        <v>3049</v>
      </c>
      <c r="E15">
        <v>43.16</v>
      </c>
      <c r="G15">
        <v>12</v>
      </c>
      <c r="H15" s="2944" t="s">
        <v>3118</v>
      </c>
      <c r="I15" s="2944" t="s">
        <v>3060</v>
      </c>
      <c r="J15">
        <v>220.42</v>
      </c>
    </row>
    <row r="16" spans="2:10">
      <c r="B16">
        <v>13</v>
      </c>
      <c r="C16" s="2944" t="s">
        <v>3066</v>
      </c>
      <c r="D16" s="2944" t="s">
        <v>3049</v>
      </c>
      <c r="E16">
        <v>102.5</v>
      </c>
      <c r="G16">
        <v>13</v>
      </c>
      <c r="H16" s="2944" t="s">
        <v>3119</v>
      </c>
      <c r="I16" s="2944" t="s">
        <v>3060</v>
      </c>
      <c r="J16">
        <v>292.7</v>
      </c>
    </row>
    <row r="17" spans="2:10">
      <c r="B17">
        <v>14</v>
      </c>
      <c r="C17" s="2944" t="s">
        <v>3067</v>
      </c>
      <c r="D17" s="2944" t="s">
        <v>3049</v>
      </c>
      <c r="E17">
        <v>43</v>
      </c>
      <c r="G17">
        <v>14</v>
      </c>
      <c r="H17" s="2944" t="s">
        <v>3120</v>
      </c>
      <c r="I17" s="2944" t="s">
        <v>3060</v>
      </c>
      <c r="J17">
        <v>102.47</v>
      </c>
    </row>
    <row r="18" spans="2:10">
      <c r="B18">
        <v>15</v>
      </c>
      <c r="C18" s="2944" t="s">
        <v>3068</v>
      </c>
      <c r="D18" s="2944" t="s">
        <v>3049</v>
      </c>
      <c r="E18">
        <v>43</v>
      </c>
      <c r="G18">
        <v>15</v>
      </c>
      <c r="H18" s="2944" t="s">
        <v>3121</v>
      </c>
      <c r="I18" s="2944" t="s">
        <v>3060</v>
      </c>
      <c r="J18">
        <v>164.26</v>
      </c>
    </row>
    <row r="19" spans="2:10">
      <c r="B19">
        <v>16</v>
      </c>
      <c r="C19" s="2944" t="s">
        <v>3069</v>
      </c>
      <c r="D19" s="2944" t="s">
        <v>3049</v>
      </c>
      <c r="E19">
        <v>30.72</v>
      </c>
      <c r="G19">
        <v>16</v>
      </c>
      <c r="H19" s="2944" t="s">
        <v>3122</v>
      </c>
      <c r="I19" s="2944" t="s">
        <v>3060</v>
      </c>
      <c r="J19">
        <v>2437.1</v>
      </c>
    </row>
    <row r="20" spans="2:10">
      <c r="B20">
        <v>17</v>
      </c>
      <c r="C20" s="2944" t="s">
        <v>3070</v>
      </c>
      <c r="D20" s="2944" t="s">
        <v>3049</v>
      </c>
      <c r="E20">
        <v>24.13</v>
      </c>
      <c r="G20">
        <v>17</v>
      </c>
      <c r="H20" s="2944" t="s">
        <v>3123</v>
      </c>
      <c r="I20" s="2944" t="s">
        <v>3060</v>
      </c>
      <c r="J20">
        <v>23.26</v>
      </c>
    </row>
    <row r="21" spans="2:10">
      <c r="B21">
        <v>18</v>
      </c>
      <c r="C21" s="2944" t="s">
        <v>3071</v>
      </c>
      <c r="D21" s="2944" t="s">
        <v>3049</v>
      </c>
      <c r="E21">
        <v>35.020000000000003</v>
      </c>
      <c r="G21">
        <v>18</v>
      </c>
      <c r="H21" s="2944" t="s">
        <v>3124</v>
      </c>
      <c r="I21" s="2944" t="s">
        <v>3060</v>
      </c>
      <c r="J21">
        <v>17.579999999999998</v>
      </c>
    </row>
    <row r="22" spans="2:10">
      <c r="B22">
        <v>19</v>
      </c>
      <c r="C22" s="2944" t="s">
        <v>3072</v>
      </c>
      <c r="D22" s="2944" t="s">
        <v>3079</v>
      </c>
      <c r="E22">
        <v>120.81</v>
      </c>
      <c r="G22">
        <v>19</v>
      </c>
      <c r="H22" s="2944" t="s">
        <v>3125</v>
      </c>
      <c r="I22" s="2944" t="s">
        <v>3060</v>
      </c>
      <c r="J22">
        <v>203.38</v>
      </c>
    </row>
    <row r="23" spans="2:10">
      <c r="B23">
        <v>20</v>
      </c>
      <c r="C23" s="2944" t="s">
        <v>3073</v>
      </c>
      <c r="D23" s="2944" t="s">
        <v>3079</v>
      </c>
      <c r="E23">
        <v>21.16</v>
      </c>
      <c r="G23">
        <v>20</v>
      </c>
      <c r="H23" s="2944" t="s">
        <v>3126</v>
      </c>
      <c r="I23" s="2944" t="s">
        <v>3050</v>
      </c>
      <c r="J23">
        <v>2679.94</v>
      </c>
    </row>
    <row r="24" spans="2:10">
      <c r="B24">
        <v>21</v>
      </c>
      <c r="C24" s="2944" t="s">
        <v>3074</v>
      </c>
      <c r="D24" s="2944" t="s">
        <v>3079</v>
      </c>
      <c r="E24">
        <v>242.97</v>
      </c>
      <c r="G24">
        <v>21</v>
      </c>
      <c r="H24" s="2944" t="s">
        <v>3127</v>
      </c>
      <c r="I24" s="2944" t="s">
        <v>3050</v>
      </c>
      <c r="J24">
        <v>1375.49</v>
      </c>
    </row>
    <row r="25" spans="2:10">
      <c r="B25">
        <v>22</v>
      </c>
      <c r="C25" s="2944" t="s">
        <v>3075</v>
      </c>
      <c r="D25" s="2944" t="s">
        <v>3082</v>
      </c>
      <c r="E25">
        <v>315.02</v>
      </c>
      <c r="G25">
        <v>22</v>
      </c>
      <c r="H25" s="2944" t="s">
        <v>3128</v>
      </c>
      <c r="I25" s="2944" t="s">
        <v>3050</v>
      </c>
      <c r="J25">
        <v>73.03</v>
      </c>
    </row>
    <row r="26" spans="2:10">
      <c r="B26">
        <v>23</v>
      </c>
      <c r="C26" s="2944" t="s">
        <v>3076</v>
      </c>
      <c r="D26" s="2944" t="s">
        <v>3079</v>
      </c>
      <c r="E26">
        <v>34.74</v>
      </c>
      <c r="G26">
        <v>23</v>
      </c>
      <c r="H26" s="2944" t="s">
        <v>3129</v>
      </c>
      <c r="I26" s="2944" t="s">
        <v>3050</v>
      </c>
      <c r="J26">
        <v>7.25</v>
      </c>
    </row>
    <row r="27" spans="2:10">
      <c r="B27">
        <v>24</v>
      </c>
      <c r="C27" s="2944" t="s">
        <v>3077</v>
      </c>
      <c r="D27" s="2944" t="s">
        <v>3079</v>
      </c>
      <c r="E27">
        <v>82.16</v>
      </c>
      <c r="G27">
        <v>24</v>
      </c>
      <c r="H27" s="2944" t="s">
        <v>3130</v>
      </c>
      <c r="I27" s="2944" t="s">
        <v>3050</v>
      </c>
      <c r="J27">
        <v>67.84</v>
      </c>
    </row>
    <row r="28" spans="2:10">
      <c r="B28">
        <v>25</v>
      </c>
      <c r="C28" s="2944" t="s">
        <v>3083</v>
      </c>
      <c r="D28" s="2944" t="s">
        <v>3078</v>
      </c>
      <c r="E28">
        <v>43.32</v>
      </c>
      <c r="G28">
        <v>25</v>
      </c>
      <c r="H28" s="2944" t="s">
        <v>3131</v>
      </c>
      <c r="I28" s="2944" t="s">
        <v>3050</v>
      </c>
      <c r="J28">
        <v>88.95</v>
      </c>
    </row>
    <row r="29" spans="2:10">
      <c r="B29">
        <v>26</v>
      </c>
      <c r="C29" s="2944" t="s">
        <v>3084</v>
      </c>
      <c r="D29" s="2944" t="s">
        <v>3078</v>
      </c>
      <c r="E29">
        <v>75.81</v>
      </c>
      <c r="G29">
        <v>26</v>
      </c>
      <c r="H29" s="2944" t="s">
        <v>3132</v>
      </c>
      <c r="I29" s="2944" t="s">
        <v>3050</v>
      </c>
      <c r="J29">
        <v>18.149999999999999</v>
      </c>
    </row>
    <row r="30" spans="2:10">
      <c r="B30">
        <v>27</v>
      </c>
      <c r="C30" s="2944" t="s">
        <v>3090</v>
      </c>
      <c r="D30" s="2944" t="s">
        <v>3078</v>
      </c>
      <c r="E30">
        <v>14.51</v>
      </c>
      <c r="G30">
        <v>27</v>
      </c>
      <c r="H30" s="2944" t="s">
        <v>3133</v>
      </c>
      <c r="I30" s="2944" t="s">
        <v>3050</v>
      </c>
      <c r="J30">
        <v>17.690000000000001</v>
      </c>
    </row>
    <row r="31" spans="2:10">
      <c r="B31">
        <v>28</v>
      </c>
      <c r="C31" s="2944" t="s">
        <v>3089</v>
      </c>
      <c r="D31" s="2944" t="s">
        <v>3078</v>
      </c>
      <c r="E31">
        <v>72.17</v>
      </c>
      <c r="G31">
        <v>28</v>
      </c>
      <c r="H31" s="2944" t="s">
        <v>3134</v>
      </c>
      <c r="I31" s="2944" t="s">
        <v>3050</v>
      </c>
      <c r="J31">
        <v>17.690000000000001</v>
      </c>
    </row>
    <row r="32" spans="2:10">
      <c r="B32">
        <v>29</v>
      </c>
      <c r="C32" s="2944" t="s">
        <v>3088</v>
      </c>
      <c r="D32" s="2944" t="s">
        <v>3078</v>
      </c>
      <c r="E32">
        <v>49.33</v>
      </c>
      <c r="G32">
        <v>29</v>
      </c>
      <c r="H32" s="2944" t="s">
        <v>3135</v>
      </c>
      <c r="I32" s="2944" t="s">
        <v>3050</v>
      </c>
      <c r="J32">
        <v>18.149999999999999</v>
      </c>
    </row>
    <row r="33" spans="2:10">
      <c r="B33">
        <v>30</v>
      </c>
      <c r="C33" s="2944" t="s">
        <v>3087</v>
      </c>
      <c r="D33" s="2944" t="s">
        <v>3078</v>
      </c>
      <c r="E33">
        <v>134.93</v>
      </c>
      <c r="G33">
        <v>30</v>
      </c>
      <c r="H33" s="2944" t="s">
        <v>3136</v>
      </c>
      <c r="I33" s="2944" t="s">
        <v>3050</v>
      </c>
      <c r="J33">
        <v>16.66</v>
      </c>
    </row>
    <row r="34" spans="2:10">
      <c r="B34">
        <v>31</v>
      </c>
      <c r="C34" s="2944" t="s">
        <v>3086</v>
      </c>
      <c r="D34" s="2944" t="s">
        <v>3078</v>
      </c>
      <c r="E34">
        <v>25.87</v>
      </c>
      <c r="G34">
        <v>31</v>
      </c>
      <c r="H34" s="2944" t="s">
        <v>3137</v>
      </c>
      <c r="I34" s="2944" t="s">
        <v>3049</v>
      </c>
      <c r="J34">
        <v>17.22</v>
      </c>
    </row>
    <row r="35" spans="2:10">
      <c r="B35">
        <v>32</v>
      </c>
      <c r="C35" s="2944" t="s">
        <v>3085</v>
      </c>
      <c r="D35" s="2944" t="s">
        <v>3078</v>
      </c>
      <c r="E35">
        <v>45.41</v>
      </c>
      <c r="G35">
        <v>32</v>
      </c>
      <c r="H35" s="2944" t="s">
        <v>3138</v>
      </c>
      <c r="I35" s="2944" t="s">
        <v>3049</v>
      </c>
      <c r="J35">
        <v>17.87</v>
      </c>
    </row>
    <row r="36" spans="2:10">
      <c r="B36">
        <v>33</v>
      </c>
      <c r="C36" s="2944" t="s">
        <v>3091</v>
      </c>
      <c r="D36" s="2944" t="s">
        <v>3078</v>
      </c>
      <c r="E36">
        <v>85.28</v>
      </c>
      <c r="G36">
        <v>33</v>
      </c>
      <c r="H36" s="2944" t="s">
        <v>3139</v>
      </c>
      <c r="I36" s="2944" t="s">
        <v>3049</v>
      </c>
      <c r="J36">
        <v>17.399999999999999</v>
      </c>
    </row>
    <row r="37" spans="2:10">
      <c r="B37">
        <v>34</v>
      </c>
      <c r="C37" s="2944" t="s">
        <v>3093</v>
      </c>
      <c r="D37" s="2944" t="s">
        <v>3078</v>
      </c>
      <c r="E37">
        <v>849.87</v>
      </c>
      <c r="G37">
        <v>34</v>
      </c>
      <c r="H37" s="2944" t="s">
        <v>3140</v>
      </c>
      <c r="I37" s="2944" t="s">
        <v>3049</v>
      </c>
      <c r="J37">
        <v>17.87</v>
      </c>
    </row>
    <row r="38" spans="2:10">
      <c r="B38">
        <v>35</v>
      </c>
      <c r="C38" s="2944" t="s">
        <v>3092</v>
      </c>
      <c r="D38" s="2944" t="s">
        <v>3078</v>
      </c>
      <c r="E38">
        <v>278.7</v>
      </c>
      <c r="G38">
        <v>35</v>
      </c>
      <c r="H38" s="2944" t="s">
        <v>3141</v>
      </c>
      <c r="I38" s="2944" t="s">
        <v>3049</v>
      </c>
      <c r="J38">
        <v>17.399999999999999</v>
      </c>
    </row>
    <row r="39" spans="2:10">
      <c r="B39">
        <v>36</v>
      </c>
      <c r="C39" s="2944" t="s">
        <v>3094</v>
      </c>
      <c r="D39" s="2944" t="s">
        <v>3078</v>
      </c>
      <c r="E39">
        <v>26.38</v>
      </c>
      <c r="G39">
        <v>36</v>
      </c>
      <c r="H39" s="2944" t="s">
        <v>3142</v>
      </c>
      <c r="I39" s="2944" t="s">
        <v>3049</v>
      </c>
      <c r="J39">
        <v>12.98</v>
      </c>
    </row>
    <row r="40" spans="2:10">
      <c r="B40">
        <v>37</v>
      </c>
      <c r="C40" s="2944" t="s">
        <v>3095</v>
      </c>
      <c r="D40" s="2944" t="s">
        <v>3099</v>
      </c>
      <c r="E40">
        <v>84.83</v>
      </c>
      <c r="G40">
        <v>37</v>
      </c>
      <c r="H40" s="2944" t="s">
        <v>3143</v>
      </c>
      <c r="I40" s="2944" t="s">
        <v>3049</v>
      </c>
      <c r="J40">
        <v>10.9</v>
      </c>
    </row>
    <row r="41" spans="2:10">
      <c r="B41">
        <v>38</v>
      </c>
      <c r="C41" s="2944" t="s">
        <v>3097</v>
      </c>
      <c r="D41" s="2944" t="s">
        <v>3100</v>
      </c>
      <c r="E41">
        <v>84.99</v>
      </c>
      <c r="G41">
        <v>38</v>
      </c>
      <c r="H41" s="2944" t="s">
        <v>3144</v>
      </c>
      <c r="I41" s="2944" t="s">
        <v>3049</v>
      </c>
      <c r="J41">
        <v>75.180000000000007</v>
      </c>
    </row>
    <row r="42" spans="2:10">
      <c r="B42">
        <v>39</v>
      </c>
      <c r="C42" s="2944" t="s">
        <v>3098</v>
      </c>
      <c r="D42" s="2944" t="s">
        <v>3101</v>
      </c>
      <c r="E42">
        <v>113.11</v>
      </c>
      <c r="G42">
        <v>39</v>
      </c>
      <c r="H42" s="2944" t="s">
        <v>3145</v>
      </c>
      <c r="I42" s="2944" t="s">
        <v>3049</v>
      </c>
      <c r="J42">
        <v>71.66</v>
      </c>
    </row>
    <row r="43" spans="2:10">
      <c r="B43">
        <v>40</v>
      </c>
      <c r="C43" s="2944" t="s">
        <v>3102</v>
      </c>
      <c r="D43" s="2944" t="s">
        <v>3080</v>
      </c>
      <c r="E43">
        <v>781.11</v>
      </c>
      <c r="G43">
        <v>40</v>
      </c>
      <c r="H43" s="2944" t="s">
        <v>3146</v>
      </c>
      <c r="I43" s="2944" t="s">
        <v>3049</v>
      </c>
      <c r="J43">
        <v>52.7</v>
      </c>
    </row>
    <row r="44" spans="2:10">
      <c r="B44">
        <v>41</v>
      </c>
      <c r="C44" s="2944" t="s">
        <v>3103</v>
      </c>
      <c r="D44" s="2944" t="s">
        <v>3080</v>
      </c>
      <c r="E44">
        <v>247.77</v>
      </c>
      <c r="G44">
        <v>41</v>
      </c>
      <c r="H44" s="2944" t="s">
        <v>3147</v>
      </c>
      <c r="I44" s="2944" t="s">
        <v>3049</v>
      </c>
      <c r="J44">
        <v>52.7</v>
      </c>
    </row>
    <row r="45" spans="2:10">
      <c r="C45" s="2944" t="s">
        <v>3104</v>
      </c>
      <c r="E45">
        <f>SUM(E4:E44)</f>
        <v>4666.17</v>
      </c>
      <c r="G45">
        <v>42</v>
      </c>
      <c r="H45" s="2944" t="s">
        <v>3148</v>
      </c>
      <c r="I45" s="2944" t="s">
        <v>3049</v>
      </c>
      <c r="J45">
        <v>52.7</v>
      </c>
    </row>
    <row r="46" spans="2:10">
      <c r="G46">
        <v>43</v>
      </c>
      <c r="H46" s="2944" t="s">
        <v>3149</v>
      </c>
      <c r="I46" s="2944" t="s">
        <v>3049</v>
      </c>
      <c r="J46">
        <v>53.96</v>
      </c>
    </row>
    <row r="47" spans="2:10">
      <c r="G47">
        <v>44</v>
      </c>
      <c r="H47" s="2944" t="s">
        <v>3158</v>
      </c>
      <c r="I47" s="2944" t="s">
        <v>3049</v>
      </c>
      <c r="J47">
        <v>52.48</v>
      </c>
    </row>
    <row r="48" spans="2:10">
      <c r="G48">
        <v>45</v>
      </c>
      <c r="H48" s="2944" t="s">
        <v>3150</v>
      </c>
      <c r="I48" s="2944" t="s">
        <v>3049</v>
      </c>
      <c r="J48">
        <v>52.7</v>
      </c>
    </row>
    <row r="49" spans="2:10">
      <c r="G49">
        <v>46</v>
      </c>
      <c r="H49" s="2944" t="s">
        <v>3151</v>
      </c>
      <c r="I49" s="2944" t="s">
        <v>3049</v>
      </c>
      <c r="J49">
        <v>52.7</v>
      </c>
    </row>
    <row r="50" spans="2:10">
      <c r="G50">
        <v>47</v>
      </c>
      <c r="H50" s="2944" t="s">
        <v>3152</v>
      </c>
      <c r="I50" s="2944" t="s">
        <v>3049</v>
      </c>
      <c r="J50">
        <v>70.72</v>
      </c>
    </row>
    <row r="51" spans="2:10">
      <c r="G51">
        <v>48</v>
      </c>
      <c r="H51" s="2944" t="s">
        <v>3153</v>
      </c>
      <c r="I51" s="2944" t="s">
        <v>3049</v>
      </c>
      <c r="J51">
        <v>60.21</v>
      </c>
    </row>
    <row r="52" spans="2:10">
      <c r="G52">
        <v>49</v>
      </c>
      <c r="H52" s="2944" t="s">
        <v>3061</v>
      </c>
      <c r="I52" s="2944" t="s">
        <v>3049</v>
      </c>
      <c r="J52">
        <v>68.98</v>
      </c>
    </row>
    <row r="53" spans="2:10">
      <c r="G53">
        <v>50</v>
      </c>
      <c r="H53" s="2944" t="s">
        <v>3062</v>
      </c>
      <c r="I53" s="2944" t="s">
        <v>3049</v>
      </c>
      <c r="J53">
        <v>58.08</v>
      </c>
    </row>
    <row r="54" spans="2:10">
      <c r="G54">
        <v>51</v>
      </c>
      <c r="H54" s="2944" t="s">
        <v>3154</v>
      </c>
      <c r="I54" s="2944" t="s">
        <v>3049</v>
      </c>
      <c r="J54">
        <v>56.22</v>
      </c>
    </row>
    <row r="55" spans="2:10">
      <c r="B55" s="2944" t="s">
        <v>3238</v>
      </c>
      <c r="G55">
        <v>52</v>
      </c>
      <c r="H55" s="2944" t="s">
        <v>3155</v>
      </c>
      <c r="I55" s="2944" t="s">
        <v>3049</v>
      </c>
      <c r="J55">
        <v>212.08</v>
      </c>
    </row>
    <row r="56" spans="2:10">
      <c r="C56" s="2944" t="s">
        <v>3104</v>
      </c>
      <c r="E56">
        <f>SUM(E4:E44)</f>
        <v>4666.17</v>
      </c>
      <c r="G56">
        <v>53</v>
      </c>
      <c r="H56" s="2944" t="s">
        <v>3156</v>
      </c>
      <c r="I56" s="2944" t="s">
        <v>3049</v>
      </c>
      <c r="J56">
        <v>31.92</v>
      </c>
    </row>
    <row r="57" spans="2:10">
      <c r="C57" s="2944" t="s">
        <v>3298</v>
      </c>
      <c r="E57">
        <f>SUM(E4:E21)</f>
        <v>835.92</v>
      </c>
      <c r="G57">
        <v>54</v>
      </c>
      <c r="H57" s="2944" t="s">
        <v>3157</v>
      </c>
      <c r="I57" s="2944" t="s">
        <v>3049</v>
      </c>
      <c r="J57">
        <v>89.03</v>
      </c>
    </row>
    <row r="58" spans="2:10">
      <c r="C58" s="2944" t="s">
        <v>3299</v>
      </c>
      <c r="E58" s="2950">
        <f>SUM(E22:E39)</f>
        <v>2518.44</v>
      </c>
      <c r="G58">
        <v>55</v>
      </c>
      <c r="H58" s="2944" t="s">
        <v>3159</v>
      </c>
      <c r="I58" s="2944" t="s">
        <v>3049</v>
      </c>
      <c r="J58">
        <v>140.79</v>
      </c>
    </row>
    <row r="59" spans="2:10">
      <c r="C59" s="2944" t="s">
        <v>3300</v>
      </c>
      <c r="E59">
        <f>SUM(E40:E44)</f>
        <v>1311.81</v>
      </c>
      <c r="G59">
        <v>56</v>
      </c>
      <c r="H59" s="2944" t="s">
        <v>3160</v>
      </c>
      <c r="I59" s="2944" t="s">
        <v>3049</v>
      </c>
      <c r="J59">
        <v>140.75</v>
      </c>
    </row>
    <row r="60" spans="2:10">
      <c r="G60">
        <v>57</v>
      </c>
      <c r="H60" s="2944" t="s">
        <v>3161</v>
      </c>
      <c r="I60" s="2944" t="s">
        <v>3049</v>
      </c>
      <c r="J60">
        <v>43</v>
      </c>
    </row>
    <row r="61" spans="2:10">
      <c r="C61" s="2944" t="s">
        <v>3104</v>
      </c>
      <c r="E61">
        <f>J135</f>
        <v>36930.720000000001</v>
      </c>
      <c r="G61">
        <v>58</v>
      </c>
      <c r="H61" s="2944" t="s">
        <v>3162</v>
      </c>
      <c r="I61" s="2944" t="s">
        <v>3049</v>
      </c>
      <c r="J61">
        <v>23.96</v>
      </c>
    </row>
    <row r="62" spans="2:10">
      <c r="C62" s="2944" t="s">
        <v>3297</v>
      </c>
      <c r="E62">
        <f>SUMIF($I$4:$I$134,C62,$J$4:$J$134)</f>
        <v>8248.3599999999988</v>
      </c>
      <c r="G62">
        <v>59</v>
      </c>
      <c r="H62" s="2944" t="s">
        <v>3163</v>
      </c>
      <c r="I62" s="2944" t="s">
        <v>3049</v>
      </c>
      <c r="J62">
        <v>67.37</v>
      </c>
    </row>
    <row r="63" spans="2:10">
      <c r="C63" s="2944" t="s">
        <v>3298</v>
      </c>
      <c r="E63">
        <f t="shared" ref="E63:E68" si="0">SUMIF($I$4:$I$134,C63,$J$4:$J$134)</f>
        <v>7749.529999999997</v>
      </c>
      <c r="G63">
        <v>60</v>
      </c>
      <c r="H63" s="2944" t="s">
        <v>3164</v>
      </c>
      <c r="I63" s="2944" t="s">
        <v>3049</v>
      </c>
      <c r="J63">
        <v>68.42</v>
      </c>
    </row>
    <row r="64" spans="2:10">
      <c r="C64" s="2944" t="s">
        <v>3299</v>
      </c>
      <c r="E64">
        <f t="shared" si="0"/>
        <v>2579.0300000000002</v>
      </c>
      <c r="G64">
        <v>61</v>
      </c>
      <c r="H64" s="2944" t="s">
        <v>3165</v>
      </c>
      <c r="I64" s="2944" t="s">
        <v>3049</v>
      </c>
      <c r="J64">
        <v>68.42</v>
      </c>
    </row>
    <row r="65" spans="3:10">
      <c r="C65" s="2944" t="s">
        <v>3300</v>
      </c>
      <c r="E65">
        <f t="shared" si="0"/>
        <v>6051.12</v>
      </c>
      <c r="G65">
        <v>62</v>
      </c>
      <c r="H65" s="2944" t="s">
        <v>3166</v>
      </c>
      <c r="I65" s="2944" t="s">
        <v>3049</v>
      </c>
      <c r="J65">
        <v>68.42</v>
      </c>
    </row>
    <row r="66" spans="3:10">
      <c r="C66" s="2944" t="s">
        <v>3301</v>
      </c>
      <c r="E66">
        <f t="shared" si="0"/>
        <v>7053.1200000000008</v>
      </c>
      <c r="G66">
        <v>63</v>
      </c>
      <c r="H66" s="2944" t="s">
        <v>3167</v>
      </c>
      <c r="I66" s="2944" t="s">
        <v>3049</v>
      </c>
      <c r="J66">
        <v>68.42</v>
      </c>
    </row>
    <row r="67" spans="3:10">
      <c r="C67" s="2944" t="s">
        <v>3081</v>
      </c>
      <c r="E67">
        <f t="shared" si="0"/>
        <v>3863.73</v>
      </c>
      <c r="G67">
        <v>64</v>
      </c>
      <c r="H67" s="2944" t="s">
        <v>3168</v>
      </c>
      <c r="I67" s="2944" t="s">
        <v>3049</v>
      </c>
      <c r="J67">
        <v>67.37</v>
      </c>
    </row>
    <row r="68" spans="3:10">
      <c r="C68" s="2944" t="s">
        <v>3302</v>
      </c>
      <c r="E68">
        <f t="shared" si="0"/>
        <v>1385.83</v>
      </c>
      <c r="G68">
        <v>65</v>
      </c>
      <c r="H68" s="2944" t="s">
        <v>3169</v>
      </c>
      <c r="I68" s="2944" t="s">
        <v>3049</v>
      </c>
      <c r="J68">
        <v>23.96</v>
      </c>
    </row>
    <row r="69" spans="3:10">
      <c r="G69">
        <v>66</v>
      </c>
      <c r="H69" s="2944" t="s">
        <v>3170</v>
      </c>
      <c r="I69" s="2944" t="s">
        <v>3049</v>
      </c>
      <c r="J69">
        <v>93.45</v>
      </c>
    </row>
    <row r="70" spans="3:10">
      <c r="G70">
        <v>67</v>
      </c>
      <c r="H70" s="2944" t="s">
        <v>3171</v>
      </c>
      <c r="I70" s="2944" t="s">
        <v>3049</v>
      </c>
      <c r="J70">
        <v>59.95</v>
      </c>
    </row>
    <row r="71" spans="3:10">
      <c r="G71">
        <v>68</v>
      </c>
      <c r="H71" s="2944" t="s">
        <v>3179</v>
      </c>
      <c r="I71" s="2944" t="s">
        <v>3049</v>
      </c>
      <c r="J71">
        <v>24.32</v>
      </c>
    </row>
    <row r="72" spans="3:10">
      <c r="G72">
        <v>69</v>
      </c>
      <c r="H72" s="2944" t="s">
        <v>3172</v>
      </c>
      <c r="I72" s="2944" t="s">
        <v>3049</v>
      </c>
      <c r="J72">
        <v>22.67</v>
      </c>
    </row>
    <row r="73" spans="3:10">
      <c r="G73">
        <v>70</v>
      </c>
      <c r="H73" s="2944" t="s">
        <v>3173</v>
      </c>
      <c r="I73" s="2944" t="s">
        <v>3049</v>
      </c>
      <c r="J73">
        <v>22.93</v>
      </c>
    </row>
    <row r="74" spans="3:10">
      <c r="G74">
        <v>71</v>
      </c>
      <c r="H74" s="2944" t="s">
        <v>3174</v>
      </c>
      <c r="I74" s="2944" t="s">
        <v>3049</v>
      </c>
      <c r="J74">
        <v>22.93</v>
      </c>
    </row>
    <row r="75" spans="3:10">
      <c r="G75">
        <v>72</v>
      </c>
      <c r="H75" s="2944" t="s">
        <v>3175</v>
      </c>
      <c r="I75" s="2944" t="s">
        <v>3049</v>
      </c>
      <c r="J75">
        <v>34.119999999999997</v>
      </c>
    </row>
    <row r="76" spans="3:10">
      <c r="G76">
        <v>73</v>
      </c>
      <c r="H76" s="2944" t="s">
        <v>3176</v>
      </c>
      <c r="I76" s="2944" t="s">
        <v>3049</v>
      </c>
      <c r="J76">
        <v>34.119999999999997</v>
      </c>
    </row>
    <row r="77" spans="3:10">
      <c r="G77">
        <v>74</v>
      </c>
      <c r="H77" s="2944" t="s">
        <v>3177</v>
      </c>
      <c r="I77" s="2944" t="s">
        <v>3049</v>
      </c>
      <c r="J77">
        <v>35.35</v>
      </c>
    </row>
    <row r="78" spans="3:10">
      <c r="G78">
        <v>75</v>
      </c>
      <c r="H78" s="2944" t="s">
        <v>3178</v>
      </c>
      <c r="I78" s="2944" t="s">
        <v>3049</v>
      </c>
      <c r="J78">
        <v>35.35</v>
      </c>
    </row>
    <row r="79" spans="3:10">
      <c r="G79">
        <v>76</v>
      </c>
      <c r="H79" s="2944" t="s">
        <v>3180</v>
      </c>
      <c r="I79" s="2944" t="s">
        <v>3049</v>
      </c>
      <c r="J79">
        <v>31.47</v>
      </c>
    </row>
    <row r="80" spans="3:10">
      <c r="G80">
        <v>77</v>
      </c>
      <c r="H80" s="2944" t="s">
        <v>3181</v>
      </c>
      <c r="I80" s="2944" t="s">
        <v>3049</v>
      </c>
      <c r="J80">
        <v>26.36</v>
      </c>
    </row>
    <row r="81" spans="7:10">
      <c r="G81">
        <v>78</v>
      </c>
      <c r="H81" s="2944" t="s">
        <v>3182</v>
      </c>
      <c r="I81" s="2944" t="s">
        <v>3049</v>
      </c>
      <c r="J81">
        <v>27.05</v>
      </c>
    </row>
    <row r="82" spans="7:10">
      <c r="G82">
        <v>79</v>
      </c>
      <c r="H82" s="2944" t="s">
        <v>3183</v>
      </c>
      <c r="I82" s="2944" t="s">
        <v>3049</v>
      </c>
      <c r="J82">
        <v>57.01</v>
      </c>
    </row>
    <row r="83" spans="7:10">
      <c r="G83">
        <v>80</v>
      </c>
      <c r="H83" s="2944" t="s">
        <v>3184</v>
      </c>
      <c r="I83" s="2944" t="s">
        <v>3049</v>
      </c>
      <c r="J83">
        <v>56.28</v>
      </c>
    </row>
    <row r="84" spans="7:10">
      <c r="G84">
        <v>81</v>
      </c>
      <c r="H84" s="2944" t="s">
        <v>3185</v>
      </c>
      <c r="I84" s="2944" t="s">
        <v>3049</v>
      </c>
      <c r="J84">
        <v>54.31</v>
      </c>
    </row>
    <row r="85" spans="7:10">
      <c r="G85">
        <v>82</v>
      </c>
      <c r="H85" s="2944" t="s">
        <v>3186</v>
      </c>
      <c r="I85" s="2944" t="s">
        <v>3049</v>
      </c>
      <c r="J85">
        <v>55.68</v>
      </c>
    </row>
    <row r="86" spans="7:10">
      <c r="G86">
        <v>83</v>
      </c>
      <c r="H86" s="2944" t="s">
        <v>3187</v>
      </c>
      <c r="I86" s="2944" t="s">
        <v>3049</v>
      </c>
      <c r="J86">
        <v>371.11</v>
      </c>
    </row>
    <row r="87" spans="7:10">
      <c r="G87">
        <v>84</v>
      </c>
      <c r="H87" s="2944" t="s">
        <v>3188</v>
      </c>
      <c r="I87" s="2944" t="s">
        <v>3049</v>
      </c>
      <c r="J87">
        <v>33.85</v>
      </c>
    </row>
    <row r="88" spans="7:10">
      <c r="G88">
        <v>85</v>
      </c>
      <c r="H88" s="2944" t="s">
        <v>3189</v>
      </c>
      <c r="I88" s="2944" t="s">
        <v>3049</v>
      </c>
      <c r="J88">
        <v>63.3</v>
      </c>
    </row>
    <row r="89" spans="7:10">
      <c r="G89">
        <v>86</v>
      </c>
      <c r="H89" s="2944" t="s">
        <v>3190</v>
      </c>
      <c r="I89" s="2944" t="s">
        <v>3049</v>
      </c>
      <c r="J89">
        <v>86.29</v>
      </c>
    </row>
    <row r="90" spans="7:10">
      <c r="G90">
        <v>87</v>
      </c>
      <c r="H90" s="2944" t="s">
        <v>3191</v>
      </c>
      <c r="I90" s="2944" t="s">
        <v>3049</v>
      </c>
      <c r="J90">
        <v>14.61</v>
      </c>
    </row>
    <row r="91" spans="7:10">
      <c r="G91">
        <v>88</v>
      </c>
      <c r="H91" s="2944" t="s">
        <v>3192</v>
      </c>
      <c r="I91" s="2944" t="s">
        <v>3049</v>
      </c>
      <c r="J91">
        <v>13.71</v>
      </c>
    </row>
    <row r="92" spans="7:10">
      <c r="G92">
        <v>89</v>
      </c>
      <c r="H92" s="2944" t="s">
        <v>3193</v>
      </c>
      <c r="I92" s="2944" t="s">
        <v>3049</v>
      </c>
      <c r="J92">
        <v>11.84</v>
      </c>
    </row>
    <row r="93" spans="7:10">
      <c r="G93">
        <v>90</v>
      </c>
      <c r="H93" s="2944" t="s">
        <v>3194</v>
      </c>
      <c r="I93" s="2944" t="s">
        <v>3049</v>
      </c>
      <c r="J93">
        <v>24.09</v>
      </c>
    </row>
    <row r="94" spans="7:10">
      <c r="G94">
        <v>91</v>
      </c>
      <c r="H94" s="2944" t="s">
        <v>3195</v>
      </c>
      <c r="I94" s="2944" t="s">
        <v>3079</v>
      </c>
      <c r="J94">
        <v>128.29</v>
      </c>
    </row>
    <row r="95" spans="7:10">
      <c r="G95">
        <v>92</v>
      </c>
      <c r="H95" s="2944" t="s">
        <v>3196</v>
      </c>
      <c r="I95" s="2944" t="s">
        <v>3079</v>
      </c>
      <c r="J95">
        <v>63.52</v>
      </c>
    </row>
    <row r="96" spans="7:10">
      <c r="G96">
        <v>93</v>
      </c>
      <c r="H96" s="2944" t="s">
        <v>3197</v>
      </c>
      <c r="I96" s="2944" t="s">
        <v>3079</v>
      </c>
      <c r="J96">
        <v>45.04</v>
      </c>
    </row>
    <row r="97" spans="7:10">
      <c r="G97">
        <v>94</v>
      </c>
      <c r="H97" s="2944" t="s">
        <v>3198</v>
      </c>
      <c r="I97" s="2944" t="s">
        <v>3079</v>
      </c>
      <c r="J97">
        <v>15.38</v>
      </c>
    </row>
    <row r="98" spans="7:10">
      <c r="G98">
        <v>95</v>
      </c>
      <c r="H98" s="2944" t="s">
        <v>3199</v>
      </c>
      <c r="I98" s="2944" t="s">
        <v>3079</v>
      </c>
      <c r="J98">
        <v>10.78</v>
      </c>
    </row>
    <row r="99" spans="7:10">
      <c r="G99">
        <v>96</v>
      </c>
      <c r="H99" s="2944" t="s">
        <v>3200</v>
      </c>
      <c r="I99" s="2944" t="s">
        <v>3079</v>
      </c>
      <c r="J99">
        <v>19.760000000000002</v>
      </c>
    </row>
    <row r="100" spans="7:10">
      <c r="G100">
        <v>97</v>
      </c>
      <c r="H100" s="2944" t="s">
        <v>3201</v>
      </c>
      <c r="I100" s="2944" t="s">
        <v>3079</v>
      </c>
      <c r="J100">
        <v>20.21</v>
      </c>
    </row>
    <row r="101" spans="7:10">
      <c r="G101">
        <v>98</v>
      </c>
      <c r="H101" s="2944" t="s">
        <v>3202</v>
      </c>
      <c r="I101" s="2944" t="s">
        <v>3079</v>
      </c>
      <c r="J101">
        <v>9.35</v>
      </c>
    </row>
    <row r="102" spans="7:10">
      <c r="G102">
        <v>99</v>
      </c>
      <c r="H102" s="2944" t="s">
        <v>3203</v>
      </c>
      <c r="I102" s="2944" t="s">
        <v>3079</v>
      </c>
      <c r="J102">
        <v>45.67</v>
      </c>
    </row>
    <row r="103" spans="7:10">
      <c r="G103">
        <v>100</v>
      </c>
      <c r="H103" s="2944" t="s">
        <v>3204</v>
      </c>
      <c r="I103" s="2944" t="s">
        <v>3079</v>
      </c>
      <c r="J103">
        <v>47.83</v>
      </c>
    </row>
    <row r="104" spans="7:10">
      <c r="G104">
        <v>101</v>
      </c>
      <c r="H104" s="2944" t="s">
        <v>3205</v>
      </c>
      <c r="I104" s="2944" t="s">
        <v>3079</v>
      </c>
      <c r="J104">
        <v>80.11</v>
      </c>
    </row>
    <row r="105" spans="7:10">
      <c r="G105">
        <v>102</v>
      </c>
      <c r="H105" s="2944" t="s">
        <v>3206</v>
      </c>
      <c r="I105" s="2944" t="s">
        <v>3079</v>
      </c>
      <c r="J105">
        <v>11.27</v>
      </c>
    </row>
    <row r="106" spans="7:10">
      <c r="G106">
        <v>103</v>
      </c>
      <c r="H106" s="2944" t="s">
        <v>3207</v>
      </c>
      <c r="I106" s="2944" t="s">
        <v>3078</v>
      </c>
      <c r="J106">
        <v>194.59</v>
      </c>
    </row>
    <row r="107" spans="7:10">
      <c r="G107">
        <v>104</v>
      </c>
      <c r="H107" s="2944" t="s">
        <v>3208</v>
      </c>
      <c r="I107" s="2944" t="s">
        <v>3078</v>
      </c>
      <c r="J107">
        <v>9.6999999999999993</v>
      </c>
    </row>
    <row r="108" spans="7:10">
      <c r="G108">
        <v>105</v>
      </c>
      <c r="H108" s="2944" t="s">
        <v>3209</v>
      </c>
      <c r="I108" s="2944" t="s">
        <v>3078</v>
      </c>
      <c r="J108">
        <v>11.16</v>
      </c>
    </row>
    <row r="109" spans="7:10">
      <c r="G109">
        <v>106</v>
      </c>
      <c r="H109" s="2944" t="s">
        <v>3210</v>
      </c>
      <c r="I109" s="2944" t="s">
        <v>3078</v>
      </c>
      <c r="J109">
        <v>7.09</v>
      </c>
    </row>
    <row r="110" spans="7:10">
      <c r="G110">
        <v>107</v>
      </c>
      <c r="H110" s="2944" t="s">
        <v>3211</v>
      </c>
      <c r="I110" s="2944" t="s">
        <v>3078</v>
      </c>
      <c r="J110">
        <v>121.43</v>
      </c>
    </row>
    <row r="111" spans="7:10">
      <c r="G111">
        <v>108</v>
      </c>
      <c r="H111" s="2944" t="s">
        <v>3212</v>
      </c>
      <c r="I111" s="2944" t="s">
        <v>3078</v>
      </c>
      <c r="J111">
        <v>33.69</v>
      </c>
    </row>
    <row r="112" spans="7:10">
      <c r="G112">
        <v>109</v>
      </c>
      <c r="H112" s="2944" t="s">
        <v>3213</v>
      </c>
      <c r="I112" s="2944" t="s">
        <v>3078</v>
      </c>
      <c r="J112">
        <v>1616.26</v>
      </c>
    </row>
    <row r="113" spans="7:10">
      <c r="G113">
        <v>110</v>
      </c>
      <c r="H113" s="2944" t="s">
        <v>3214</v>
      </c>
      <c r="I113" s="2944" t="s">
        <v>3078</v>
      </c>
      <c r="J113">
        <v>12.19</v>
      </c>
    </row>
    <row r="114" spans="7:10">
      <c r="G114">
        <v>111</v>
      </c>
      <c r="H114" s="2944" t="s">
        <v>3215</v>
      </c>
      <c r="I114" s="2944" t="s">
        <v>3078</v>
      </c>
      <c r="J114">
        <v>15.35</v>
      </c>
    </row>
    <row r="115" spans="7:10">
      <c r="G115">
        <v>112</v>
      </c>
      <c r="H115" s="2944" t="s">
        <v>3216</v>
      </c>
      <c r="I115" s="2944" t="s">
        <v>3078</v>
      </c>
      <c r="J115">
        <v>60.36</v>
      </c>
    </row>
    <row r="116" spans="7:10">
      <c r="G116">
        <v>113</v>
      </c>
      <c r="H116" s="2944" t="s">
        <v>3217</v>
      </c>
      <c r="I116" s="2944" t="s">
        <v>3099</v>
      </c>
      <c r="J116">
        <v>1858.29</v>
      </c>
    </row>
    <row r="117" spans="7:10">
      <c r="G117">
        <v>114</v>
      </c>
      <c r="H117" s="2944" t="s">
        <v>3218</v>
      </c>
      <c r="I117" s="2944" t="s">
        <v>3099</v>
      </c>
      <c r="J117">
        <v>1324.06</v>
      </c>
    </row>
    <row r="118" spans="7:10">
      <c r="G118">
        <v>115</v>
      </c>
      <c r="H118" s="2944" t="s">
        <v>3219</v>
      </c>
      <c r="I118" s="2944" t="s">
        <v>3080</v>
      </c>
      <c r="J118">
        <v>112.26</v>
      </c>
    </row>
    <row r="119" spans="7:10">
      <c r="G119">
        <v>116</v>
      </c>
      <c r="H119" s="2944" t="s">
        <v>3096</v>
      </c>
      <c r="I119" s="2944" t="s">
        <v>3080</v>
      </c>
      <c r="J119">
        <v>29.66</v>
      </c>
    </row>
    <row r="120" spans="7:10">
      <c r="G120">
        <v>117</v>
      </c>
      <c r="H120" s="2944" t="s">
        <v>3220</v>
      </c>
      <c r="I120" s="2944" t="s">
        <v>3080</v>
      </c>
      <c r="J120">
        <v>419.44</v>
      </c>
    </row>
    <row r="121" spans="7:10">
      <c r="G121">
        <v>118</v>
      </c>
      <c r="H121" s="2944" t="s">
        <v>3221</v>
      </c>
      <c r="I121" s="2944" t="s">
        <v>3080</v>
      </c>
      <c r="J121">
        <v>19.45</v>
      </c>
    </row>
    <row r="122" spans="7:10">
      <c r="G122">
        <v>119</v>
      </c>
      <c r="H122" s="2944" t="s">
        <v>3222</v>
      </c>
      <c r="I122" s="2944" t="s">
        <v>3080</v>
      </c>
      <c r="J122">
        <v>14.57</v>
      </c>
    </row>
    <row r="123" spans="7:10">
      <c r="G123">
        <v>120</v>
      </c>
      <c r="H123" s="2944" t="s">
        <v>3223</v>
      </c>
      <c r="I123" s="2944" t="s">
        <v>3080</v>
      </c>
      <c r="J123">
        <v>2273.39</v>
      </c>
    </row>
    <row r="124" spans="7:10">
      <c r="G124">
        <v>121</v>
      </c>
      <c r="H124" s="2944" t="s">
        <v>3224</v>
      </c>
      <c r="I124" s="2944" t="s">
        <v>3230</v>
      </c>
      <c r="J124">
        <v>1958.22</v>
      </c>
    </row>
    <row r="125" spans="7:10">
      <c r="G125">
        <v>122</v>
      </c>
      <c r="H125" s="2944" t="s">
        <v>3225</v>
      </c>
      <c r="I125" s="2944" t="s">
        <v>3230</v>
      </c>
      <c r="J125">
        <v>1981.25</v>
      </c>
    </row>
    <row r="126" spans="7:10">
      <c r="G126">
        <v>123</v>
      </c>
      <c r="H126" s="2944" t="s">
        <v>3226</v>
      </c>
      <c r="I126" s="2944" t="s">
        <v>3230</v>
      </c>
      <c r="J126">
        <v>3113.65</v>
      </c>
    </row>
    <row r="127" spans="7:10">
      <c r="G127">
        <v>124</v>
      </c>
      <c r="H127" s="2944" t="s">
        <v>3227</v>
      </c>
      <c r="I127" s="2944" t="s">
        <v>3231</v>
      </c>
      <c r="J127">
        <v>105.91</v>
      </c>
    </row>
    <row r="128" spans="7:10">
      <c r="G128">
        <v>125</v>
      </c>
      <c r="H128" s="2944" t="s">
        <v>3228</v>
      </c>
      <c r="I128" s="2944" t="s">
        <v>3231</v>
      </c>
      <c r="J128">
        <v>536.24</v>
      </c>
    </row>
    <row r="129" spans="7:10">
      <c r="G129">
        <v>126</v>
      </c>
      <c r="H129" s="2944" t="s">
        <v>3229</v>
      </c>
      <c r="I129" s="2944" t="s">
        <v>3231</v>
      </c>
      <c r="J129">
        <v>231.51</v>
      </c>
    </row>
    <row r="130" spans="7:10">
      <c r="G130">
        <v>127</v>
      </c>
      <c r="H130" s="2944" t="s">
        <v>3232</v>
      </c>
      <c r="I130" s="2944" t="s">
        <v>3081</v>
      </c>
      <c r="J130">
        <v>110.25</v>
      </c>
    </row>
    <row r="131" spans="7:10">
      <c r="G131">
        <v>128</v>
      </c>
      <c r="H131" s="2944" t="s">
        <v>3233</v>
      </c>
      <c r="I131" s="2944" t="s">
        <v>3081</v>
      </c>
      <c r="J131">
        <v>558.21</v>
      </c>
    </row>
    <row r="132" spans="7:10">
      <c r="G132">
        <v>129</v>
      </c>
      <c r="H132" s="2944" t="s">
        <v>3234</v>
      </c>
      <c r="I132" s="2944" t="s">
        <v>3237</v>
      </c>
      <c r="J132">
        <v>28.59</v>
      </c>
    </row>
    <row r="133" spans="7:10">
      <c r="G133">
        <v>130</v>
      </c>
      <c r="H133" s="2944" t="s">
        <v>3235</v>
      </c>
      <c r="I133" s="2944" t="s">
        <v>3081</v>
      </c>
      <c r="J133">
        <v>2321.61</v>
      </c>
    </row>
    <row r="134" spans="7:10">
      <c r="G134">
        <v>131</v>
      </c>
      <c r="H134" s="2944" t="s">
        <v>3236</v>
      </c>
      <c r="I134" s="2944" t="s">
        <v>3237</v>
      </c>
      <c r="J134">
        <v>1357.24</v>
      </c>
    </row>
    <row r="135" spans="7:10">
      <c r="J135">
        <f>SUM(J4:J134)</f>
        <v>36930.720000000001</v>
      </c>
    </row>
  </sheetData>
  <phoneticPr fontId="144"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H31" sqref="H31"/>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1940</v>
      </c>
      <c r="B1" s="1395"/>
      <c r="C1" s="1395"/>
      <c r="D1" s="1395"/>
      <c r="E1" s="1395"/>
      <c r="F1" s="1395"/>
      <c r="G1" s="1395"/>
      <c r="H1" s="1395"/>
      <c r="I1" s="1395"/>
      <c r="J1" s="1395"/>
      <c r="K1" s="1395"/>
      <c r="L1" s="1395"/>
      <c r="M1" s="1395"/>
      <c r="N1" s="1395"/>
      <c r="O1" s="1395"/>
      <c r="P1" s="1395"/>
    </row>
    <row r="2" spans="1:16" ht="15">
      <c r="A2" s="3087" t="s">
        <v>1941</v>
      </c>
      <c r="B2" s="3087"/>
      <c r="C2" s="3087"/>
      <c r="D2" s="970" t="s">
        <v>1917</v>
      </c>
      <c r="E2" s="2230" t="s">
        <v>1918</v>
      </c>
      <c r="F2" s="1395"/>
      <c r="G2" s="2231"/>
      <c r="H2" s="2232"/>
      <c r="I2" s="2233" t="s">
        <v>1942</v>
      </c>
      <c r="J2" s="1395"/>
      <c r="K2" s="1395"/>
      <c r="L2" s="1395"/>
      <c r="M2" s="1395"/>
      <c r="N2" s="1430"/>
      <c r="O2" s="1395"/>
      <c r="P2" s="1395"/>
    </row>
    <row r="3" spans="1:16" ht="15.75" thickBot="1">
      <c r="A3" s="3088" t="s">
        <v>1915</v>
      </c>
      <c r="B3" s="3088"/>
      <c r="C3" s="3088"/>
      <c r="D3" s="46">
        <f>'数据-基础表'!AY6</f>
        <v>8452.18</v>
      </c>
      <c r="E3" s="46">
        <f>'数据-基础表'!AZ5</f>
        <v>41596.89</v>
      </c>
      <c r="F3" s="1395"/>
      <c r="G3" s="1402"/>
      <c r="H3" s="1250" t="s">
        <v>1916</v>
      </c>
      <c r="I3" s="55">
        <f>ROUND('数据-基础表'!B3/'数据-基础表'!A3,2)</f>
        <v>4.92</v>
      </c>
      <c r="J3" s="1395"/>
      <c r="K3" s="1395"/>
      <c r="L3" s="1395"/>
      <c r="M3" s="1395"/>
      <c r="N3" s="1430"/>
      <c r="O3" s="1395"/>
      <c r="P3" s="1395"/>
    </row>
    <row r="4" spans="1:16" ht="15">
      <c r="A4" s="3089"/>
      <c r="B4" s="3090"/>
      <c r="C4" s="3091"/>
      <c r="D4" s="2234" t="s">
        <v>1917</v>
      </c>
      <c r="E4" s="2235" t="s">
        <v>1918</v>
      </c>
      <c r="F4" s="1395"/>
      <c r="G4" s="2236" t="s">
        <v>1943</v>
      </c>
      <c r="H4" s="1250" t="s">
        <v>1923</v>
      </c>
      <c r="I4" s="55">
        <f>ROUND(SUMIF('数据-基础表'!I9:AS9,"地上",'数据-基础表'!I5:AS5)/'数据-基础表'!A3,2)</f>
        <v>2.93</v>
      </c>
      <c r="J4" s="1395"/>
      <c r="K4" s="1395"/>
      <c r="L4" s="1395"/>
      <c r="M4" s="1395"/>
      <c r="N4" s="1430"/>
      <c r="O4" s="1395"/>
      <c r="P4" s="1395"/>
    </row>
    <row r="5" spans="1:16">
      <c r="A5" s="47" t="s">
        <v>1919</v>
      </c>
      <c r="B5" s="3092" t="s">
        <v>1920</v>
      </c>
      <c r="C5" s="3092"/>
      <c r="D5" s="48">
        <f>ROUND($D$3*E5/$E$3,2)</f>
        <v>0</v>
      </c>
      <c r="E5" s="49">
        <f>SUMIF('数据-基础表'!$11:$11,"住宅",'数据-基础表'!$5:$5)</f>
        <v>0</v>
      </c>
      <c r="F5" s="1395"/>
      <c r="G5" s="1402"/>
      <c r="H5" s="1250" t="s">
        <v>1916</v>
      </c>
      <c r="I5" s="55">
        <f>ROUND(E31/D31,2)</f>
        <v>4.92</v>
      </c>
      <c r="J5" s="1395"/>
      <c r="K5" s="1395"/>
      <c r="L5" s="1395"/>
      <c r="M5" s="1395"/>
      <c r="N5" s="1395"/>
      <c r="O5" s="1395"/>
      <c r="P5" s="1395"/>
    </row>
    <row r="6" spans="1:16" ht="15" thickBot="1">
      <c r="A6" s="2237"/>
      <c r="B6" s="3092" t="s">
        <v>1921</v>
      </c>
      <c r="C6" s="3092"/>
      <c r="D6" s="48">
        <f>ROUND($D$3*E6/$E$3,2)</f>
        <v>8452.18</v>
      </c>
      <c r="E6" s="49">
        <f>E3-E5</f>
        <v>41596.89</v>
      </c>
      <c r="F6" s="1395"/>
      <c r="G6" s="2238" t="s">
        <v>1922</v>
      </c>
      <c r="H6" s="1402" t="s">
        <v>1923</v>
      </c>
      <c r="I6" s="942">
        <f>ROUND(F31/D31,2)</f>
        <v>2.93</v>
      </c>
      <c r="J6" s="1395"/>
      <c r="K6" s="1395"/>
      <c r="L6" s="1395"/>
      <c r="M6" s="1395"/>
      <c r="N6" s="1395"/>
      <c r="O6" s="1395"/>
      <c r="P6" s="1395"/>
    </row>
    <row r="7" spans="1:16" ht="15">
      <c r="A7" s="3084"/>
      <c r="B7" s="3085"/>
      <c r="C7" s="3086"/>
      <c r="D7" s="2234" t="s">
        <v>1917</v>
      </c>
      <c r="E7" s="2239" t="s">
        <v>1924</v>
      </c>
      <c r="F7" s="1395"/>
      <c r="G7" s="2231" t="s">
        <v>1925</v>
      </c>
      <c r="H7" s="64"/>
      <c r="I7" s="420"/>
      <c r="J7" s="1395"/>
      <c r="K7" s="1395"/>
      <c r="L7" s="1395"/>
      <c r="M7" s="1395"/>
      <c r="N7" s="1395"/>
      <c r="O7" s="1395"/>
      <c r="P7" s="1395"/>
    </row>
    <row r="8" spans="1:16">
      <c r="A8" s="47" t="s">
        <v>1926</v>
      </c>
      <c r="B8" s="50" t="s">
        <v>1927</v>
      </c>
      <c r="C8" s="48" t="s">
        <v>1928</v>
      </c>
      <c r="D8" s="48">
        <f t="shared" ref="D8:D15" si="0">ROUND($D$3*E8/$E$3,2)</f>
        <v>5031.67</v>
      </c>
      <c r="E8" s="51">
        <f>SUMIF('数据-基础表'!BB10:BK10,"地上",'数据-基础表'!BB5:BK5)</f>
        <v>24763.08</v>
      </c>
      <c r="F8" s="1395"/>
      <c r="G8" s="2240"/>
      <c r="H8" s="2240"/>
      <c r="I8" s="1395"/>
      <c r="J8" s="1395"/>
      <c r="K8" s="1395"/>
      <c r="L8" s="1395"/>
      <c r="M8" s="1395"/>
      <c r="N8" s="1395"/>
      <c r="O8" s="1395"/>
      <c r="P8" s="1395"/>
    </row>
    <row r="9" spans="1:16">
      <c r="A9" s="2241"/>
      <c r="B9" s="2242"/>
      <c r="C9" s="48" t="s">
        <v>1929</v>
      </c>
      <c r="D9" s="48">
        <f t="shared" si="0"/>
        <v>0</v>
      </c>
      <c r="E9" s="52">
        <v>0</v>
      </c>
      <c r="F9" s="1395"/>
      <c r="G9" s="2240"/>
      <c r="H9" s="2240"/>
      <c r="I9" s="1395"/>
      <c r="J9" s="1395"/>
      <c r="K9" s="1395"/>
      <c r="L9" s="1395"/>
      <c r="M9" s="1395"/>
      <c r="N9" s="1395"/>
      <c r="O9" s="1395"/>
      <c r="P9" s="1395"/>
    </row>
    <row r="10" spans="1:16">
      <c r="A10" s="2241"/>
      <c r="B10" s="2242"/>
      <c r="C10" s="48" t="s">
        <v>1938</v>
      </c>
      <c r="D10" s="48">
        <f t="shared" si="0"/>
        <v>3420.51</v>
      </c>
      <c r="E10" s="51">
        <f>SUMPRODUCT(('数据-基础表'!BB10:BK10="地下")*('数据-基础表'!BB11:BK11="商业")*('数据-基础表'!BB5:BK5))</f>
        <v>16833.809999999998</v>
      </c>
      <c r="F10" s="1395"/>
      <c r="G10" s="2240"/>
      <c r="H10" s="2240"/>
      <c r="I10" s="1395"/>
      <c r="J10" s="1395"/>
      <c r="K10" s="1395"/>
      <c r="L10" s="1395"/>
      <c r="M10" s="1395"/>
      <c r="N10" s="1395"/>
      <c r="O10" s="1395"/>
      <c r="P10" s="1395"/>
    </row>
    <row r="11" spans="1:16">
      <c r="A11" s="2241"/>
      <c r="B11" s="2242"/>
      <c r="C11" s="48" t="s">
        <v>1930</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1931</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1932</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1944</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1939</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1933</v>
      </c>
      <c r="D16" s="50">
        <f>SUM(D8:D15)</f>
        <v>8452.18</v>
      </c>
      <c r="E16" s="53">
        <f>SUM(E8:E15)</f>
        <v>41596.89</v>
      </c>
      <c r="F16" s="1395"/>
      <c r="G16" s="2240"/>
      <c r="H16" s="2243" t="s">
        <v>1945</v>
      </c>
      <c r="I16" s="2244"/>
      <c r="J16" s="1395"/>
      <c r="K16" s="3081" t="s">
        <v>1945</v>
      </c>
      <c r="L16" s="3082"/>
      <c r="M16" s="3082"/>
      <c r="N16" s="3082"/>
      <c r="O16" s="3082"/>
      <c r="P16" s="3083"/>
    </row>
    <row r="17" spans="1:19" ht="15">
      <c r="A17" s="2245" t="s">
        <v>1946</v>
      </c>
      <c r="B17" s="2246" t="s">
        <v>1947</v>
      </c>
      <c r="C17" s="2247" t="s">
        <v>1948</v>
      </c>
      <c r="D17" s="2248" t="s">
        <v>1936</v>
      </c>
      <c r="E17" s="2249" t="s">
        <v>1937</v>
      </c>
      <c r="F17" s="2250"/>
      <c r="G17" s="2251"/>
      <c r="H17" s="2252" t="s">
        <v>1949</v>
      </c>
      <c r="I17" s="2253" t="s">
        <v>1934</v>
      </c>
      <c r="J17" s="1395"/>
      <c r="K17" s="3078" t="s">
        <v>1950</v>
      </c>
      <c r="L17" s="3079"/>
      <c r="M17" s="3080"/>
      <c r="N17" s="3078" t="s">
        <v>1951</v>
      </c>
      <c r="O17" s="3079"/>
      <c r="P17" s="3080"/>
      <c r="R17" s="2231" t="s">
        <v>1952</v>
      </c>
      <c r="S17" s="64"/>
    </row>
    <row r="18" spans="1:19" ht="15">
      <c r="A18" s="2241"/>
      <c r="B18" s="2254"/>
      <c r="C18" s="2255"/>
      <c r="D18" s="2256"/>
      <c r="E18" s="2257" t="s">
        <v>1953</v>
      </c>
      <c r="F18" s="2258" t="s">
        <v>1954</v>
      </c>
      <c r="G18" s="2259" t="s">
        <v>1955</v>
      </c>
      <c r="H18" s="1265" t="s">
        <v>1956</v>
      </c>
      <c r="I18" s="2260" t="s">
        <v>1957</v>
      </c>
      <c r="J18" s="1395"/>
      <c r="K18" s="1265" t="s">
        <v>1958</v>
      </c>
      <c r="L18" s="2261" t="s">
        <v>1959</v>
      </c>
      <c r="M18" s="1049" t="s">
        <v>1960</v>
      </c>
      <c r="N18" s="1265" t="s">
        <v>1958</v>
      </c>
      <c r="O18" s="2261" t="s">
        <v>1959</v>
      </c>
      <c r="P18" s="1049" t="s">
        <v>1960</v>
      </c>
      <c r="R18" s="1250" t="s">
        <v>1961</v>
      </c>
      <c r="S18" s="1250" t="s">
        <v>1962</v>
      </c>
    </row>
    <row r="19" spans="1:19">
      <c r="A19" s="2262"/>
      <c r="B19" s="50" t="s">
        <v>1935</v>
      </c>
      <c r="C19" s="2946" t="s">
        <v>3245</v>
      </c>
      <c r="D19" s="48">
        <f>ROUND($D$3*E19/$E$3,2)</f>
        <v>8452.18</v>
      </c>
      <c r="E19" s="56">
        <f t="shared" ref="E19:E26" si="1">SUM(F19:G19)</f>
        <v>41596.89</v>
      </c>
      <c r="F19" s="57">
        <f>'数据-基础表'!I13</f>
        <v>24763.08</v>
      </c>
      <c r="G19" s="58">
        <f>'数据-基础表'!K13</f>
        <v>16833.809999999998</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8452.18</v>
      </c>
      <c r="S19" s="1251">
        <f t="shared" si="5"/>
        <v>41596.89</v>
      </c>
    </row>
    <row r="20" spans="1:19">
      <c r="A20" s="2266"/>
      <c r="B20" s="50" t="s">
        <v>1963</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1963</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1963</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1963</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1963</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1963</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1963</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1964</v>
      </c>
      <c r="D27" s="1396">
        <f>SUM(D19:D26)</f>
        <v>8452.18</v>
      </c>
      <c r="E27" s="1397">
        <f>IF(SUM(E19:E26)='数据-基础表'!BA5,SUM(E19:E26),IF(F27="地上面积有误","面积有误","地下面积有误"))</f>
        <v>41596.89</v>
      </c>
      <c r="F27" s="1396">
        <f>IF(SUM(F19:F26)=E8,SUM(F19:F26),"地上面积有误")</f>
        <v>24763.08</v>
      </c>
      <c r="G27" s="1398">
        <f>SUM(G19:G26)</f>
        <v>16833.809999999998</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8452.18</v>
      </c>
      <c r="S27" s="1250">
        <f>IF(SUM(S19:S26)=$E$3,SUM(S19:S26),SUM(S19:S26)&amp;"误差"&amp;ROUND(SUM(S19:S26)-E3,2))</f>
        <v>41596.89</v>
      </c>
    </row>
    <row r="28" spans="1:19">
      <c r="A28" s="2266"/>
      <c r="B28" s="50" t="s">
        <v>1965</v>
      </c>
      <c r="C28" s="1262" t="s">
        <v>1966</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1965</v>
      </c>
      <c r="C29" s="2270" t="s">
        <v>1967</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1964</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1968</v>
      </c>
      <c r="D31" s="729">
        <f>D27+D30</f>
        <v>8452.18</v>
      </c>
      <c r="E31" s="729">
        <f>E27+E30</f>
        <v>41596.89</v>
      </c>
      <c r="F31" s="730">
        <f>F27+F30</f>
        <v>24763.08</v>
      </c>
      <c r="G31" s="731">
        <f>G27+G30</f>
        <v>16833.809999999998</v>
      </c>
      <c r="H31" s="1395"/>
      <c r="I31" s="1395"/>
      <c r="J31" s="1395"/>
      <c r="K31" s="1395"/>
      <c r="L31" s="1395"/>
      <c r="M31" s="1395"/>
      <c r="N31" s="1395"/>
      <c r="O31" s="1395"/>
      <c r="P31" s="1395"/>
    </row>
    <row r="32" spans="1:19">
      <c r="A32" s="2236"/>
      <c r="B32" s="2236" t="s">
        <v>1969</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V21" sqref="V21"/>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23" width="7.625" style="2278" customWidth="1"/>
    <col min="24"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1970</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3" customFormat="1" ht="15.75" thickBot="1">
      <c r="A2" s="2279" t="s">
        <v>1971</v>
      </c>
      <c r="B2" s="1269">
        <f>项目基本情况!D3</f>
        <v>43131</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3" customFormat="1" ht="15" thickBot="1">
      <c r="A3" s="2031"/>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3" customFormat="1" ht="15" thickBot="1">
      <c r="A4" s="68" t="s">
        <v>1972</v>
      </c>
      <c r="B4" s="2284"/>
      <c r="C4" s="2285"/>
      <c r="D4" s="2286"/>
      <c r="E4" s="2285" t="s">
        <v>1973</v>
      </c>
      <c r="F4" s="2285"/>
      <c r="G4" s="2285"/>
      <c r="H4" s="2285"/>
      <c r="I4" s="2285"/>
      <c r="J4" s="2287"/>
      <c r="K4" s="2288"/>
      <c r="L4" s="2289"/>
      <c r="M4" s="2285"/>
      <c r="N4" s="2285" t="s">
        <v>1974</v>
      </c>
      <c r="O4" s="2285"/>
      <c r="P4" s="2285"/>
      <c r="Q4" s="2285"/>
      <c r="R4" s="2285"/>
      <c r="S4" s="2287"/>
      <c r="T4" s="2290" t="str">
        <f>'数据-汇总表'!I17</f>
        <v>按面积比例</v>
      </c>
      <c r="U4" s="2284" t="s">
        <v>1975</v>
      </c>
      <c r="V4" s="2285"/>
      <c r="W4" s="2285"/>
      <c r="X4" s="2285"/>
      <c r="Y4" s="2287"/>
      <c r="Z4" s="2247" t="s">
        <v>1976</v>
      </c>
      <c r="AA4" s="2247"/>
      <c r="AB4" s="2247"/>
      <c r="AC4" s="2247"/>
      <c r="AD4" s="2247"/>
      <c r="AE4" s="2245" t="s">
        <v>1977</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4" customFormat="1" ht="42">
      <c r="A5" s="2292" t="s">
        <v>1978</v>
      </c>
      <c r="B5" s="2293" t="s">
        <v>1979</v>
      </c>
      <c r="C5" s="2294" t="s">
        <v>1980</v>
      </c>
      <c r="D5" s="2295" t="s">
        <v>1981</v>
      </c>
      <c r="E5" s="1271" t="s">
        <v>1982</v>
      </c>
      <c r="F5" s="2296" t="s">
        <v>1983</v>
      </c>
      <c r="G5" s="1271" t="s">
        <v>1984</v>
      </c>
      <c r="H5" s="1271" t="s">
        <v>1985</v>
      </c>
      <c r="I5" s="1271" t="s">
        <v>1986</v>
      </c>
      <c r="J5" s="2297" t="s">
        <v>1987</v>
      </c>
      <c r="K5" s="2298" t="s">
        <v>1988</v>
      </c>
      <c r="L5" s="2299" t="s">
        <v>1989</v>
      </c>
      <c r="M5" s="2300" t="s">
        <v>1990</v>
      </c>
      <c r="N5" s="2301" t="s">
        <v>1991</v>
      </c>
      <c r="O5" s="2299" t="s">
        <v>1992</v>
      </c>
      <c r="P5" s="2302" t="s">
        <v>1993</v>
      </c>
      <c r="Q5" s="69" t="s">
        <v>1994</v>
      </c>
      <c r="R5" s="2303" t="s">
        <v>1995</v>
      </c>
      <c r="S5" s="2304" t="s">
        <v>1996</v>
      </c>
      <c r="T5" s="2305" t="s">
        <v>1997</v>
      </c>
      <c r="U5" s="1270" t="s">
        <v>1998</v>
      </c>
      <c r="V5" s="1271" t="s">
        <v>1999</v>
      </c>
      <c r="W5" s="1271" t="s">
        <v>2000</v>
      </c>
      <c r="X5" s="71"/>
      <c r="Y5" s="70" t="s">
        <v>2001</v>
      </c>
      <c r="Z5" s="2306" t="s">
        <v>1998</v>
      </c>
      <c r="AA5" s="1271" t="s">
        <v>1999</v>
      </c>
      <c r="AB5" s="1271" t="s">
        <v>2000</v>
      </c>
      <c r="AC5" s="71"/>
      <c r="AD5" s="71" t="s">
        <v>2001</v>
      </c>
      <c r="AE5" s="1270" t="s">
        <v>2002</v>
      </c>
      <c r="AF5" s="1271" t="s">
        <v>2003</v>
      </c>
      <c r="AG5" s="70" t="s">
        <v>2004</v>
      </c>
      <c r="AH5" s="1270" t="s">
        <v>2005</v>
      </c>
      <c r="AI5" s="2306" t="s">
        <v>2006</v>
      </c>
      <c r="AJ5" s="2306" t="s">
        <v>2007</v>
      </c>
      <c r="AK5" s="1271" t="s">
        <v>2008</v>
      </c>
      <c r="AL5" s="1271" t="s">
        <v>2009</v>
      </c>
      <c r="AM5" s="70" t="s">
        <v>2010</v>
      </c>
      <c r="AN5" s="2307" t="s">
        <v>2011</v>
      </c>
      <c r="AO5" s="2077" t="s">
        <v>2012</v>
      </c>
      <c r="AP5" s="1252" t="s">
        <v>2013</v>
      </c>
      <c r="AQ5" s="2308" t="s">
        <v>2014</v>
      </c>
      <c r="AR5" s="2308" t="s">
        <v>2015</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9" t="str">
        <f>'数据-汇总表'!C19</f>
        <v>隆福广场</v>
      </c>
      <c r="B6" s="2310" t="str">
        <f>IF(A6=0,"","经营性")</f>
        <v>经营性</v>
      </c>
      <c r="C6" s="2311" t="s">
        <v>1377</v>
      </c>
      <c r="D6" s="1054">
        <f>SUMIF(项目基本情况!D$12:I$12,C6,项目基本情况!D$14:I$14)</f>
        <v>40</v>
      </c>
      <c r="E6" s="1051">
        <f>IF(B6="","",SUMIF(项目基本情况!D$12:I$12,C6,项目基本情况!D$13:I$13))</f>
        <v>57314</v>
      </c>
      <c r="F6" s="72">
        <f>SUMIF(项目基本情况!D$12:I$12,C6,项目基本情况!D$15:I$15)</f>
        <v>38.85</v>
      </c>
      <c r="G6" s="73">
        <f>IF(ISERROR(ROUND(POWER(1+H6,D6-F6)*(POWER(1+H6,F6)-1)/(POWER(1+H6,D6)-1),3)),0,ROUND(POWER(1+H6,D6-F6)*(POWER(1+H6,F6)-1)/(POWER(1+H6,D6)-1),3))</f>
        <v>0.99</v>
      </c>
      <c r="H6" s="2951">
        <v>0.05</v>
      </c>
      <c r="I6" s="2951">
        <v>5.5E-2</v>
      </c>
      <c r="J6" s="2952">
        <v>8.5000000000000006E-2</v>
      </c>
      <c r="K6" s="1254">
        <f>SUMIF('数据-汇总表'!C$19:C$33,A6,'数据-汇总表'!E$19:E$33)</f>
        <v>41596.89</v>
      </c>
      <c r="L6" s="803">
        <v>4000</v>
      </c>
      <c r="M6" s="75">
        <f t="shared" ref="M6:M14" si="0">ROUND(K6*L6/10000,0)</f>
        <v>16639</v>
      </c>
      <c r="N6" s="801">
        <v>0.6</v>
      </c>
      <c r="O6" s="75">
        <f>IF($N$5="成新度","——",ROUND(M6*N6,0))</f>
        <v>9983</v>
      </c>
      <c r="P6" s="76">
        <f>IF($N$5="成新度","——",M6-O6)</f>
        <v>6656</v>
      </c>
      <c r="Q6" s="804">
        <v>0.2</v>
      </c>
      <c r="R6" s="77">
        <f ca="1">SUMIF('数据-汇总表'!C$19:C$33,A6,'数据-汇总表'!R$19:R$27)</f>
        <v>8452.18</v>
      </c>
      <c r="S6" s="54">
        <f>IF('数据-汇总表'!$I$17="按面积比例",SUMIF('数据-汇总表'!C$19:C$33,A6,'数据-汇总表'!K$19:K$33),SUMIF('数据-汇总表'!C$19:C$33,A6,'数据-汇总表'!N$19:N$33))</f>
        <v>0</v>
      </c>
      <c r="T6" s="1446">
        <f>ROUND($L$14*S6/10000,0)</f>
        <v>0</v>
      </c>
      <c r="U6" s="78">
        <f>U25</f>
        <v>7.68</v>
      </c>
      <c r="V6" s="2954">
        <v>2.5000000000000001E-2</v>
      </c>
      <c r="W6" s="79">
        <v>0.1</v>
      </c>
      <c r="X6" s="1264"/>
      <c r="Y6" s="2959">
        <v>1</v>
      </c>
      <c r="Z6" s="81"/>
      <c r="AA6" s="74"/>
      <c r="AB6" s="74"/>
      <c r="AC6" s="1264"/>
      <c r="AD6" s="82"/>
      <c r="AE6" s="1265">
        <f ca="1">IF(AN6="",0,SUMIF(INDIRECT("'"&amp;AN6&amp;"'"&amp;"!E:E"),$AE$5,INDIRECT("'"&amp;AN6&amp;"'"&amp;"!F:F")))</f>
        <v>38.35</v>
      </c>
      <c r="AF6" s="1806"/>
      <c r="AG6" s="147">
        <f>IF(AF6="",0,AE6-AF6)</f>
        <v>0</v>
      </c>
      <c r="AH6" s="83"/>
      <c r="AI6" s="85">
        <v>365</v>
      </c>
      <c r="AJ6" s="86"/>
      <c r="AK6" s="2961">
        <v>1.4999999999999999E-2</v>
      </c>
      <c r="AL6" s="88">
        <v>1.5E-3</v>
      </c>
      <c r="AM6" s="89">
        <v>0.01</v>
      </c>
      <c r="AN6" s="2312" t="s">
        <v>3262</v>
      </c>
      <c r="AO6" s="55">
        <f ca="1">SUMIF(INDIRECT("'"&amp;AN6&amp;"'"&amp;"!A:A"),"总价",INDIRECT("'"&amp;AN6&amp;"'"&amp;"!B:B"))</f>
        <v>181272</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3" customFormat="1" ht="14.25" hidden="1">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3" customFormat="1" ht="14.25" hidden="1">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3" customFormat="1" ht="14.25" hidden="1">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3" customFormat="1" ht="14.25" hidden="1">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3" customFormat="1" ht="14.25" hidden="1">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3" customFormat="1" ht="14.25" hidden="1">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3" customFormat="1" ht="14.25" hidden="1">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3" customFormat="1" ht="14.25">
      <c r="A14" s="2314" t="s">
        <v>2016</v>
      </c>
      <c r="B14" s="2310" t="s">
        <v>2017</v>
      </c>
      <c r="C14" s="2315" t="s">
        <v>2016</v>
      </c>
      <c r="D14" s="1054"/>
      <c r="E14" s="1051"/>
      <c r="F14" s="72"/>
      <c r="G14" s="73"/>
      <c r="H14" s="1253"/>
      <c r="I14" s="1253"/>
      <c r="J14" s="1253"/>
      <c r="K14" s="1254">
        <f>SUMIF('数据-汇总表'!C$19:C$33,A14,'数据-汇总表'!E$19:E$33)</f>
        <v>0</v>
      </c>
      <c r="L14" s="91"/>
      <c r="M14" s="75">
        <f t="shared" si="0"/>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3" customFormat="1" ht="27">
      <c r="A15" s="2314" t="s">
        <v>2018</v>
      </c>
      <c r="B15" s="2310" t="s">
        <v>2017</v>
      </c>
      <c r="C15" s="2315" t="s">
        <v>2019</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3" customFormat="1" ht="15.75" thickBot="1">
      <c r="A16" s="2316" t="s">
        <v>2020</v>
      </c>
      <c r="B16" s="97"/>
      <c r="C16" s="1008"/>
      <c r="D16" s="2317"/>
      <c r="E16" s="97"/>
      <c r="F16" s="97"/>
      <c r="G16" s="98">
        <f>ROUND(SUMPRODUCT(G6:G13,K6:K13)/SUMPRODUCT((G6:G13&gt;0)*(K6:K13)),3)</f>
        <v>0.99</v>
      </c>
      <c r="H16" s="99">
        <f>ROUND(SUMPRODUCT(H6:H13,K6:K13)/SUMPRODUCT((H6:H13&gt;0)*(K6:K13)),3)</f>
        <v>0.05</v>
      </c>
      <c r="I16" s="100"/>
      <c r="J16" s="100"/>
      <c r="K16" s="101">
        <f>SUM(K6:K15)</f>
        <v>41596.89</v>
      </c>
      <c r="L16" s="102">
        <f>ROUND(M16*10000/SUM(K6:K14),0)</f>
        <v>4000</v>
      </c>
      <c r="M16" s="102">
        <f>SUM(M6:M14)</f>
        <v>16639</v>
      </c>
      <c r="N16" s="103">
        <f>ROUND(SUMPRODUCT(M6:M14,N6:N14)/M16,3)</f>
        <v>0.6</v>
      </c>
      <c r="O16" s="102">
        <f>SUM(O6:O14)</f>
        <v>9983</v>
      </c>
      <c r="P16" s="102">
        <f>SUM(P6:P14)</f>
        <v>6656</v>
      </c>
      <c r="Q16" s="104">
        <f>ROUND(SUMPRODUCT(Q6:Q13,K6:K13)/SUMPRODUCT((Q6:Q13&gt;0)*(K6:K13)),2)</f>
        <v>0.2</v>
      </c>
      <c r="R16" s="1258">
        <f ca="1">SUM(R6:R13)</f>
        <v>8452.18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2948" t="s">
        <v>3289</v>
      </c>
      <c r="U17" s="2948" t="s">
        <v>3288</v>
      </c>
      <c r="V17" s="2948" t="s">
        <v>3290</v>
      </c>
      <c r="W17" s="2948" t="s">
        <v>3291</v>
      </c>
      <c r="X17" s="2948" t="s">
        <v>3292</v>
      </c>
      <c r="Y17" s="168"/>
      <c r="Z17" s="2948" t="s">
        <v>3295</v>
      </c>
      <c r="AA17" s="168"/>
      <c r="AB17" s="2948" t="s">
        <v>3288</v>
      </c>
      <c r="AC17" s="2948" t="s">
        <v>3296</v>
      </c>
      <c r="AD17" s="1584"/>
      <c r="AE17" s="1584"/>
      <c r="AF17" s="1584"/>
      <c r="AG17" s="1584"/>
      <c r="AH17" s="1584"/>
      <c r="AI17" s="1584"/>
      <c r="AJ17" s="1584"/>
      <c r="AK17" s="1584"/>
      <c r="AL17" s="1584"/>
      <c r="AM17" s="1584"/>
    </row>
    <row r="18" spans="1:67" ht="15" thickBot="1">
      <c r="A18" s="68" t="s">
        <v>2021</v>
      </c>
      <c r="B18" s="2283"/>
      <c r="C18" s="2280"/>
      <c r="D18" s="2281"/>
      <c r="E18" s="2280"/>
      <c r="F18" s="2280"/>
      <c r="G18" s="2280"/>
      <c r="H18" s="2280"/>
      <c r="I18" s="2280"/>
      <c r="J18" s="2280"/>
      <c r="K18" s="168"/>
      <c r="L18" s="168"/>
      <c r="M18" s="1584"/>
      <c r="N18" s="1584"/>
      <c r="O18" s="1584"/>
      <c r="P18" s="1584"/>
      <c r="Q18" s="1584"/>
      <c r="R18" s="1584"/>
      <c r="S18" s="1584"/>
      <c r="T18" s="168">
        <v>0.4</v>
      </c>
      <c r="U18" s="168">
        <v>-2</v>
      </c>
      <c r="V18" s="168">
        <f>V20*T18</f>
        <v>5.2</v>
      </c>
      <c r="W18" s="168">
        <f>基准地价修正!D34</f>
        <v>8248.3599999999988</v>
      </c>
      <c r="X18" s="168">
        <f>V18*W18</f>
        <v>42891.471999999994</v>
      </c>
      <c r="Y18" s="2953">
        <f>W18/$W$25</f>
        <v>0.19829270890203565</v>
      </c>
      <c r="Z18" s="168">
        <f ca="1">结果表!G19</f>
        <v>174734</v>
      </c>
      <c r="AA18" s="168"/>
      <c r="AB18" s="168">
        <v>-2</v>
      </c>
      <c r="AC18" s="2949">
        <f ca="1">AC20*T18</f>
        <v>28456.383992628515</v>
      </c>
      <c r="AD18" s="1584"/>
      <c r="AE18" s="1584"/>
      <c r="AF18" s="1584"/>
      <c r="AG18" s="1584"/>
      <c r="AH18" s="1584"/>
      <c r="AI18" s="1584"/>
      <c r="AJ18" s="1584"/>
      <c r="AK18" s="1584"/>
      <c r="AL18" s="1584"/>
      <c r="AM18" s="1584"/>
    </row>
    <row r="19" spans="1:67" ht="14.25">
      <c r="A19" s="2319" t="s">
        <v>2022</v>
      </c>
      <c r="B19" s="112">
        <v>0</v>
      </c>
      <c r="C19" s="2280" t="s">
        <v>2023</v>
      </c>
      <c r="D19" s="2281"/>
      <c r="E19" s="2280"/>
      <c r="F19" s="2280"/>
      <c r="G19" s="2280"/>
      <c r="H19" s="2280"/>
      <c r="I19" s="2280"/>
      <c r="J19" s="2280"/>
      <c r="K19" s="168"/>
      <c r="L19" s="168"/>
      <c r="M19" s="1584"/>
      <c r="N19" s="1584"/>
      <c r="O19" s="1584"/>
      <c r="P19" s="1584"/>
      <c r="Q19" s="1584"/>
      <c r="R19" s="1584"/>
      <c r="S19" s="1584"/>
      <c r="T19" s="168">
        <v>0.5</v>
      </c>
      <c r="U19" s="168">
        <v>-1</v>
      </c>
      <c r="V19" s="168">
        <f>V20*T19</f>
        <v>6.5</v>
      </c>
      <c r="W19" s="168">
        <f>基准地价修正!D33</f>
        <v>8585.4499999999971</v>
      </c>
      <c r="X19" s="168">
        <f t="shared" ref="X19:X24" si="12">V19*W19</f>
        <v>55805.424999999981</v>
      </c>
      <c r="Y19" s="2953">
        <f t="shared" ref="Y19:Y24" si="13">W19/$W$25</f>
        <v>0.20639643973383576</v>
      </c>
      <c r="Z19" s="168"/>
      <c r="AA19" s="168"/>
      <c r="AB19" s="168">
        <v>-1</v>
      </c>
      <c r="AC19" s="2949">
        <f ca="1">AC20*T19</f>
        <v>35570.479990785643</v>
      </c>
      <c r="AD19" s="1584"/>
      <c r="AE19" s="1584"/>
      <c r="AF19" s="1584"/>
      <c r="AG19" s="1584"/>
      <c r="AH19" s="1584"/>
      <c r="AI19" s="1584"/>
      <c r="AJ19" s="1584"/>
      <c r="AK19" s="1584"/>
      <c r="AL19" s="1584"/>
      <c r="AM19" s="1584"/>
    </row>
    <row r="20" spans="1:67" ht="14.25">
      <c r="A20" s="2320" t="s">
        <v>2024</v>
      </c>
      <c r="B20" s="113">
        <v>2</v>
      </c>
      <c r="C20" s="2280" t="s">
        <v>2025</v>
      </c>
      <c r="D20" s="2281"/>
      <c r="E20" s="2280"/>
      <c r="F20" s="2280"/>
      <c r="G20" s="2280"/>
      <c r="H20" s="2280"/>
      <c r="I20" s="2280"/>
      <c r="J20" s="2280"/>
      <c r="K20" s="168"/>
      <c r="L20" s="168"/>
      <c r="M20" s="1584"/>
      <c r="N20" s="1584"/>
      <c r="O20" s="1584"/>
      <c r="P20" s="1584"/>
      <c r="Q20" s="1584"/>
      <c r="R20" s="1584"/>
      <c r="S20" s="1584"/>
      <c r="T20" s="168">
        <v>1</v>
      </c>
      <c r="U20" s="168">
        <v>1</v>
      </c>
      <c r="V20" s="168">
        <v>13</v>
      </c>
      <c r="W20" s="168">
        <f>基准地价修正!U2</f>
        <v>5097.47</v>
      </c>
      <c r="X20" s="168">
        <f t="shared" si="12"/>
        <v>66267.11</v>
      </c>
      <c r="Y20" s="2953">
        <f t="shared" si="13"/>
        <v>0.12254449791799338</v>
      </c>
      <c r="Z20" s="168"/>
      <c r="AA20" s="168"/>
      <c r="AB20" s="168">
        <v>1</v>
      </c>
      <c r="AC20" s="2949">
        <f ca="1">Z18/(W18*T18+W19*T19+W20*T20+W21*T21+W22*T22+W23*T23+W24*T24)*10000</f>
        <v>71140.959981571286</v>
      </c>
      <c r="AD20" s="1584"/>
      <c r="AE20" s="1584"/>
      <c r="AF20" s="1584"/>
      <c r="AG20" s="1584"/>
      <c r="AH20" s="1584"/>
      <c r="AI20" s="1584"/>
      <c r="AJ20" s="1584"/>
      <c r="AK20" s="1584"/>
      <c r="AL20" s="1584"/>
      <c r="AM20" s="1584"/>
    </row>
    <row r="21" spans="1:67" ht="14.25">
      <c r="A21" s="2321" t="s">
        <v>2026</v>
      </c>
      <c r="B21" s="113">
        <v>1.5</v>
      </c>
      <c r="C21" s="2280"/>
      <c r="D21" s="2281"/>
      <c r="E21" s="2280"/>
      <c r="F21" s="2280"/>
      <c r="G21" s="2280"/>
      <c r="H21" s="2280"/>
      <c r="I21" s="2280"/>
      <c r="J21" s="2280"/>
      <c r="K21" s="168"/>
      <c r="L21" s="168"/>
      <c r="M21" s="1584"/>
      <c r="N21" s="1584"/>
      <c r="O21" s="1584"/>
      <c r="P21" s="1584"/>
      <c r="Q21" s="1584"/>
      <c r="R21" s="1584"/>
      <c r="S21" s="1584"/>
      <c r="T21" s="168">
        <v>0.7</v>
      </c>
      <c r="U21" s="168">
        <v>2</v>
      </c>
      <c r="V21" s="168">
        <f>V20*T21</f>
        <v>9.1</v>
      </c>
      <c r="W21" s="168">
        <f>基准地价修正!U3</f>
        <v>7362.93</v>
      </c>
      <c r="X21" s="168">
        <f t="shared" si="12"/>
        <v>67002.663</v>
      </c>
      <c r="Y21" s="2953">
        <f t="shared" si="13"/>
        <v>0.17700674257137972</v>
      </c>
      <c r="Z21" s="168"/>
      <c r="AA21" s="168"/>
      <c r="AB21" s="168">
        <v>2</v>
      </c>
      <c r="AC21" s="2949">
        <f ca="1">AC$20*T21</f>
        <v>49798.6719870999</v>
      </c>
      <c r="AD21" s="1584"/>
      <c r="AE21" s="1584"/>
      <c r="AF21" s="1584"/>
      <c r="AG21" s="1584"/>
      <c r="AH21" s="1584"/>
      <c r="AI21" s="1584"/>
      <c r="AJ21" s="1584"/>
      <c r="AK21" s="1584"/>
      <c r="AL21" s="1584"/>
      <c r="AM21" s="1584"/>
    </row>
    <row r="22" spans="1:67" ht="14.25">
      <c r="A22" s="2320" t="s">
        <v>2027</v>
      </c>
      <c r="B22" s="114">
        <f>B19+B20</f>
        <v>2</v>
      </c>
      <c r="C22" s="2280"/>
      <c r="D22" s="2281"/>
      <c r="E22" s="2280"/>
      <c r="F22" s="2280"/>
      <c r="G22" s="2280"/>
      <c r="H22" s="2280"/>
      <c r="I22" s="2280"/>
      <c r="J22" s="2280"/>
      <c r="K22" s="168"/>
      <c r="L22" s="168"/>
      <c r="M22" s="1584"/>
      <c r="N22" s="1584"/>
      <c r="O22" s="1584"/>
      <c r="P22" s="1584"/>
      <c r="Q22" s="1584"/>
      <c r="R22" s="1584"/>
      <c r="S22" s="1584"/>
      <c r="T22" s="168">
        <v>0.6</v>
      </c>
      <c r="U22" s="168">
        <v>3</v>
      </c>
      <c r="V22" s="168">
        <f>V20*T22</f>
        <v>7.8</v>
      </c>
      <c r="W22" s="168">
        <f>基准地价修正!U4</f>
        <v>7053.1200000000008</v>
      </c>
      <c r="X22" s="168">
        <f t="shared" si="12"/>
        <v>55014.336000000003</v>
      </c>
      <c r="Y22" s="2953">
        <f t="shared" si="13"/>
        <v>0.16955882999906963</v>
      </c>
      <c r="Z22" s="168"/>
      <c r="AA22" s="168"/>
      <c r="AB22" s="168">
        <v>3</v>
      </c>
      <c r="AC22" s="2949">
        <f ca="1">AC$20*T22</f>
        <v>42684.575988942772</v>
      </c>
      <c r="AD22" s="1584"/>
      <c r="AE22" s="1584"/>
      <c r="AF22" s="1584"/>
      <c r="AG22" s="1584"/>
      <c r="AH22" s="1584"/>
      <c r="AI22" s="1584"/>
      <c r="AJ22" s="1584"/>
      <c r="AK22" s="1584"/>
      <c r="AL22" s="1584"/>
      <c r="AM22" s="1584"/>
    </row>
    <row r="23" spans="1:67" ht="14.25">
      <c r="A23" s="2321" t="s">
        <v>2028</v>
      </c>
      <c r="B23" s="114">
        <f>B19+B21</f>
        <v>1.5</v>
      </c>
      <c r="C23" s="2280"/>
      <c r="D23" s="2281"/>
      <c r="E23" s="2280"/>
      <c r="F23" s="2280"/>
      <c r="G23" s="2280"/>
      <c r="H23" s="2280"/>
      <c r="I23" s="2280"/>
      <c r="J23" s="2280"/>
      <c r="K23" s="168"/>
      <c r="L23" s="168"/>
      <c r="M23" s="1584"/>
      <c r="N23" s="1584"/>
      <c r="O23" s="1584"/>
      <c r="P23" s="1584"/>
      <c r="Q23" s="1584"/>
      <c r="R23" s="1584"/>
      <c r="S23" s="1584"/>
      <c r="T23" s="168">
        <v>0.5</v>
      </c>
      <c r="U23" s="168">
        <v>4</v>
      </c>
      <c r="V23" s="168">
        <f>V20*T23</f>
        <v>6.5</v>
      </c>
      <c r="W23" s="168">
        <f>基准地价修正!U5</f>
        <v>3863.73</v>
      </c>
      <c r="X23" s="168">
        <f t="shared" si="12"/>
        <v>25114.244999999999</v>
      </c>
      <c r="Y23" s="2953">
        <f t="shared" si="13"/>
        <v>9.2885069052037292E-2</v>
      </c>
      <c r="Z23" s="168"/>
      <c r="AA23" s="168"/>
      <c r="AB23" s="168">
        <v>4</v>
      </c>
      <c r="AC23" s="2949">
        <f ca="1">AC$20*T23</f>
        <v>35570.479990785643</v>
      </c>
      <c r="AD23" s="1584"/>
      <c r="AE23" s="1584"/>
      <c r="AF23" s="1584"/>
      <c r="AG23" s="1584"/>
      <c r="AH23" s="1584"/>
      <c r="AI23" s="1584"/>
      <c r="AJ23" s="1584"/>
      <c r="AK23" s="1584"/>
      <c r="AL23" s="1584"/>
      <c r="AM23" s="1584"/>
    </row>
    <row r="24" spans="1:67" ht="15" thickBot="1">
      <c r="A24" s="2322" t="s">
        <v>2029</v>
      </c>
      <c r="B24" s="115">
        <f>B20-B21</f>
        <v>0.5</v>
      </c>
      <c r="C24" s="2280"/>
      <c r="D24" s="2281"/>
      <c r="E24" s="2280"/>
      <c r="F24" s="2280"/>
      <c r="G24" s="2280"/>
      <c r="H24" s="2280"/>
      <c r="I24" s="2280"/>
      <c r="J24" s="2280"/>
      <c r="K24" s="168"/>
      <c r="L24" s="168"/>
      <c r="M24" s="1584"/>
      <c r="N24" s="1584"/>
      <c r="O24" s="1584"/>
      <c r="P24" s="1584"/>
      <c r="Q24" s="1584"/>
      <c r="R24" s="1584"/>
      <c r="S24" s="1584"/>
      <c r="T24" s="168">
        <v>0.4</v>
      </c>
      <c r="U24" s="168">
        <v>5</v>
      </c>
      <c r="V24" s="168">
        <f>V20*T24</f>
        <v>5.2</v>
      </c>
      <c r="W24" s="168">
        <f>基准地价修正!U6</f>
        <v>1385.83</v>
      </c>
      <c r="X24" s="168">
        <f t="shared" si="12"/>
        <v>7206.3159999999998</v>
      </c>
      <c r="Y24" s="2953">
        <f t="shared" si="13"/>
        <v>3.3315711823648349E-2</v>
      </c>
      <c r="Z24" s="168"/>
      <c r="AA24" s="168"/>
      <c r="AB24" s="168">
        <v>5</v>
      </c>
      <c r="AC24" s="2949">
        <f ca="1">AC$20*T24</f>
        <v>28456.383992628515</v>
      </c>
      <c r="AD24" s="1584"/>
      <c r="AE24" s="1584"/>
      <c r="AF24" s="1584"/>
      <c r="AG24" s="1584"/>
      <c r="AH24" s="1584"/>
      <c r="AI24" s="1584"/>
      <c r="AJ24" s="1584"/>
      <c r="AK24" s="1584"/>
      <c r="AL24" s="1584"/>
      <c r="AM24" s="1584"/>
    </row>
    <row r="25" spans="1:67" ht="15" thickBot="1">
      <c r="A25" s="2031"/>
      <c r="B25" s="2283"/>
      <c r="C25" s="2280"/>
      <c r="D25" s="2281"/>
      <c r="E25" s="2280"/>
      <c r="F25" s="2280"/>
      <c r="G25" s="2280"/>
      <c r="H25" s="2280"/>
      <c r="I25" s="2280"/>
      <c r="J25" s="2280"/>
      <c r="K25" s="168"/>
      <c r="L25" s="168"/>
      <c r="M25" s="1584"/>
      <c r="N25" s="1584"/>
      <c r="O25" s="1584"/>
      <c r="P25" s="1584"/>
      <c r="Q25" s="1584"/>
      <c r="R25" s="1584"/>
      <c r="S25" s="1584"/>
      <c r="T25" s="2948" t="s">
        <v>3293</v>
      </c>
      <c r="U25" s="168">
        <f>ROUND(SUM(X18:X24)/SUM(W18:W24),2)</f>
        <v>7.68</v>
      </c>
      <c r="V25" s="168"/>
      <c r="W25" s="168">
        <f>W18+W19+W20+W21+W22+W23+W24</f>
        <v>41596.890000000007</v>
      </c>
      <c r="X25" s="168"/>
      <c r="Y25" s="168"/>
      <c r="Z25" s="168"/>
      <c r="AA25" s="168"/>
      <c r="AB25" s="168"/>
      <c r="AC25" s="168"/>
      <c r="AD25" s="1584"/>
      <c r="AE25" s="1584"/>
      <c r="AF25" s="1584"/>
      <c r="AG25" s="1584"/>
      <c r="AH25" s="1584"/>
      <c r="AI25" s="1584"/>
      <c r="AJ25" s="1584"/>
      <c r="AK25" s="1584"/>
      <c r="AL25" s="1584"/>
      <c r="AM25" s="1584"/>
    </row>
    <row r="26" spans="1:67" ht="15" thickBot="1">
      <c r="A26" s="2279" t="s">
        <v>2030</v>
      </c>
      <c r="B26" s="2323" t="s">
        <v>2031</v>
      </c>
      <c r="C26" s="2324" t="s">
        <v>2032</v>
      </c>
      <c r="D26" s="2281"/>
      <c r="E26" s="2280"/>
      <c r="F26" s="2280"/>
      <c r="G26" s="2280"/>
      <c r="H26" s="2280"/>
      <c r="I26" s="2280"/>
      <c r="J26" s="2280"/>
      <c r="K26" s="168"/>
      <c r="L26" s="168"/>
      <c r="M26" s="1584"/>
      <c r="N26" s="1584"/>
      <c r="O26" s="1584"/>
      <c r="P26" s="1584"/>
      <c r="Q26" s="1584"/>
      <c r="R26" s="1584"/>
      <c r="S26" s="2947"/>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2033</v>
      </c>
      <c r="B27" s="116">
        <v>160</v>
      </c>
      <c r="C27" s="1766" t="s">
        <v>2034</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2035</v>
      </c>
      <c r="B28" s="119">
        <v>200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2036</v>
      </c>
      <c r="B29" s="121">
        <f ca="1">成本法!C10</f>
        <v>832</v>
      </c>
      <c r="C29" s="1766" t="s">
        <v>2037</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2038</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2039</v>
      </c>
      <c r="B31" s="120">
        <f>B30-B32</f>
        <v>200</v>
      </c>
      <c r="C31" s="1766"/>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2040</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2041</v>
      </c>
      <c r="B33" s="726">
        <v>0.03</v>
      </c>
      <c r="C33" s="1765" t="s">
        <v>2042</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2043</v>
      </c>
      <c r="B34" s="122">
        <v>0</v>
      </c>
      <c r="C34" s="1765" t="s">
        <v>2044</v>
      </c>
      <c r="D34" s="2281" t="s">
        <v>2045</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2046</v>
      </c>
      <c r="B35" s="119">
        <v>200</v>
      </c>
      <c r="C35" s="1765" t="s">
        <v>2047</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2048</v>
      </c>
      <c r="B36" s="123">
        <v>1.4999999999999999E-2</v>
      </c>
      <c r="C36" s="1765" t="s">
        <v>2049</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2050</v>
      </c>
      <c r="B37" s="124">
        <v>1.4999999999999999E-2</v>
      </c>
      <c r="C37" s="1765" t="s">
        <v>2051</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2052</v>
      </c>
      <c r="B38" s="122">
        <v>0.03</v>
      </c>
      <c r="C38" s="1765" t="s">
        <v>2051</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2053</v>
      </c>
      <c r="B39" s="362">
        <f ca="1">存贷款利率!I1</f>
        <v>1.4999999999999999E-2</v>
      </c>
      <c r="C39" s="1765"/>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2054</v>
      </c>
      <c r="B40" s="1303">
        <f ca="1">存贷款利率!G1</f>
        <v>4.7500000000000001E-2</v>
      </c>
      <c r="C40" s="1765" t="s">
        <v>2055</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2056</v>
      </c>
      <c r="B41" s="125">
        <f>B42+B43</f>
        <v>5.6000000000000001E-2</v>
      </c>
      <c r="C41" s="1766"/>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2057</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2058</v>
      </c>
      <c r="B43" s="127">
        <f>B42*(B44+B45+B46)+B47</f>
        <v>6.000000000000001E-3</v>
      </c>
      <c r="C43" s="1766"/>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2059</v>
      </c>
      <c r="B44" s="128">
        <v>7.0000000000000007E-2</v>
      </c>
      <c r="C44" s="1765" t="s">
        <v>2060</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2061</v>
      </c>
      <c r="B45" s="126">
        <v>0.03</v>
      </c>
      <c r="C45" s="1766" t="s">
        <v>2062</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2063</v>
      </c>
      <c r="B46" s="126">
        <v>0.02</v>
      </c>
      <c r="C46" s="1766" t="s">
        <v>2064</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2065</v>
      </c>
      <c r="B47" s="129"/>
      <c r="C47" s="1766" t="s">
        <v>2066</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2067</v>
      </c>
      <c r="B48" s="130">
        <v>0.03</v>
      </c>
      <c r="C48" s="1773" t="s">
        <v>2068</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2069</v>
      </c>
      <c r="B49" s="126">
        <v>5.0000000000000001E-4</v>
      </c>
      <c r="C49" s="1773" t="s">
        <v>2070</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2071</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2072</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2073</v>
      </c>
      <c r="B52" s="133">
        <f>SUMIF(A54:A63,B53,B54:B63)</f>
        <v>30</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2074</v>
      </c>
      <c r="B53" s="2339" t="s">
        <v>212</v>
      </c>
      <c r="C53" s="1430" t="s">
        <v>2075</v>
      </c>
      <c r="D53" s="2340" t="s">
        <v>2076</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2077</v>
      </c>
      <c r="B54" s="84">
        <v>30</v>
      </c>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2078</v>
      </c>
      <c r="B55" s="84">
        <v>24</v>
      </c>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2079</v>
      </c>
      <c r="B56" s="84">
        <v>18</v>
      </c>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2080</v>
      </c>
      <c r="B57" s="84">
        <v>12</v>
      </c>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2081</v>
      </c>
      <c r="B58" s="84">
        <v>3</v>
      </c>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2082</v>
      </c>
      <c r="B59" s="84">
        <v>1.5</v>
      </c>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2083</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2084</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2085</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2086</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4"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45" sqref="G45"/>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93" t="s">
        <v>2087</v>
      </c>
      <c r="B1" s="3094"/>
      <c r="C1" s="3094"/>
      <c r="D1" s="3094"/>
      <c r="E1" s="3094"/>
      <c r="F1" s="3094"/>
      <c r="G1" s="3094"/>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2088</v>
      </c>
      <c r="D2" s="2369"/>
      <c r="E2" s="2370"/>
      <c r="F2" s="2289"/>
      <c r="G2" s="2368" t="s">
        <v>2089</v>
      </c>
      <c r="H2" s="2371"/>
      <c r="I2" s="2371"/>
      <c r="J2" s="2371"/>
      <c r="K2" s="2371"/>
      <c r="L2" s="2371"/>
      <c r="M2" s="2371"/>
      <c r="N2" s="2371"/>
      <c r="O2" s="2371"/>
      <c r="P2" s="2371"/>
      <c r="Q2" s="2371"/>
      <c r="R2" s="2371"/>
    </row>
    <row r="3" spans="1:29" ht="54">
      <c r="A3" s="415" t="s">
        <v>2090</v>
      </c>
      <c r="B3" s="1271" t="s">
        <v>2091</v>
      </c>
      <c r="C3" s="2373" t="s">
        <v>2092</v>
      </c>
      <c r="D3" s="2374"/>
      <c r="E3" s="431" t="s">
        <v>2090</v>
      </c>
      <c r="F3" s="2375" t="s">
        <v>2093</v>
      </c>
      <c r="G3" s="2376" t="s">
        <v>2094</v>
      </c>
      <c r="H3" s="2371"/>
      <c r="I3" s="2371"/>
      <c r="J3" s="2371"/>
      <c r="K3" s="2371"/>
      <c r="L3" s="2371"/>
      <c r="M3" s="2371"/>
      <c r="N3" s="2371"/>
      <c r="O3" s="2371"/>
      <c r="P3" s="2371"/>
      <c r="Q3" s="2371"/>
      <c r="R3" s="2371"/>
    </row>
    <row r="4" spans="1:29" ht="41.25">
      <c r="A4" s="431"/>
      <c r="B4" s="1797" t="s">
        <v>2095</v>
      </c>
      <c r="C4" s="2377" t="s">
        <v>2096</v>
      </c>
      <c r="D4" s="2374"/>
      <c r="E4" s="2378"/>
      <c r="F4" s="42" t="s">
        <v>2097</v>
      </c>
      <c r="G4" s="2379" t="s">
        <v>2098</v>
      </c>
      <c r="H4" s="2371"/>
      <c r="I4" s="2371"/>
      <c r="J4" s="2371"/>
      <c r="K4" s="2371"/>
      <c r="L4" s="2371"/>
      <c r="M4" s="2371"/>
      <c r="N4" s="2371"/>
      <c r="O4" s="2371"/>
      <c r="P4" s="2371"/>
      <c r="Q4" s="2371"/>
      <c r="R4" s="2371"/>
    </row>
    <row r="5" spans="1:29" ht="41.25">
      <c r="A5" s="431"/>
      <c r="B5" s="1797" t="s">
        <v>2099</v>
      </c>
      <c r="C5" s="2377" t="s">
        <v>2100</v>
      </c>
      <c r="D5" s="2374"/>
      <c r="E5" s="2378"/>
      <c r="F5" s="1797" t="s">
        <v>2101</v>
      </c>
      <c r="G5" s="2379" t="s">
        <v>2102</v>
      </c>
      <c r="H5" s="2371"/>
      <c r="I5" s="2371"/>
      <c r="J5" s="2371"/>
      <c r="K5" s="2371"/>
      <c r="L5" s="2371"/>
      <c r="M5" s="2371"/>
      <c r="N5" s="2371"/>
      <c r="O5" s="2371"/>
      <c r="P5" s="2371"/>
      <c r="Q5" s="2371"/>
      <c r="R5" s="2371"/>
    </row>
    <row r="6" spans="1:29" ht="54">
      <c r="A6" s="431"/>
      <c r="B6" s="1797" t="s">
        <v>2103</v>
      </c>
      <c r="C6" s="2379" t="s">
        <v>2098</v>
      </c>
      <c r="D6" s="2374"/>
      <c r="E6" s="2378"/>
      <c r="F6" s="1797" t="s">
        <v>2104</v>
      </c>
      <c r="G6" s="2379" t="s">
        <v>2105</v>
      </c>
      <c r="H6" s="2371"/>
      <c r="I6" s="2371"/>
      <c r="J6" s="2371"/>
      <c r="K6" s="2371"/>
      <c r="L6" s="2371"/>
      <c r="M6" s="2371"/>
      <c r="N6" s="2371"/>
      <c r="O6" s="2371"/>
      <c r="P6" s="2371"/>
      <c r="Q6" s="2371"/>
      <c r="R6" s="2371"/>
    </row>
    <row r="7" spans="1:29" ht="41.25" thickBot="1">
      <c r="A7" s="431"/>
      <c r="B7" s="1797" t="s">
        <v>2101</v>
      </c>
      <c r="C7" s="2379" t="s">
        <v>2102</v>
      </c>
      <c r="D7" s="2380"/>
      <c r="E7" s="2381"/>
      <c r="F7" s="2382" t="s">
        <v>2106</v>
      </c>
      <c r="G7" s="2383" t="s">
        <v>2107</v>
      </c>
      <c r="H7" s="2371"/>
      <c r="I7" s="2371"/>
      <c r="J7" s="2371"/>
      <c r="K7" s="2371"/>
      <c r="L7" s="2371"/>
      <c r="M7" s="2371"/>
      <c r="N7" s="2371"/>
      <c r="O7" s="2371"/>
      <c r="P7" s="2371"/>
      <c r="Q7" s="2371"/>
      <c r="R7" s="2371"/>
    </row>
    <row r="8" spans="1:29" ht="27">
      <c r="A8" s="431"/>
      <c r="B8" s="1797" t="s">
        <v>2104</v>
      </c>
      <c r="C8" s="2379" t="s">
        <v>2105</v>
      </c>
      <c r="D8" s="2380"/>
      <c r="E8" s="2380"/>
      <c r="F8" s="1136"/>
      <c r="G8" s="1136"/>
      <c r="H8" s="2371"/>
      <c r="I8" s="2371"/>
      <c r="J8" s="2371"/>
      <c r="K8" s="2371"/>
      <c r="L8" s="2371"/>
      <c r="M8" s="2371"/>
      <c r="N8" s="2371"/>
      <c r="O8" s="2371"/>
      <c r="P8" s="2371"/>
      <c r="Q8" s="2371"/>
      <c r="R8" s="2371"/>
    </row>
    <row r="9" spans="1:29" ht="27">
      <c r="A9" s="431"/>
      <c r="B9" s="1797" t="s">
        <v>2108</v>
      </c>
      <c r="C9" s="2377" t="s">
        <v>2109</v>
      </c>
      <c r="D9" s="2374"/>
      <c r="E9" s="2380"/>
      <c r="F9" s="1136"/>
      <c r="G9" s="1136"/>
      <c r="H9" s="2371"/>
      <c r="I9" s="2371"/>
      <c r="J9" s="2371"/>
      <c r="K9" s="2371"/>
      <c r="L9" s="2371"/>
      <c r="M9" s="2371"/>
      <c r="N9" s="2371"/>
      <c r="O9" s="2371"/>
      <c r="P9" s="2371"/>
      <c r="Q9" s="2371"/>
      <c r="R9" s="2371"/>
    </row>
    <row r="10" spans="1:29" s="117" customFormat="1" ht="15.75" thickBot="1">
      <c r="A10" s="2384"/>
      <c r="B10" s="2385" t="s">
        <v>2110</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2111</v>
      </c>
      <c r="B13" s="2391"/>
      <c r="C13" s="2391"/>
      <c r="D13" s="2398"/>
      <c r="E13" s="2391"/>
      <c r="F13" s="2391"/>
      <c r="G13" s="2391"/>
    </row>
    <row r="14" spans="1:29" ht="15.75" thickBot="1">
      <c r="A14" s="2402"/>
      <c r="B14" s="2403"/>
      <c r="C14" s="2404" t="s">
        <v>2112</v>
      </c>
      <c r="D14" s="2374"/>
      <c r="E14" s="2405"/>
      <c r="F14" s="2405"/>
      <c r="G14" s="2368" t="s">
        <v>2113</v>
      </c>
    </row>
    <row r="15" spans="1:29" ht="57">
      <c r="A15" s="68" t="s">
        <v>2114</v>
      </c>
      <c r="B15" s="1270" t="s">
        <v>2091</v>
      </c>
      <c r="C15" s="2406" t="str">
        <f>C3</f>
        <v>估价对象周边居住用地比例、居住小区规模和社区发展完善程度，综合评价居住社区成熟度一般</v>
      </c>
      <c r="D15" s="2374"/>
      <c r="E15" s="2407" t="s">
        <v>2115</v>
      </c>
      <c r="F15" s="1270" t="s">
        <v>2116</v>
      </c>
      <c r="G15" s="135" t="str">
        <f>G3</f>
        <v>估价对象位于XX开发区，园区建设成熟度XX，产业集聚程度XX</v>
      </c>
    </row>
    <row r="16" spans="1:29" ht="42.75">
      <c r="A16" s="645"/>
      <c r="B16" s="2408" t="s">
        <v>2095</v>
      </c>
      <c r="C16" s="2409" t="str">
        <f>C4</f>
        <v>估价对象位于XX商圈，周边商业氛围成熟，人流量大，商业繁华度好</v>
      </c>
      <c r="D16" s="2374"/>
      <c r="E16" s="2410"/>
      <c r="F16" s="2411" t="s">
        <v>2097</v>
      </c>
      <c r="G16" s="136" t="str">
        <f>G4</f>
        <v>估价对象周边道路状况、公共交通通达情况、停车便捷程度，综合评价交通便捷度较好</v>
      </c>
    </row>
    <row r="17" spans="1:18" ht="42.75">
      <c r="A17" s="645"/>
      <c r="B17" s="2408" t="s">
        <v>2099</v>
      </c>
      <c r="C17" s="2409" t="str">
        <f>C5</f>
        <v>估价对象位于XX商圈，周边办公楼项目较多，入驻率高，办公集聚程度较好</v>
      </c>
      <c r="D17" s="2380"/>
      <c r="E17" s="2410"/>
      <c r="F17" s="2411" t="s">
        <v>2117</v>
      </c>
      <c r="G17" s="1572"/>
    </row>
    <row r="18" spans="1:18" ht="57">
      <c r="A18" s="645"/>
      <c r="B18" s="2411" t="s">
        <v>2103</v>
      </c>
      <c r="C18" s="136" t="str">
        <f>C6</f>
        <v>估价对象周边道路状况、公共交通通达情况、停车便捷程度，综合评价交通便捷度较好</v>
      </c>
      <c r="D18" s="2380"/>
      <c r="E18" s="2410"/>
      <c r="F18" s="2411" t="s">
        <v>2106</v>
      </c>
      <c r="G18" s="136" t="str">
        <f>G7</f>
        <v>该园区内是否有污染型企业，绿化情况，卫生条件，整体环境状况判断</v>
      </c>
    </row>
    <row r="19" spans="1:18" ht="28.5">
      <c r="A19" s="645"/>
      <c r="B19" s="2411" t="s">
        <v>2118</v>
      </c>
      <c r="C19" s="1572"/>
      <c r="D19" s="2374"/>
      <c r="E19" s="2410"/>
      <c r="F19" s="1797" t="s">
        <v>2101</v>
      </c>
      <c r="G19" s="136" t="str">
        <f>G5</f>
        <v>估价对象所在区域公共配套设施齐备情况</v>
      </c>
    </row>
    <row r="20" spans="1:18" ht="28.5">
      <c r="A20" s="645"/>
      <c r="B20" s="2411" t="s">
        <v>2119</v>
      </c>
      <c r="C20" s="2409" t="str">
        <f>C9</f>
        <v>区域自然环境：；人文环境；综合评价环境状况一般</v>
      </c>
      <c r="D20" s="2380"/>
      <c r="E20" s="2410"/>
      <c r="F20" s="1797" t="s">
        <v>2120</v>
      </c>
      <c r="G20" s="136" t="str">
        <f>G6</f>
        <v>估价对象所在区域基础设施水平</v>
      </c>
    </row>
    <row r="21" spans="1:18" ht="28.5">
      <c r="A21" s="645"/>
      <c r="B21" s="1797" t="s">
        <v>2101</v>
      </c>
      <c r="C21" s="136" t="str">
        <f>C7</f>
        <v>估价对象所在区域公共配套设施齐备情况</v>
      </c>
      <c r="D21" s="2374"/>
      <c r="E21" s="2410"/>
      <c r="F21" s="2411" t="s">
        <v>2121</v>
      </c>
      <c r="G21" s="2412"/>
    </row>
    <row r="22" spans="1:18" ht="13.5" customHeight="1">
      <c r="A22" s="645"/>
      <c r="B22" s="1797" t="s">
        <v>2104</v>
      </c>
      <c r="C22" s="136" t="str">
        <f>C8</f>
        <v>估价对象所在区域基础设施水平</v>
      </c>
      <c r="D22" s="2374"/>
      <c r="E22" s="2410"/>
      <c r="F22" s="2411" t="s">
        <v>2110</v>
      </c>
      <c r="G22" s="1572"/>
    </row>
    <row r="23" spans="1:18" s="2371" customFormat="1" ht="15.75" thickBot="1">
      <c r="A23" s="645"/>
      <c r="B23" s="2411" t="s">
        <v>2121</v>
      </c>
      <c r="C23" s="2412"/>
      <c r="D23" s="2399"/>
      <c r="E23" s="2413"/>
      <c r="F23" s="2414" t="s">
        <v>2122</v>
      </c>
      <c r="G23" s="2415"/>
      <c r="H23" s="2399"/>
      <c r="I23" s="2400"/>
      <c r="J23" s="2399"/>
      <c r="K23" s="2399"/>
      <c r="L23" s="2400"/>
      <c r="M23" s="2399"/>
      <c r="N23" s="2399"/>
      <c r="O23" s="2400"/>
      <c r="P23" s="2399"/>
      <c r="Q23" s="2399"/>
      <c r="R23" s="2401"/>
    </row>
    <row r="24" spans="1:18" s="2371" customFormat="1" ht="15.75" thickBot="1">
      <c r="A24" s="2416"/>
      <c r="B24" s="2414" t="s">
        <v>2123</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5" sqref="C5"/>
    </sheetView>
  </sheetViews>
  <sheetFormatPr defaultRowHeight="13.5"/>
  <cols>
    <col min="1" max="1" width="23.375" style="1741" customWidth="1"/>
    <col min="2" max="9" width="15.75" style="1741" customWidth="1"/>
    <col min="10" max="16384" width="9" style="1741"/>
  </cols>
  <sheetData>
    <row r="1" spans="1:10" ht="16.5">
      <c r="A1" s="1746" t="s">
        <v>1365</v>
      </c>
      <c r="B1" s="1746">
        <f>SUM(B14:B23)</f>
        <v>65400.210000000006</v>
      </c>
      <c r="C1" s="1745"/>
      <c r="D1" s="1745"/>
      <c r="E1" s="1745"/>
      <c r="F1" s="1745"/>
      <c r="G1" s="1743"/>
    </row>
    <row r="2" spans="1:10" ht="16.5">
      <c r="A2" s="1746" t="s">
        <v>1353</v>
      </c>
      <c r="B2" s="1746">
        <f>SUM(C14:C23)</f>
        <v>16956.55</v>
      </c>
      <c r="C2" s="1745"/>
      <c r="D2" s="1745"/>
      <c r="E2" s="1745"/>
      <c r="F2" s="1745"/>
      <c r="G2" s="1743"/>
    </row>
    <row r="3" spans="1:10" ht="16.5">
      <c r="A3" s="1746" t="s">
        <v>1362</v>
      </c>
      <c r="B3" s="1747">
        <f>项目基本情况!D3</f>
        <v>43131</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244682</v>
      </c>
      <c r="C5" s="1746">
        <f ca="1">ROUND(B5*10000/$B$1,0)</f>
        <v>37413</v>
      </c>
      <c r="D5" s="1746">
        <f ca="1">ROUND(B5*10000/$B$2,0)</f>
        <v>144299</v>
      </c>
      <c r="E5" s="1745"/>
      <c r="F5" s="1743"/>
      <c r="G5" s="1743"/>
    </row>
    <row r="6" spans="1:10" ht="16.5">
      <c r="A6" s="1746" t="s">
        <v>1356</v>
      </c>
      <c r="B6" s="1746">
        <f ca="1">SUM(G14:G23)</f>
        <v>244682</v>
      </c>
      <c r="C6" s="1746">
        <f ca="1">ROUND(B6*10000/$B$1,0)</f>
        <v>37413</v>
      </c>
      <c r="D6" s="1746">
        <f ca="1">ROUND(B6*10000/$B$2,0)</f>
        <v>144299</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0"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41596.89</v>
      </c>
      <c r="C14" s="1744">
        <f>结果表!C118</f>
        <v>8452.18</v>
      </c>
      <c r="D14" s="1744">
        <f ca="1">结果表!H118</f>
        <v>174734</v>
      </c>
      <c r="E14" s="1744">
        <f ca="1">ROUND(D14*10000/B14,0)</f>
        <v>42007</v>
      </c>
      <c r="F14" s="1744">
        <f ca="1">ROUND(D14*10000/C14,0)</f>
        <v>206732</v>
      </c>
      <c r="G14" s="1744">
        <f ca="1">结果表!D122</f>
        <v>174734</v>
      </c>
      <c r="H14" s="1744" t="str">
        <f>结果表!D124</f>
        <v>——</v>
      </c>
      <c r="I14" s="1744" t="str">
        <f>结果表!D126</f>
        <v>——</v>
      </c>
      <c r="J14" s="1743"/>
    </row>
    <row r="15" spans="1:10" ht="16.5">
      <c r="A15" s="1742" t="s">
        <v>1349</v>
      </c>
      <c r="B15" s="2963">
        <f>[1]系统读取表!$B$14</f>
        <v>11448.600000000002</v>
      </c>
      <c r="C15" s="2963">
        <f>'[2]数据-汇总表'!$D$3</f>
        <v>2122.21</v>
      </c>
      <c r="D15" s="2963">
        <f>[1]系统读取表!$D$14</f>
        <v>38726</v>
      </c>
      <c r="E15" s="1744">
        <f t="shared" ref="E15:E23" si="0">ROUND(D15*10000/B15,0)</f>
        <v>33826</v>
      </c>
      <c r="F15" s="1744">
        <f t="shared" ref="F15:F23" si="1">ROUND(D15*10000/C15,0)</f>
        <v>182480</v>
      </c>
      <c r="G15" s="2963">
        <f>[1]系统读取表!$G$14</f>
        <v>38726</v>
      </c>
      <c r="H15" s="2963" t="s">
        <v>3304</v>
      </c>
      <c r="I15" s="2963" t="s">
        <v>3304</v>
      </c>
      <c r="J15" s="1743"/>
    </row>
    <row r="16" spans="1:10" ht="16.5">
      <c r="A16" s="1742" t="s">
        <v>1348</v>
      </c>
      <c r="B16" s="2963">
        <f>[3]系统读取表!$B$14</f>
        <v>5147.5</v>
      </c>
      <c r="C16" s="2963">
        <f>[3]系统读取表!$C$14</f>
        <v>3919.4</v>
      </c>
      <c r="D16" s="2963">
        <f>[3]系统读取表!$D$14</f>
        <v>16630</v>
      </c>
      <c r="E16" s="1744">
        <f t="shared" si="0"/>
        <v>32307</v>
      </c>
      <c r="F16" s="1744">
        <f t="shared" si="1"/>
        <v>42430</v>
      </c>
      <c r="G16" s="2963">
        <f>D16</f>
        <v>16630</v>
      </c>
      <c r="H16" s="2963" t="s">
        <v>3304</v>
      </c>
      <c r="I16" s="2963" t="s">
        <v>3304</v>
      </c>
    </row>
    <row r="17" spans="1:9" ht="16.5">
      <c r="A17" s="1742" t="s">
        <v>1347</v>
      </c>
      <c r="B17" s="2963">
        <f>[4]系统读取表!$B$14</f>
        <v>7207.22</v>
      </c>
      <c r="C17" s="2963">
        <f>[4]系统读取表!$C$14</f>
        <v>2462.7600000000002</v>
      </c>
      <c r="D17" s="2963">
        <f>[4]系统读取表!$D$14</f>
        <v>14592</v>
      </c>
      <c r="E17" s="1744">
        <f t="shared" si="0"/>
        <v>20246</v>
      </c>
      <c r="F17" s="1744">
        <f t="shared" si="1"/>
        <v>59251</v>
      </c>
      <c r="G17" s="2963">
        <f>D17</f>
        <v>14592</v>
      </c>
      <c r="H17" s="2963" t="s">
        <v>3304</v>
      </c>
      <c r="I17" s="2963" t="s">
        <v>3304</v>
      </c>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V12"/>
  <sheetViews>
    <sheetView workbookViewId="0">
      <pane xSplit="2" ySplit="2" topLeftCell="C3" activePane="bottomRight" state="frozen"/>
      <selection pane="topRight" activeCell="C1" sqref="C1"/>
      <selection pane="bottomLeft" activeCell="A3" sqref="A3"/>
      <selection pane="bottomRight" activeCell="I40" sqref="I40"/>
    </sheetView>
  </sheetViews>
  <sheetFormatPr defaultRowHeight="13.5"/>
  <cols>
    <col min="2" max="2" width="17.375" style="2964" customWidth="1"/>
    <col min="3" max="3" width="11" style="2964" bestFit="1" customWidth="1"/>
    <col min="4" max="4" width="11" style="2964" customWidth="1"/>
    <col min="5" max="5" width="13.125" customWidth="1"/>
    <col min="6" max="8" width="10.5" style="2975" customWidth="1"/>
    <col min="9" max="9" width="10.75" bestFit="1" customWidth="1"/>
    <col min="10" max="10" width="11" customWidth="1"/>
    <col min="11" max="11" width="12.625" customWidth="1"/>
    <col min="12" max="12" width="12.25" customWidth="1"/>
    <col min="13" max="13" width="11.25" style="2965" bestFit="1" customWidth="1"/>
    <col min="20" max="20" width="30.125" style="2964" customWidth="1"/>
    <col min="22" max="22" width="11" style="2964" bestFit="1" customWidth="1"/>
  </cols>
  <sheetData>
    <row r="1" spans="1:21">
      <c r="A1" s="3101" t="s">
        <v>3305</v>
      </c>
      <c r="B1" s="3096" t="s">
        <v>3316</v>
      </c>
      <c r="C1" s="3096" t="s">
        <v>3317</v>
      </c>
      <c r="D1" s="3096" t="s">
        <v>3323</v>
      </c>
      <c r="E1" s="3096" t="s">
        <v>3318</v>
      </c>
      <c r="F1" s="3103" t="s">
        <v>3339</v>
      </c>
      <c r="G1" s="3103" t="s">
        <v>3340</v>
      </c>
      <c r="H1" s="3103" t="s">
        <v>3341</v>
      </c>
      <c r="I1" s="3096" t="s">
        <v>3319</v>
      </c>
      <c r="J1" s="3096" t="s">
        <v>3306</v>
      </c>
      <c r="K1" s="3096"/>
      <c r="L1" s="3096"/>
      <c r="M1" s="3098" t="s">
        <v>3324</v>
      </c>
      <c r="N1" s="3096" t="s">
        <v>3320</v>
      </c>
      <c r="O1" s="3096" t="s">
        <v>3321</v>
      </c>
      <c r="P1" s="3096" t="s">
        <v>3322</v>
      </c>
      <c r="Q1" s="3096" t="s">
        <v>3309</v>
      </c>
      <c r="R1" s="3096"/>
      <c r="S1" s="3096"/>
      <c r="T1" s="3096" t="s">
        <v>3313</v>
      </c>
      <c r="U1" s="3100"/>
    </row>
    <row r="2" spans="1:21">
      <c r="A2" s="3102"/>
      <c r="B2" s="3097"/>
      <c r="C2" s="3097"/>
      <c r="D2" s="3097"/>
      <c r="E2" s="3097"/>
      <c r="F2" s="3104"/>
      <c r="G2" s="3104"/>
      <c r="H2" s="3104"/>
      <c r="I2" s="3097"/>
      <c r="J2" s="2966" t="s">
        <v>3310</v>
      </c>
      <c r="K2" s="2966" t="s">
        <v>3307</v>
      </c>
      <c r="L2" s="2966" t="s">
        <v>3308</v>
      </c>
      <c r="M2" s="3099"/>
      <c r="N2" s="3097"/>
      <c r="O2" s="3097"/>
      <c r="P2" s="3097"/>
      <c r="Q2" s="2966" t="s">
        <v>3310</v>
      </c>
      <c r="R2" s="2966" t="s">
        <v>3311</v>
      </c>
      <c r="S2" s="2966" t="s">
        <v>3312</v>
      </c>
      <c r="T2" s="2966" t="s">
        <v>3314</v>
      </c>
      <c r="U2" s="2984" t="s">
        <v>3315</v>
      </c>
    </row>
    <row r="3" spans="1:21">
      <c r="A3" s="2985">
        <v>0</v>
      </c>
      <c r="B3" s="2976" t="s">
        <v>3342</v>
      </c>
      <c r="C3" s="2976" t="s">
        <v>3325</v>
      </c>
      <c r="D3" s="2976" t="s">
        <v>3325</v>
      </c>
      <c r="E3" s="2977">
        <f>[5]项目基本情况!$D$3</f>
        <v>42928</v>
      </c>
      <c r="F3" s="2978">
        <f>[5]结果表!$G$19</f>
        <v>324195</v>
      </c>
      <c r="G3" s="2979">
        <f>ROUND(F3*10000/J3,0)</f>
        <v>55675</v>
      </c>
      <c r="H3" s="2980">
        <f>'[5]数据-取费表'!$U$6</f>
        <v>7.8</v>
      </c>
      <c r="I3" s="2980">
        <f>'[5]数据-汇总表'!$D$3</f>
        <v>10794.06</v>
      </c>
      <c r="J3" s="2980">
        <f>SUM(K3:L3)</f>
        <v>58230.2</v>
      </c>
      <c r="K3" s="2980">
        <f>'[5]数据-汇总表'!$F$31</f>
        <v>45056.7</v>
      </c>
      <c r="L3" s="2980">
        <f>'[5]数据-汇总表'!$G$31</f>
        <v>13173.5</v>
      </c>
      <c r="M3" s="2981" t="s">
        <v>3326</v>
      </c>
      <c r="N3" s="2982">
        <f>ROUND(K3/I3,2)</f>
        <v>4.17</v>
      </c>
      <c r="O3" s="2983">
        <f>'数据-取费表'!Q6</f>
        <v>0.2</v>
      </c>
      <c r="P3" s="2982">
        <f>'[5]数据-取费表'!$L$16</f>
        <v>4000</v>
      </c>
      <c r="Q3" s="2982">
        <f>R3+S3</f>
        <v>2</v>
      </c>
      <c r="R3" s="2982">
        <f>'[5]数据-取费表'!$B$20</f>
        <v>2</v>
      </c>
      <c r="S3" s="2982">
        <v>0</v>
      </c>
      <c r="T3" s="2976" t="s">
        <v>3327</v>
      </c>
      <c r="U3" s="2986">
        <v>1</v>
      </c>
    </row>
    <row r="4" spans="1:21">
      <c r="A4" s="2987">
        <v>1</v>
      </c>
      <c r="B4" s="2966" t="s">
        <v>3330</v>
      </c>
      <c r="C4" s="2966" t="s">
        <v>3325</v>
      </c>
      <c r="D4" s="2966" t="s">
        <v>3325</v>
      </c>
      <c r="E4" s="2967">
        <f>'数据-取费表'!B2</f>
        <v>43131</v>
      </c>
      <c r="F4" s="2974">
        <f ca="1">结果表!G19</f>
        <v>174734</v>
      </c>
      <c r="G4" s="2974">
        <f ca="1">ROUND(F4*10000/J4,0)</f>
        <v>42007</v>
      </c>
      <c r="H4" s="2972">
        <f>'数据-取费表'!U6</f>
        <v>7.68</v>
      </c>
      <c r="I4" s="2972">
        <f>'数据-汇总表'!D3</f>
        <v>8452.18</v>
      </c>
      <c r="J4" s="2972">
        <f>SUM(K4:L4)</f>
        <v>41596.89</v>
      </c>
      <c r="K4" s="2972">
        <f>'数据-汇总表'!F31</f>
        <v>24763.08</v>
      </c>
      <c r="L4" s="2972">
        <f>'数据-汇总表'!G31</f>
        <v>16833.809999999998</v>
      </c>
      <c r="M4" s="2969" t="s">
        <v>3331</v>
      </c>
      <c r="N4" s="2968">
        <f>ROUND(K4/I4,2)</f>
        <v>2.93</v>
      </c>
      <c r="O4" s="2970">
        <f>'数据-取费表'!Q6</f>
        <v>0.2</v>
      </c>
      <c r="P4" s="2968">
        <f>'数据-取费表'!L16</f>
        <v>4000</v>
      </c>
      <c r="Q4" s="2968">
        <f>R4+S4</f>
        <v>1.7</v>
      </c>
      <c r="R4" s="2968">
        <f>'数据-取费表'!B21</f>
        <v>1.5</v>
      </c>
      <c r="S4" s="2968">
        <v>0.2</v>
      </c>
      <c r="T4" s="2966" t="s">
        <v>3332</v>
      </c>
      <c r="U4" s="2986">
        <f>'数据-取费表'!N6</f>
        <v>0.6</v>
      </c>
    </row>
    <row r="5" spans="1:21">
      <c r="A5" s="2987">
        <v>2</v>
      </c>
      <c r="B5" s="2966" t="s">
        <v>3343</v>
      </c>
      <c r="C5" s="2966" t="s">
        <v>3325</v>
      </c>
      <c r="D5" s="2966" t="s">
        <v>3329</v>
      </c>
      <c r="E5" s="2967">
        <f>'[2]数据-取费表'!$B$2</f>
        <v>43131</v>
      </c>
      <c r="F5" s="2974">
        <f>[1]结果表!$G$19</f>
        <v>38726</v>
      </c>
      <c r="G5" s="2974">
        <f t="shared" ref="G5:G6" si="0">ROUND(F5*10000/J5,0)</f>
        <v>33826</v>
      </c>
      <c r="H5" s="2972">
        <f>'[2]数据-取费表'!$U$6</f>
        <v>8.4</v>
      </c>
      <c r="I5" s="2972">
        <f>'[1]数据-汇总表'!$D$3</f>
        <v>2122.21</v>
      </c>
      <c r="J5" s="2972">
        <f t="shared" ref="J5:J6" si="1">SUM(K5:L5)</f>
        <v>11448.6</v>
      </c>
      <c r="K5" s="2972">
        <f>'[1]数据-汇总表'!$F$31</f>
        <v>10131.5</v>
      </c>
      <c r="L5" s="2972">
        <f>'[1]数据-汇总表'!$G$31</f>
        <v>1317.1</v>
      </c>
      <c r="M5" s="2969" t="s">
        <v>3328</v>
      </c>
      <c r="N5" s="2968">
        <f>ROUND(K5/I5,2)</f>
        <v>4.7699999999999996</v>
      </c>
      <c r="O5" s="2970">
        <f>'[2]数据-取费表'!$Q$6</f>
        <v>0.15</v>
      </c>
      <c r="P5" s="2968">
        <f>'[2]数据-取费表'!$L$16</f>
        <v>3500</v>
      </c>
      <c r="Q5" s="2968">
        <f>R5+S5</f>
        <v>1.1000000000000001</v>
      </c>
      <c r="R5" s="2968">
        <f>'[2]数据-取费表'!$B$21</f>
        <v>0.9</v>
      </c>
      <c r="S5" s="2968">
        <v>0.2</v>
      </c>
      <c r="T5" s="2966" t="s">
        <v>3332</v>
      </c>
      <c r="U5" s="2986">
        <f>'[2]数据-取费表'!$N$6</f>
        <v>0.4</v>
      </c>
    </row>
    <row r="6" spans="1:21">
      <c r="A6" s="2987">
        <v>3</v>
      </c>
      <c r="B6" s="2966" t="s">
        <v>3344</v>
      </c>
      <c r="C6" s="2966" t="s">
        <v>3335</v>
      </c>
      <c r="D6" s="2966" t="s">
        <v>3336</v>
      </c>
      <c r="E6" s="2967">
        <f>'[6]数据-取费表'!$B$2</f>
        <v>43131</v>
      </c>
      <c r="F6" s="2974">
        <f>[3]结果表!$G$19</f>
        <v>16630</v>
      </c>
      <c r="G6" s="2974">
        <f t="shared" si="0"/>
        <v>32307</v>
      </c>
      <c r="H6" s="2972">
        <f>'[6]数据-取费表'!$U$6</f>
        <v>8.35</v>
      </c>
      <c r="I6" s="2972">
        <f>'[3]数据-汇总表'!$D$3</f>
        <v>3919.4</v>
      </c>
      <c r="J6" s="2972">
        <f t="shared" si="1"/>
        <v>5147.5</v>
      </c>
      <c r="K6" s="2972">
        <f>'[3]数据-汇总表'!$F$31</f>
        <v>4454.2</v>
      </c>
      <c r="L6" s="2972">
        <f>'[3]数据-汇总表'!$G$31</f>
        <v>693.3</v>
      </c>
      <c r="M6" s="2969" t="s">
        <v>3352</v>
      </c>
      <c r="N6" s="2968">
        <f t="shared" ref="N6:N7" si="2">ROUND(K6/I6,2)</f>
        <v>1.1399999999999999</v>
      </c>
      <c r="O6" s="2970">
        <f>'[6]数据-取费表'!$Q$6</f>
        <v>0.15</v>
      </c>
      <c r="P6" s="2968">
        <f>'[6]数据-取费表'!$L$16</f>
        <v>3501</v>
      </c>
      <c r="Q6" s="2968">
        <f t="shared" ref="Q6:Q7" si="3">R6+S6</f>
        <v>1</v>
      </c>
      <c r="R6" s="2968">
        <f>'[6]数据-取费表'!$B$21</f>
        <v>0.8</v>
      </c>
      <c r="S6" s="2968">
        <v>0.2</v>
      </c>
      <c r="T6" s="2966" t="s">
        <v>3351</v>
      </c>
      <c r="U6" s="2986">
        <f>'[6]数据-取费表'!$N$6</f>
        <v>0.3</v>
      </c>
    </row>
    <row r="7" spans="1:21" ht="14.25" thickBot="1">
      <c r="A7" s="2987">
        <v>4</v>
      </c>
      <c r="B7" s="2966" t="s">
        <v>3333</v>
      </c>
      <c r="C7" s="2966" t="s">
        <v>3334</v>
      </c>
      <c r="D7" s="2966" t="s">
        <v>3338</v>
      </c>
      <c r="E7" s="2971">
        <f>'[7]数据-取费表'!$B$2</f>
        <v>43131</v>
      </c>
      <c r="F7" s="2974">
        <f>[4]结果表!$G$19</f>
        <v>14592</v>
      </c>
      <c r="G7" s="2974">
        <f>ROUND(F7*10000/J7,0)</f>
        <v>20246</v>
      </c>
      <c r="H7" s="2973">
        <f>'[7]数据-取费表'!$U$6</f>
        <v>6.4633333333333338</v>
      </c>
      <c r="I7" s="2973">
        <f>'[4]数据-汇总表'!$D$3</f>
        <v>2462.7600000000002</v>
      </c>
      <c r="J7" s="2972">
        <f>SUM(K7:L7)</f>
        <v>7207.22</v>
      </c>
      <c r="K7" s="2973">
        <f>'[4]数据-汇总表'!$F$31</f>
        <v>3099.76</v>
      </c>
      <c r="L7" s="2973">
        <f>'[4]数据-汇总表'!$G$31</f>
        <v>4107.46</v>
      </c>
      <c r="M7" s="2989" t="s">
        <v>3337</v>
      </c>
      <c r="N7" s="2990">
        <f t="shared" si="2"/>
        <v>1.26</v>
      </c>
      <c r="O7" s="2991">
        <f>'[7]数据-取费表'!$Q$6</f>
        <v>0.15</v>
      </c>
      <c r="P7" s="2992">
        <f>'[7]数据-取费表'!$L$16</f>
        <v>4500</v>
      </c>
      <c r="Q7" s="2990">
        <f t="shared" si="3"/>
        <v>0.8</v>
      </c>
      <c r="R7" s="2992">
        <f>'[7]数据-取费表'!$B$21</f>
        <v>0.6</v>
      </c>
      <c r="S7" s="2992">
        <v>0.2</v>
      </c>
      <c r="T7" s="2988" t="s">
        <v>3350</v>
      </c>
      <c r="U7" s="2993">
        <f>'[7]数据-取费表'!$N$6</f>
        <v>0.3</v>
      </c>
    </row>
    <row r="8" spans="1:21" ht="21.75" customHeight="1" thickBot="1">
      <c r="A8" s="2999" t="s">
        <v>3345</v>
      </c>
      <c r="B8" s="3095" t="s">
        <v>3346</v>
      </c>
      <c r="C8" s="3095"/>
      <c r="D8" s="3095"/>
      <c r="E8" s="2994">
        <f>'[7]数据-取费表'!$B$2</f>
        <v>43131</v>
      </c>
      <c r="F8" s="2995">
        <f ca="1">SUM(F4:F7)</f>
        <v>244682</v>
      </c>
      <c r="G8" s="2996">
        <f ca="1">ROUND(F8*10000/J8,0)</f>
        <v>37413</v>
      </c>
      <c r="H8" s="2996">
        <f>ROUND((H4*J4+H5*J5+H6*J6+H7*J7)/J8,2)</f>
        <v>7.72</v>
      </c>
      <c r="I8" s="2997">
        <f>SUM(I4:I7)</f>
        <v>16956.55</v>
      </c>
      <c r="J8" s="2997">
        <f>SUM(J4:J7)</f>
        <v>65400.21</v>
      </c>
      <c r="K8" s="2997">
        <f>SUM(K4:K7)</f>
        <v>42448.54</v>
      </c>
      <c r="L8" s="2998">
        <f t="shared" ref="L8" si="4">SUM(L4:L7)</f>
        <v>22951.669999999995</v>
      </c>
    </row>
    <row r="9" spans="1:21">
      <c r="F9" s="2975">
        <f ca="1">F3+F8</f>
        <v>568877</v>
      </c>
    </row>
    <row r="10" spans="1:21">
      <c r="A10">
        <v>1</v>
      </c>
      <c r="B10" s="3000" t="s">
        <v>3347</v>
      </c>
    </row>
    <row r="11" spans="1:21">
      <c r="A11">
        <v>2</v>
      </c>
      <c r="B11" s="3000" t="s">
        <v>3348</v>
      </c>
    </row>
    <row r="12" spans="1:21">
      <c r="A12">
        <v>3</v>
      </c>
      <c r="B12" s="3000" t="s">
        <v>3349</v>
      </c>
    </row>
  </sheetData>
  <mergeCells count="17">
    <mergeCell ref="Q1:S1"/>
    <mergeCell ref="M1:M2"/>
    <mergeCell ref="T1:U1"/>
    <mergeCell ref="A1:A2"/>
    <mergeCell ref="B1:B2"/>
    <mergeCell ref="C1:C2"/>
    <mergeCell ref="E1:E2"/>
    <mergeCell ref="I1:I2"/>
    <mergeCell ref="N1:N2"/>
    <mergeCell ref="F1:F2"/>
    <mergeCell ref="G1:G2"/>
    <mergeCell ref="H1:H2"/>
    <mergeCell ref="B8:D8"/>
    <mergeCell ref="O1:O2"/>
    <mergeCell ref="P1:P2"/>
    <mergeCell ref="D1:D2"/>
    <mergeCell ref="J1:L1"/>
  </mergeCells>
  <phoneticPr fontId="14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02" t="str">
        <f>项目基本情况!B1</f>
        <v>北京市出让国有建设用地使用权及在建建筑物房地产抵押价值预评估</v>
      </c>
      <c r="C37" s="3002"/>
      <c r="D37" s="3002"/>
      <c r="E37" s="3002"/>
      <c r="F37" s="3002"/>
      <c r="G37" s="3002"/>
      <c r="H37" s="3002"/>
      <c r="I37" s="3002"/>
    </row>
    <row r="38" spans="1:9">
      <c r="A38" s="1019"/>
      <c r="B38" s="1019"/>
    </row>
    <row r="39" spans="1:9">
      <c r="A39" s="1017" t="s">
        <v>818</v>
      </c>
      <c r="B39" s="1017" t="s">
        <v>820</v>
      </c>
    </row>
    <row r="40" spans="1:9">
      <c r="A40" s="1017"/>
      <c r="B40" s="1944">
        <f>项目基本情况!B5</f>
        <v>0</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王鹏（注册号：1120050019)、郑燚（注册号：1120070131)</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7" zoomScaleSheetLayoutView="100" zoomScalePageLayoutView="80" workbookViewId="0">
      <selection activeCell="B118" sqref="B118:I118"/>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8" t="s">
        <v>2124</v>
      </c>
      <c r="B1" s="2422"/>
      <c r="C1" s="2423"/>
      <c r="D1" s="2422"/>
      <c r="E1" s="2422"/>
      <c r="F1" s="2424" t="s">
        <v>2125</v>
      </c>
      <c r="G1" s="2073" t="s">
        <v>2126</v>
      </c>
      <c r="H1" s="2425" t="str">
        <f>IF(G1="现房","——","估价对象范围")</f>
        <v>估价对象范围</v>
      </c>
      <c r="I1" s="2426" t="s">
        <v>3294</v>
      </c>
    </row>
    <row r="2" spans="1:12" ht="21.75" customHeight="1" thickBot="1">
      <c r="A2" s="3138" t="str">
        <f>项目基本情况!S2</f>
        <v>北京市出让国有建设用地使用权及在建建筑物房地产</v>
      </c>
      <c r="B2" s="3139"/>
      <c r="C2" s="3139"/>
      <c r="D2" s="3139"/>
      <c r="E2" s="3139"/>
      <c r="F2" s="3139"/>
      <c r="G2" s="3139"/>
      <c r="H2" s="3139"/>
      <c r="I2" s="3140"/>
    </row>
    <row r="3" spans="1:12" ht="12.75">
      <c r="A3" s="3142" t="s">
        <v>2127</v>
      </c>
      <c r="B3" s="3143"/>
      <c r="C3" s="3143"/>
      <c r="D3" s="3143"/>
      <c r="E3" s="3143"/>
      <c r="F3" s="3143"/>
      <c r="G3" s="3143"/>
      <c r="H3" s="3143"/>
      <c r="I3" s="3143"/>
    </row>
    <row r="4" spans="1:12" ht="14.25">
      <c r="A4" s="2429" t="s">
        <v>2128</v>
      </c>
      <c r="B4" s="2430" t="s">
        <v>2129</v>
      </c>
      <c r="C4" s="2431" t="s">
        <v>3285</v>
      </c>
      <c r="D4" s="2431" t="s">
        <v>3286</v>
      </c>
      <c r="E4" s="3135" t="s">
        <v>2130</v>
      </c>
      <c r="F4" s="3136"/>
      <c r="G4" s="3136"/>
      <c r="H4" s="3136"/>
      <c r="I4" s="3144"/>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假设开发法</v>
      </c>
    </row>
    <row r="5" spans="1:12" ht="12.75">
      <c r="A5" s="3118" t="s">
        <v>2131</v>
      </c>
      <c r="B5" s="3046">
        <v>25</v>
      </c>
      <c r="C5" s="3121"/>
      <c r="D5" s="3141"/>
      <c r="E5" s="140" t="s">
        <v>2132</v>
      </c>
      <c r="F5" s="2433"/>
      <c r="G5" s="2433"/>
      <c r="H5" s="2433"/>
      <c r="I5" s="1833"/>
    </row>
    <row r="6" spans="1:12" ht="12.75">
      <c r="A6" s="3118"/>
      <c r="B6" s="3046"/>
      <c r="C6" s="3122"/>
      <c r="D6" s="3141"/>
      <c r="E6" s="140" t="s">
        <v>2133</v>
      </c>
      <c r="F6" s="2433"/>
      <c r="G6" s="2433"/>
      <c r="H6" s="2433"/>
      <c r="I6" s="1833"/>
    </row>
    <row r="7" spans="1:12" ht="12.75">
      <c r="A7" s="3118"/>
      <c r="B7" s="3046"/>
      <c r="C7" s="3123"/>
      <c r="D7" s="3141"/>
      <c r="E7" s="140" t="s">
        <v>2134</v>
      </c>
      <c r="F7" s="2433"/>
      <c r="G7" s="2433"/>
      <c r="H7" s="2433"/>
      <c r="I7" s="1833"/>
    </row>
    <row r="8" spans="1:12" ht="12.75">
      <c r="A8" s="3118" t="s">
        <v>2135</v>
      </c>
      <c r="B8" s="3046">
        <v>15</v>
      </c>
      <c r="C8" s="3121"/>
      <c r="D8" s="3141"/>
      <c r="E8" s="140" t="s">
        <v>2136</v>
      </c>
      <c r="F8" s="2433"/>
      <c r="G8" s="2433"/>
      <c r="H8" s="2433"/>
      <c r="I8" s="1833"/>
    </row>
    <row r="9" spans="1:12" ht="12.75">
      <c r="A9" s="3118"/>
      <c r="B9" s="3046"/>
      <c r="C9" s="3123"/>
      <c r="D9" s="3141"/>
      <c r="E9" s="140" t="s">
        <v>2137</v>
      </c>
      <c r="F9" s="2433"/>
      <c r="G9" s="2433"/>
      <c r="H9" s="2433"/>
      <c r="I9" s="1833"/>
    </row>
    <row r="10" spans="1:12" ht="12.75">
      <c r="A10" s="3118" t="s">
        <v>2138</v>
      </c>
      <c r="B10" s="3046">
        <v>15</v>
      </c>
      <c r="C10" s="3121"/>
      <c r="D10" s="3141"/>
      <c r="E10" s="140" t="s">
        <v>2139</v>
      </c>
      <c r="F10" s="2433"/>
      <c r="G10" s="2433"/>
      <c r="H10" s="2433"/>
      <c r="I10" s="1833"/>
    </row>
    <row r="11" spans="1:12" ht="12.75">
      <c r="A11" s="3118"/>
      <c r="B11" s="3046"/>
      <c r="C11" s="3123"/>
      <c r="D11" s="3141"/>
      <c r="E11" s="140" t="s">
        <v>2140</v>
      </c>
      <c r="F11" s="2433"/>
      <c r="G11" s="2433"/>
      <c r="H11" s="2433"/>
      <c r="I11" s="1833"/>
    </row>
    <row r="12" spans="1:12" ht="12.75">
      <c r="A12" s="3118" t="s">
        <v>2141</v>
      </c>
      <c r="B12" s="3046">
        <v>15</v>
      </c>
      <c r="C12" s="3121"/>
      <c r="D12" s="3141"/>
      <c r="E12" s="140" t="s">
        <v>2142</v>
      </c>
      <c r="F12" s="2433"/>
      <c r="G12" s="2433"/>
      <c r="H12" s="2433"/>
      <c r="I12" s="1833"/>
    </row>
    <row r="13" spans="1:12" ht="12.75">
      <c r="A13" s="3118"/>
      <c r="B13" s="3046"/>
      <c r="C13" s="3123"/>
      <c r="D13" s="3141"/>
      <c r="E13" s="140" t="s">
        <v>2143</v>
      </c>
      <c r="F13" s="2433"/>
      <c r="G13" s="2433"/>
      <c r="H13" s="2433"/>
      <c r="I13" s="1833"/>
    </row>
    <row r="14" spans="1:12" ht="12.75">
      <c r="A14" s="3118" t="s">
        <v>2144</v>
      </c>
      <c r="B14" s="3046">
        <v>30</v>
      </c>
      <c r="C14" s="3121">
        <v>3</v>
      </c>
      <c r="D14" s="3141">
        <v>7</v>
      </c>
      <c r="E14" s="140" t="s">
        <v>2145</v>
      </c>
      <c r="F14" s="2433"/>
      <c r="G14" s="2433"/>
      <c r="H14" s="2433"/>
      <c r="I14" s="1833"/>
    </row>
    <row r="15" spans="1:12" ht="12.75">
      <c r="A15" s="3118"/>
      <c r="B15" s="3046"/>
      <c r="C15" s="3122"/>
      <c r="D15" s="3141"/>
      <c r="E15" s="140" t="s">
        <v>2146</v>
      </c>
      <c r="F15" s="2433"/>
      <c r="G15" s="2433"/>
      <c r="H15" s="2433"/>
      <c r="I15" s="1833"/>
    </row>
    <row r="16" spans="1:12" ht="12.75">
      <c r="A16" s="3118"/>
      <c r="B16" s="3046"/>
      <c r="C16" s="3123"/>
      <c r="D16" s="3141"/>
      <c r="E16" s="140" t="s">
        <v>2147</v>
      </c>
      <c r="F16" s="2433"/>
      <c r="G16" s="2433"/>
      <c r="H16" s="2433"/>
      <c r="I16" s="1833"/>
    </row>
    <row r="17" spans="1:35" ht="15">
      <c r="A17" s="2434" t="s">
        <v>2148</v>
      </c>
      <c r="B17" s="64"/>
      <c r="C17" s="141">
        <f>SUM(C5:C16)</f>
        <v>3</v>
      </c>
      <c r="D17" s="141">
        <f>SUM(D5:D16)</f>
        <v>7</v>
      </c>
      <c r="E17" s="138"/>
      <c r="F17" s="138"/>
      <c r="G17" s="138"/>
      <c r="H17" s="138"/>
      <c r="I17" s="138"/>
      <c r="K17" s="2432"/>
      <c r="L17" s="2435" t="s">
        <v>2149</v>
      </c>
      <c r="M17" s="2435" t="s">
        <v>2150</v>
      </c>
    </row>
    <row r="18" spans="1:35" ht="15.75" thickBot="1">
      <c r="A18" s="2436" t="s">
        <v>2151</v>
      </c>
      <c r="B18" s="2437"/>
      <c r="C18" s="142">
        <f>ROUND(C17/SUM(C17:D17),2)</f>
        <v>0.3</v>
      </c>
      <c r="D18" s="142">
        <f>1-C18</f>
        <v>0.7</v>
      </c>
      <c r="E18" s="138"/>
      <c r="F18" s="138"/>
      <c r="G18" s="138"/>
      <c r="H18" s="138"/>
      <c r="I18" s="138"/>
      <c r="K18" s="2432" t="s">
        <v>2152</v>
      </c>
      <c r="L18" s="2432">
        <f>IF(C1="",'数据-汇总表'!E3,SUMIF(项目类型,C1,'数据-汇总表'!E17:E26)+SUMIF(项目类型,C1,'数据-汇总表'!I17:I26))</f>
        <v>41596.89</v>
      </c>
      <c r="M18" s="2432">
        <f>IF(C1="",'数据-汇总表'!E3,SUMIF(项目类型,C1,'数据-汇总表'!E17:E26))</f>
        <v>41596.89</v>
      </c>
    </row>
    <row r="19" spans="1:35" ht="15">
      <c r="A19" s="2438" t="s">
        <v>2153</v>
      </c>
      <c r="B19" s="2439" t="s">
        <v>2154</v>
      </c>
      <c r="C19" s="143">
        <f ca="1">SUMIF(INDIRECT("'"&amp;C4&amp;"'"&amp;"!A:A"),结果表!B19,INDIRECT("'"&amp;C4&amp;"'"&amp;"!B:B"))</f>
        <v>243623</v>
      </c>
      <c r="D19" s="144">
        <f ca="1">SUMIF(INDIRECT("'"&amp;D4&amp;"'"&amp;"!A:A"),结果表!B19,INDIRECT("'"&amp;D4&amp;"'"&amp;"!B:B"))</f>
        <v>145210</v>
      </c>
      <c r="E19" s="2438" t="s">
        <v>2155</v>
      </c>
      <c r="F19" s="2439" t="s">
        <v>2154</v>
      </c>
      <c r="G19" s="145">
        <f ca="1">ROUND(C19*$C$18+D19*$D$18,0)</f>
        <v>174734</v>
      </c>
      <c r="H19" s="2440" t="s">
        <v>2156</v>
      </c>
      <c r="I19" s="138"/>
      <c r="K19" s="2432" t="s">
        <v>2157</v>
      </c>
      <c r="L19" s="2432">
        <f>IF(C1="",'数据-汇总表'!D3,SUMIF(项目类型,C1,'数据-汇总表'!D17:D26)+SUMIF(项目类型,C1,'数据-汇总表'!H17:H27))</f>
        <v>8452.18</v>
      </c>
      <c r="M19" s="2432">
        <f>IF(C1="",'数据-汇总表'!D3,SUMIF(项目类型,C1,'数据-汇总表'!D17:D26))</f>
        <v>8452.18</v>
      </c>
    </row>
    <row r="20" spans="1:35" ht="15">
      <c r="A20" s="2441"/>
      <c r="B20" s="1250" t="s">
        <v>2158</v>
      </c>
      <c r="C20" s="146">
        <f ca="1">SUMIF(INDIRECT("'"&amp;C4&amp;"'"&amp;"!A:A"),结果表!B20,INDIRECT("'"&amp;C4&amp;"'"&amp;"!B:B"))</f>
        <v>58568</v>
      </c>
      <c r="D20" s="147">
        <f ca="1">SUMIF(INDIRECT("'"&amp;D4&amp;"'"&amp;"!A:A"),结果表!B20,INDIRECT("'"&amp;D4&amp;"'"&amp;"!B:B"))</f>
        <v>34909</v>
      </c>
      <c r="E20" s="2441"/>
      <c r="F20" s="1250" t="s">
        <v>2158</v>
      </c>
      <c r="G20" s="148">
        <f ca="1">ROUND(C20*$C$18+D20*$D$18,0)</f>
        <v>42007</v>
      </c>
      <c r="H20" s="983" t="s">
        <v>2159</v>
      </c>
      <c r="I20" s="138"/>
    </row>
    <row r="21" spans="1:35" ht="15" customHeight="1" thickBot="1">
      <c r="A21" s="1003"/>
      <c r="B21" s="2442" t="s">
        <v>2160</v>
      </c>
      <c r="C21" s="789">
        <f ca="1">ROUND(C19*10000/L19,0)</f>
        <v>288237</v>
      </c>
      <c r="D21" s="790">
        <f ca="1">ROUND(D19*10000/L19,0)</f>
        <v>171802</v>
      </c>
      <c r="E21" s="1003"/>
      <c r="F21" s="2442" t="s">
        <v>2160</v>
      </c>
      <c r="G21" s="149">
        <f ca="1">ROUND(G19*10000/L19,0)</f>
        <v>206732</v>
      </c>
      <c r="H21" s="2443" t="s">
        <v>2159</v>
      </c>
      <c r="I21" s="138"/>
    </row>
    <row r="22" spans="1:35" ht="15" thickBot="1">
      <c r="A22" s="2284" t="s">
        <v>2161</v>
      </c>
      <c r="B22" s="2444"/>
      <c r="C22" s="2445"/>
      <c r="D22" s="791">
        <f ca="1">IF(C19&lt;D19,D19/C19-1,C19/D19-1)</f>
        <v>0.6777288065560223</v>
      </c>
      <c r="E22" s="138"/>
      <c r="F22" s="138"/>
      <c r="G22" s="138"/>
      <c r="H22" s="138"/>
      <c r="I22" s="138"/>
    </row>
    <row r="23" spans="1:35" ht="13.5" thickBot="1">
      <c r="A23" s="2422"/>
      <c r="B23" s="2422"/>
      <c r="C23" s="2422"/>
      <c r="D23" s="2422"/>
      <c r="E23" s="138"/>
      <c r="F23" s="138"/>
      <c r="G23" s="138"/>
      <c r="H23" s="138"/>
      <c r="I23" s="138"/>
    </row>
    <row r="24" spans="1:35" ht="14.25">
      <c r="A24" s="3112" t="s">
        <v>2162</v>
      </c>
      <c r="B24" s="2439" t="s">
        <v>2154</v>
      </c>
      <c r="C24" s="145">
        <f>IF(B30=0,0,D30)</f>
        <v>0</v>
      </c>
      <c r="D24" s="2446"/>
      <c r="E24" s="138"/>
      <c r="F24" s="138"/>
      <c r="G24" s="138"/>
      <c r="H24" s="138"/>
      <c r="I24" s="138"/>
    </row>
    <row r="25" spans="1:35" ht="14.25">
      <c r="A25" s="3113"/>
      <c r="B25" s="1250" t="s">
        <v>2158</v>
      </c>
      <c r="C25" s="150">
        <f>IF(B30=0,0,C30)</f>
        <v>0</v>
      </c>
      <c r="D25" s="2447"/>
      <c r="E25" s="138"/>
      <c r="F25" s="138"/>
      <c r="G25" s="138"/>
      <c r="H25" s="138"/>
      <c r="I25" s="138"/>
    </row>
    <row r="26" spans="1:35" ht="13.5" customHeight="1">
      <c r="A26" s="2448" t="s">
        <v>2163</v>
      </c>
      <c r="B26" s="151" t="s">
        <v>2164</v>
      </c>
      <c r="C26" s="151" t="s">
        <v>2165</v>
      </c>
      <c r="D26" s="152" t="s">
        <v>2166</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2167</v>
      </c>
      <c r="B30" s="151"/>
      <c r="C30" s="151"/>
      <c r="D30" s="151"/>
      <c r="E30" s="2930" t="s">
        <v>3042</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2168</v>
      </c>
      <c r="B32" s="2452"/>
      <c r="C32" s="153">
        <f ca="1">IF(D32="总价",G19-C24,G20-C25)</f>
        <v>174734</v>
      </c>
      <c r="D32" s="2453" t="s">
        <v>2169</v>
      </c>
      <c r="E32" s="138"/>
      <c r="F32" s="138"/>
      <c r="G32" s="138"/>
      <c r="H32" s="138"/>
      <c r="I32" s="138"/>
    </row>
    <row r="33" spans="1:15" ht="15">
      <c r="A33" s="960" t="s">
        <v>2170</v>
      </c>
      <c r="B33" s="2454"/>
      <c r="C33" s="2455" t="s">
        <v>3353</v>
      </c>
      <c r="D33" s="2456" t="s">
        <v>3285</v>
      </c>
      <c r="E33" s="2457" t="s">
        <v>2171</v>
      </c>
      <c r="F33" s="2458" t="str">
        <f>IF(D32="楼面单价","取值（单价）","取值（总价）")</f>
        <v>取值（总价）</v>
      </c>
      <c r="G33" s="138"/>
      <c r="H33" s="138"/>
      <c r="I33" s="138"/>
    </row>
    <row r="34" spans="1:15" ht="15">
      <c r="A34" s="2459"/>
      <c r="B34" s="2460" t="s">
        <v>2172</v>
      </c>
      <c r="C34" s="157">
        <f ca="1">IF(C33="自定义",F34,C32-C35)</f>
        <v>163551</v>
      </c>
      <c r="D34" s="1058">
        <f ca="1">IF(C33="自定义",ROUND(C34/C32,3),IF(C33="收益比率",SUMIF(INDIRECT("'"&amp;D33&amp;"'"&amp;"!b:b"),"土地收益比率",INDIRECT("'"&amp;D33&amp;"'"&amp;"!c:c")),SUMIF(INDIRECT("'"&amp;D33&amp;"'"&amp;"!b:b"),"土地成本比率",INDIRECT("'"&amp;D33&amp;"'"&amp;"!c:c"))))</f>
        <v>0.93599999999999994</v>
      </c>
      <c r="E34" s="2461" t="s">
        <v>2173</v>
      </c>
      <c r="F34" s="1739"/>
      <c r="G34" s="138"/>
      <c r="H34" s="138"/>
      <c r="I34" s="138"/>
    </row>
    <row r="35" spans="1:15" ht="15.75" thickBot="1">
      <c r="A35" s="2462"/>
      <c r="B35" s="2463" t="s">
        <v>2174</v>
      </c>
      <c r="C35" s="1444">
        <f ca="1">IF(C33="自定义",F35,ROUND(C32*D35,0))</f>
        <v>11183</v>
      </c>
      <c r="D35" s="1445">
        <f ca="1">IF(C33="自定义",ROUND(C35/C32,3),IF(C33="收益比率",SUMIF(INDIRECT("'"&amp;D33&amp;"'"&amp;"!b:b"),"建筑物收益比率",INDIRECT("'"&amp;D33&amp;"'"&amp;"!c:c")),SUMIF(INDIRECT("'"&amp;D33&amp;"'"&amp;"!b:b"),"建筑物成本比率",INDIRECT("'"&amp;D33&amp;"'"&amp;"!c:c"))))</f>
        <v>6.4000000000000001E-2</v>
      </c>
      <c r="E35" s="2464" t="s">
        <v>2175</v>
      </c>
      <c r="F35" s="163"/>
      <c r="G35" s="138"/>
      <c r="H35" s="138"/>
      <c r="I35" s="138"/>
    </row>
    <row r="36" spans="1:15" ht="15.75" thickBot="1">
      <c r="A36" s="3130" t="s">
        <v>2176</v>
      </c>
      <c r="B36" s="2465" t="s">
        <v>2177</v>
      </c>
      <c r="C36" s="154"/>
      <c r="D36" s="2466"/>
      <c r="E36" s="2467"/>
      <c r="F36" s="2468"/>
      <c r="G36" s="138"/>
      <c r="H36" s="138"/>
      <c r="I36" s="138"/>
    </row>
    <row r="37" spans="1:15" ht="15.75" thickBot="1">
      <c r="A37" s="3131"/>
      <c r="B37" s="2270" t="s">
        <v>2178</v>
      </c>
      <c r="C37" s="156"/>
      <c r="D37" s="1395"/>
      <c r="E37" s="1395"/>
      <c r="F37" s="2468"/>
      <c r="G37" s="138"/>
      <c r="H37" s="138"/>
      <c r="I37" s="138"/>
    </row>
    <row r="38" spans="1:15" ht="15.75" thickBot="1">
      <c r="A38" s="3132"/>
      <c r="B38" s="2469" t="s">
        <v>2179</v>
      </c>
      <c r="C38" s="727"/>
      <c r="D38" s="2470" t="s">
        <v>2180</v>
      </c>
      <c r="E38" s="1395"/>
      <c r="F38" s="2468"/>
      <c r="G38" s="138"/>
      <c r="H38" s="138"/>
      <c r="I38" s="138"/>
    </row>
    <row r="39" spans="1:15" ht="15">
      <c r="A39" s="2441" t="s">
        <v>2181</v>
      </c>
      <c r="B39" s="2471" t="s">
        <v>2182</v>
      </c>
      <c r="C39" s="2472" t="s">
        <v>2183</v>
      </c>
      <c r="D39" s="2472" t="s">
        <v>2184</v>
      </c>
      <c r="E39" s="2473" t="s">
        <v>2185</v>
      </c>
      <c r="F39" s="2468"/>
      <c r="G39" s="138"/>
      <c r="H39" s="138"/>
      <c r="I39" s="138"/>
    </row>
    <row r="40" spans="1:15" ht="14.25">
      <c r="A40" s="2474" t="s">
        <v>2186</v>
      </c>
      <c r="B40" s="158"/>
      <c r="C40" s="159">
        <f ca="1">ROUND(成本法!C6/'数据-汇总表'!E3*10000*25%,0)</f>
        <v>9727</v>
      </c>
      <c r="D40" s="3001">
        <v>3.0499999999999999E-2</v>
      </c>
      <c r="E40" s="160"/>
      <c r="F40" s="2468"/>
      <c r="G40" s="138"/>
      <c r="H40" s="138"/>
      <c r="I40" s="138"/>
    </row>
    <row r="41" spans="1:15" ht="14.25">
      <c r="A41" s="2474" t="s">
        <v>2187</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8"/>
      <c r="B43" s="2168"/>
      <c r="C43" s="2168"/>
      <c r="D43" s="2168"/>
      <c r="E43" s="2168"/>
      <c r="F43" s="2476"/>
      <c r="G43" s="2476"/>
      <c r="H43" s="2476"/>
      <c r="I43" s="2477"/>
    </row>
    <row r="44" spans="1:15" ht="18.75">
      <c r="A44" s="2478" t="s">
        <v>2188</v>
      </c>
      <c r="B44" s="2479"/>
      <c r="C44" s="2479"/>
      <c r="D44" s="2480"/>
      <c r="E44" s="2480"/>
      <c r="F44" s="2481"/>
      <c r="G44" s="2481"/>
      <c r="H44" s="2481"/>
      <c r="I44" s="2481"/>
      <c r="J44" s="2482" t="s">
        <v>2189</v>
      </c>
      <c r="K44" s="2483"/>
      <c r="L44" s="2483"/>
      <c r="M44" s="2483"/>
      <c r="N44" s="2483"/>
      <c r="O44" s="2483"/>
    </row>
    <row r="45" spans="1:15" ht="14.25" customHeight="1" thickBot="1">
      <c r="A45" s="3109" t="s">
        <v>2190</v>
      </c>
      <c r="B45" s="3110"/>
      <c r="C45" s="3111"/>
      <c r="D45" s="164">
        <f ca="1">ROUND(H101*F45,0)</f>
        <v>174734</v>
      </c>
      <c r="E45" s="165" t="s">
        <v>2191</v>
      </c>
      <c r="F45" s="166">
        <v>1</v>
      </c>
      <c r="G45" s="167" t="s">
        <v>2192</v>
      </c>
      <c r="H45" s="138"/>
      <c r="I45" s="138"/>
      <c r="J45" s="3169" t="s">
        <v>2193</v>
      </c>
      <c r="K45" s="3169"/>
      <c r="L45" s="3169"/>
      <c r="M45" s="3169"/>
      <c r="N45" s="3169"/>
      <c r="O45" s="3169"/>
    </row>
    <row r="46" spans="1:15" ht="14.25" customHeight="1">
      <c r="A46" s="3106" t="s">
        <v>2194</v>
      </c>
      <c r="B46" s="3107"/>
      <c r="C46" s="3107"/>
      <c r="D46" s="3107"/>
      <c r="E46" s="3107"/>
      <c r="F46" s="3107"/>
      <c r="G46" s="3108"/>
      <c r="H46" s="2484"/>
      <c r="I46" s="168"/>
      <c r="J46" s="1811">
        <v>1</v>
      </c>
      <c r="K46" s="3169" t="s">
        <v>2195</v>
      </c>
      <c r="L46" s="3169"/>
      <c r="M46" s="3189"/>
      <c r="N46" s="3189"/>
      <c r="O46" s="3189"/>
    </row>
    <row r="47" spans="1:15" ht="12" customHeight="1">
      <c r="A47" s="169" t="s">
        <v>2196</v>
      </c>
      <c r="B47" s="170"/>
      <c r="C47" s="171"/>
      <c r="D47" s="172" t="s">
        <v>2197</v>
      </c>
      <c r="E47" s="24" t="s">
        <v>2198</v>
      </c>
      <c r="F47" s="173" t="s">
        <v>2199</v>
      </c>
      <c r="G47" s="174" t="s">
        <v>2200</v>
      </c>
      <c r="H47" s="2484"/>
      <c r="I47" s="168"/>
      <c r="J47" s="1811">
        <v>2</v>
      </c>
      <c r="K47" s="3169" t="s">
        <v>2201</v>
      </c>
      <c r="L47" s="3169"/>
      <c r="M47" s="3190">
        <f>'数据-取费表'!B2</f>
        <v>43131</v>
      </c>
      <c r="N47" s="3190"/>
      <c r="O47" s="3190"/>
    </row>
    <row r="48" spans="1:15" ht="25.5">
      <c r="A48" s="3137" t="s">
        <v>2202</v>
      </c>
      <c r="B48" s="3120"/>
      <c r="C48" s="3120"/>
      <c r="D48" s="140">
        <f>IF(H48="情况1",0,IF(H48="情况2",D52,IF(H48="情况3",D53,IF(H48="情况4",D54))))</f>
        <v>0</v>
      </c>
      <c r="E48" s="1800" t="str">
        <f>IF(H48="情况4","(销售额-原购置价)×税（费）率","销售额×税（费）率")</f>
        <v>销售额×税（费）率</v>
      </c>
      <c r="F48" s="175" t="str">
        <f>IF(H48="情况1","免征",'数据-取费表'!B41)</f>
        <v>免征</v>
      </c>
      <c r="G48" s="2485" t="s">
        <v>2203</v>
      </c>
      <c r="H48" s="2486" t="s">
        <v>2204</v>
      </c>
      <c r="I48" s="2484"/>
      <c r="J48" s="1811">
        <v>3</v>
      </c>
      <c r="K48" s="3169" t="s">
        <v>2205</v>
      </c>
      <c r="L48" s="3169"/>
      <c r="M48" s="3191">
        <f ca="1">H101</f>
        <v>174734</v>
      </c>
      <c r="N48" s="3191"/>
      <c r="O48" s="3191"/>
    </row>
    <row r="49" spans="1:35" ht="25.5" customHeight="1">
      <c r="A49" s="176" t="s">
        <v>2206</v>
      </c>
      <c r="B49" s="3105" t="s">
        <v>2207</v>
      </c>
      <c r="C49" s="3105"/>
      <c r="D49" s="177">
        <v>0</v>
      </c>
      <c r="E49" s="23" t="s">
        <v>2208</v>
      </c>
      <c r="F49" s="28" t="s">
        <v>34</v>
      </c>
      <c r="G49" s="3175"/>
      <c r="H49" s="138"/>
      <c r="I49" s="2487"/>
      <c r="J49" s="1811">
        <v>4</v>
      </c>
      <c r="K49" s="3169" t="str">
        <f>IF(项目基本情况!E8="房地产抵押价值","房地产抵押价值","抵押担保权已注销时的房地产抵押价值")</f>
        <v>房地产抵押价值</v>
      </c>
      <c r="L49" s="3169"/>
      <c r="M49" s="3191">
        <f ca="1">IF(项目基本情况!E8="房地产抵押价值",H107,H109)</f>
        <v>174734</v>
      </c>
      <c r="N49" s="3191"/>
      <c r="O49" s="3191"/>
    </row>
    <row r="50" spans="1:35" ht="25.5" customHeight="1">
      <c r="A50" s="178"/>
      <c r="B50" s="3105" t="s">
        <v>2209</v>
      </c>
      <c r="C50" s="3105"/>
      <c r="D50" s="179"/>
      <c r="E50" s="31"/>
      <c r="F50" s="180"/>
      <c r="G50" s="3176"/>
      <c r="H50" s="138"/>
      <c r="I50" s="2487"/>
      <c r="J50" s="3169" t="s">
        <v>2210</v>
      </c>
      <c r="K50" s="3169"/>
      <c r="L50" s="3169"/>
      <c r="M50" s="3169"/>
      <c r="N50" s="3169"/>
      <c r="O50" s="3169"/>
    </row>
    <row r="51" spans="1:35" ht="12" customHeight="1">
      <c r="A51" s="181"/>
      <c r="B51" s="3105" t="s">
        <v>2211</v>
      </c>
      <c r="C51" s="3105"/>
      <c r="D51" s="182"/>
      <c r="E51" s="30"/>
      <c r="F51" s="180"/>
      <c r="G51" s="3177"/>
      <c r="H51" s="138"/>
      <c r="I51" s="2487"/>
      <c r="J51" s="2488" t="s">
        <v>2212</v>
      </c>
      <c r="K51" s="3169" t="s">
        <v>2213</v>
      </c>
      <c r="L51" s="3169"/>
      <c r="M51" s="2488" t="s">
        <v>2214</v>
      </c>
      <c r="N51" s="2488" t="s">
        <v>2215</v>
      </c>
      <c r="O51" s="2488" t="s">
        <v>2216</v>
      </c>
    </row>
    <row r="52" spans="1:35" ht="24" customHeight="1">
      <c r="A52" s="183" t="s">
        <v>2217</v>
      </c>
      <c r="B52" s="3105" t="s">
        <v>2218</v>
      </c>
      <c r="C52" s="3105"/>
      <c r="D52" s="182">
        <f ca="1">ROUND(D45*'数据-取费表'!B41/(1+'数据-取费表'!C42),0)</f>
        <v>9319</v>
      </c>
      <c r="E52" s="11" t="s">
        <v>2219</v>
      </c>
      <c r="F52" s="184">
        <f>'数据-取费表'!B41</f>
        <v>5.6000000000000001E-2</v>
      </c>
      <c r="G52" s="2489"/>
      <c r="H52" s="138"/>
      <c r="I52" s="2487"/>
      <c r="J52" s="1811">
        <v>1</v>
      </c>
      <c r="K52" s="3170" t="s">
        <v>2220</v>
      </c>
      <c r="L52" s="3170"/>
      <c r="M52" s="1753">
        <f>D48</f>
        <v>0</v>
      </c>
      <c r="N52" s="1811" t="str">
        <f>E48</f>
        <v>销售额×税（费）率</v>
      </c>
      <c r="O52" s="1754" t="str">
        <f>F48</f>
        <v>免征</v>
      </c>
    </row>
    <row r="53" spans="1:35" ht="12" customHeight="1">
      <c r="A53" s="183" t="s">
        <v>2221</v>
      </c>
      <c r="B53" s="3128" t="s">
        <v>2222</v>
      </c>
      <c r="C53" s="3129"/>
      <c r="D53" s="182">
        <f ca="1">ROUND(D45*'数据-取费表'!B41/(1+'数据-取费表'!C42),0)</f>
        <v>9319</v>
      </c>
      <c r="E53" s="11" t="s">
        <v>2219</v>
      </c>
      <c r="F53" s="184">
        <f>'数据-取费表'!B41</f>
        <v>5.6000000000000001E-2</v>
      </c>
      <c r="G53" s="2489"/>
      <c r="H53" s="138"/>
      <c r="I53" s="2487"/>
      <c r="J53" s="1811">
        <v>2</v>
      </c>
      <c r="K53" s="3170" t="s">
        <v>2223</v>
      </c>
      <c r="L53" s="3170"/>
      <c r="M53" s="1753">
        <f t="shared" ref="M53:O54" ca="1" si="0">D55</f>
        <v>87</v>
      </c>
      <c r="N53" s="1811" t="str">
        <f t="shared" si="0"/>
        <v>销售额×税（费）率</v>
      </c>
      <c r="O53" s="1754">
        <f t="shared" si="0"/>
        <v>5.0000000000000001E-4</v>
      </c>
    </row>
    <row r="54" spans="1:35" ht="12" customHeight="1">
      <c r="A54" s="183" t="s">
        <v>2224</v>
      </c>
      <c r="B54" s="3128" t="s">
        <v>2225</v>
      </c>
      <c r="C54" s="3129"/>
      <c r="D54" s="182">
        <f ca="1">C68</f>
        <v>9319</v>
      </c>
      <c r="E54" s="30" t="s">
        <v>2226</v>
      </c>
      <c r="F54" s="184">
        <f>'数据-取费表'!B41</f>
        <v>5.6000000000000001E-2</v>
      </c>
      <c r="G54" s="2489"/>
      <c r="H54" s="2490"/>
      <c r="I54" s="2487"/>
      <c r="J54" s="1811">
        <v>3</v>
      </c>
      <c r="K54" s="3170" t="s">
        <v>2227</v>
      </c>
      <c r="L54" s="3170"/>
      <c r="M54" s="1753">
        <f t="shared" ca="1" si="0"/>
        <v>98900</v>
      </c>
      <c r="N54" s="1811" t="str">
        <f t="shared" si="0"/>
        <v>增值额×税（费）率</v>
      </c>
      <c r="O54" s="1755" t="str">
        <f t="shared" si="0"/>
        <v>——</v>
      </c>
    </row>
    <row r="55" spans="1:35" ht="24" customHeight="1">
      <c r="A55" s="3119" t="s">
        <v>2228</v>
      </c>
      <c r="B55" s="3120"/>
      <c r="C55" s="3120"/>
      <c r="D55" s="185">
        <f ca="1">IF(H55="个人住宅",0,ROUND(D45*I55,0))</f>
        <v>87</v>
      </c>
      <c r="E55" s="11" t="s">
        <v>2229</v>
      </c>
      <c r="F55" s="184">
        <f>IF(H55="正常",I55,"免征")</f>
        <v>5.0000000000000001E-4</v>
      </c>
      <c r="G55" s="2489"/>
      <c r="H55" s="2486" t="s">
        <v>2230</v>
      </c>
      <c r="I55" s="186">
        <f>'数据-取费表'!B49</f>
        <v>5.0000000000000001E-4</v>
      </c>
      <c r="J55" s="1811" t="str">
        <f>IF(H59="非个人房产","",4)</f>
        <v/>
      </c>
      <c r="K55" s="3170" t="str">
        <f>IF(H59="非个人房产","——","个人所得税")</f>
        <v>——</v>
      </c>
      <c r="L55" s="3170"/>
      <c r="M55" s="1756" t="str">
        <f>D59</f>
        <v>——</v>
      </c>
      <c r="N55" s="1809" t="str">
        <f>E59</f>
        <v>——</v>
      </c>
      <c r="O55" s="1757" t="str">
        <f>F59</f>
        <v>——</v>
      </c>
    </row>
    <row r="56" spans="1:35" ht="24.75">
      <c r="A56" s="3119" t="s">
        <v>2231</v>
      </c>
      <c r="B56" s="3120"/>
      <c r="C56" s="3120"/>
      <c r="D56" s="185">
        <f ca="1">IF(H56="个人住宅",D57,D58)</f>
        <v>98900</v>
      </c>
      <c r="E56" s="11" t="s">
        <v>2232</v>
      </c>
      <c r="F56" s="184" t="str">
        <f>IF(H56="正常",F58,"免征")</f>
        <v>——</v>
      </c>
      <c r="G56" s="2491" t="s">
        <v>2233</v>
      </c>
      <c r="H56" s="2492" t="s">
        <v>2230</v>
      </c>
      <c r="I56" s="2493"/>
      <c r="J56" s="1811" t="str">
        <f>IF(项目基本情况!K6="上海银行",IF(J55="",4,J55+1),"")</f>
        <v/>
      </c>
      <c r="K56" s="3193" t="str">
        <f>IF(项目基本情况!K6="上海银行","其他处置费用","")</f>
        <v/>
      </c>
      <c r="L56" s="3194"/>
      <c r="M56" s="1753" t="str">
        <f>IF(项目基本情况!K6="上海银行",M69,"")</f>
        <v/>
      </c>
      <c r="N56" s="3196" t="str">
        <f>IF(项目基本情况!K6="上海银行","包含处置中涉及的律师、诉讼、拍卖、评估等费用","")</f>
        <v/>
      </c>
      <c r="O56" s="3197"/>
    </row>
    <row r="57" spans="1:35" ht="12.75">
      <c r="A57" s="183" t="s">
        <v>2206</v>
      </c>
      <c r="B57" s="3135" t="s">
        <v>2234</v>
      </c>
      <c r="C57" s="3144"/>
      <c r="D57" s="187">
        <v>0</v>
      </c>
      <c r="E57" s="23" t="s">
        <v>2208</v>
      </c>
      <c r="F57" s="155"/>
      <c r="G57" s="2489"/>
      <c r="H57" s="2493"/>
      <c r="I57" s="2493"/>
      <c r="J57" s="3170">
        <f>IF(AND(J55="",J56=""),4,IF(项目基本情况!K6="上海银行",结果表!J56+1,结果表!J55+1))</f>
        <v>4</v>
      </c>
      <c r="K57" s="3170" t="s">
        <v>2235</v>
      </c>
      <c r="L57" s="2494" t="s">
        <v>2236</v>
      </c>
      <c r="M57" s="1758"/>
      <c r="N57" s="1759">
        <f ca="1">SUMIF(M52:M56,"&lt;9e307")</f>
        <v>98987</v>
      </c>
      <c r="O57" s="2495"/>
      <c r="P57" s="1752">
        <f ca="1">N57/M49</f>
        <v>0.56650108164409907</v>
      </c>
    </row>
    <row r="58" spans="1:35" ht="24.75">
      <c r="A58" s="183" t="s">
        <v>2217</v>
      </c>
      <c r="B58" s="3135" t="s">
        <v>2237</v>
      </c>
      <c r="C58" s="3136"/>
      <c r="D58" s="185">
        <f ca="1">IF(H58="转让取得",C81,C97)</f>
        <v>98900</v>
      </c>
      <c r="E58" s="11" t="s">
        <v>2232</v>
      </c>
      <c r="F58" s="24" t="s">
        <v>34</v>
      </c>
      <c r="G58" s="2489"/>
      <c r="H58" s="2492" t="s">
        <v>2238</v>
      </c>
      <c r="I58" s="2493"/>
      <c r="J58" s="3170"/>
      <c r="K58" s="3170"/>
      <c r="L58" s="2494" t="s">
        <v>2239</v>
      </c>
      <c r="M58" s="1760"/>
      <c r="N58" s="2496" t="str">
        <f ca="1">NUMBERSTRING(INT(N57*10000),2)&amp;"元整"</f>
        <v>玖亿捌仟玖佰捌拾柒万元整</v>
      </c>
      <c r="O58" s="2497"/>
    </row>
    <row r="59" spans="1:35" ht="24.75" thickBot="1">
      <c r="A59" s="3173" t="s">
        <v>2240</v>
      </c>
      <c r="B59" s="3174"/>
      <c r="C59" s="3174"/>
      <c r="D59" s="188" t="str">
        <f>IF(H59="非个人房产","——",IF(H59="个人住宅",0,ROUND(D45*I59,0)))</f>
        <v>——</v>
      </c>
      <c r="E59" s="189" t="str">
        <f>IF(H59="非个人房产","——","销售额×税（费）率")</f>
        <v>——</v>
      </c>
      <c r="F59" s="190" t="str">
        <f>IF(H59="非个人房产","——",IF(H59="个人住宅","免征",I59))</f>
        <v>——</v>
      </c>
      <c r="G59" s="2498" t="s">
        <v>2233</v>
      </c>
      <c r="H59" s="2492" t="s">
        <v>2241</v>
      </c>
      <c r="I59" s="191">
        <v>0.01</v>
      </c>
      <c r="J59" s="3171">
        <f>J57+1</f>
        <v>5</v>
      </c>
      <c r="K59" s="3170" t="s">
        <v>2242</v>
      </c>
      <c r="L59" s="1811" t="s">
        <v>2236</v>
      </c>
      <c r="M59" s="1761"/>
      <c r="N59" s="1762">
        <f ca="1">M49-N57</f>
        <v>75747</v>
      </c>
      <c r="O59" s="2499"/>
    </row>
    <row r="60" spans="1:35" ht="12" customHeight="1">
      <c r="A60" s="2500"/>
      <c r="B60" s="2422"/>
      <c r="C60" s="2422"/>
      <c r="D60" s="2422"/>
      <c r="E60" s="2169"/>
      <c r="F60" s="2493"/>
      <c r="G60" s="2493"/>
      <c r="H60" s="2501"/>
      <c r="I60" s="138"/>
      <c r="J60" s="3172"/>
      <c r="K60" s="3170"/>
      <c r="L60" s="2494" t="s">
        <v>2239</v>
      </c>
      <c r="M60" s="1760"/>
      <c r="N60" s="2496" t="str">
        <f ca="1">NUMBERSTRING(INT(N59*10000),2)&amp;"元整"</f>
        <v>柒亿伍仟柒佰肆拾柒万元整</v>
      </c>
      <c r="O60" s="2497"/>
    </row>
    <row r="61" spans="1:35" ht="13.5" thickBot="1">
      <c r="A61" s="3117" t="s">
        <v>2243</v>
      </c>
      <c r="B61" s="3117"/>
      <c r="C61" s="3117"/>
      <c r="D61" s="3117"/>
      <c r="E61" s="3117"/>
      <c r="F61" s="2493"/>
      <c r="G61" s="2493"/>
      <c r="H61" s="2501"/>
      <c r="I61" s="138"/>
      <c r="J61" s="1811">
        <f>J59+1</f>
        <v>6</v>
      </c>
      <c r="K61" s="3170" t="s">
        <v>2244</v>
      </c>
      <c r="L61" s="3170"/>
      <c r="M61" s="1763"/>
      <c r="N61" s="1764">
        <f ca="1">ROUND(N59*10000/'数据-汇总表'!E3,0)</f>
        <v>18210</v>
      </c>
      <c r="O61" s="2502"/>
    </row>
    <row r="62" spans="1:35" ht="12.75">
      <c r="A62" s="3133" t="s">
        <v>2245</v>
      </c>
      <c r="B62" s="3134"/>
      <c r="C62" s="1803"/>
      <c r="D62" s="1803" t="s">
        <v>2246</v>
      </c>
      <c r="E62" s="192" t="s">
        <v>2247</v>
      </c>
      <c r="F62" s="2493"/>
      <c r="G62" s="2493"/>
      <c r="H62" s="2501"/>
      <c r="I62" s="138"/>
    </row>
    <row r="63" spans="1:35" ht="12.75">
      <c r="A63" s="203" t="s">
        <v>775</v>
      </c>
      <c r="B63" s="193" t="s">
        <v>2248</v>
      </c>
      <c r="C63" s="194">
        <f ca="1">ROUND((C64+C65)/(1+'数据-取费表'!C42),0)</f>
        <v>166413</v>
      </c>
      <c r="D63" s="195"/>
      <c r="E63" s="196"/>
      <c r="F63" s="2493"/>
      <c r="G63" s="2493"/>
      <c r="H63" s="2501"/>
      <c r="I63" s="138"/>
      <c r="J63" s="3195" t="s">
        <v>2249</v>
      </c>
      <c r="K63" s="2503" t="s">
        <v>2250</v>
      </c>
      <c r="L63" s="1751">
        <f ca="1">IF(M49&gt;10000,M49*0.5%,IF(AND(M49&gt;1000,M49&lt;=10000),M49*1%,IF(AND(M49&gt;100,M49&lt;=1000),M49*3%,IF(AND(M49&gt;10,M49&lt;=100),M49*5%,M49*8%))))</f>
        <v>873.67000000000007</v>
      </c>
      <c r="M63" s="24">
        <f ca="1">ROUND(L63,1)</f>
        <v>873.7</v>
      </c>
      <c r="Z63" s="2427"/>
      <c r="AI63" s="2428"/>
    </row>
    <row r="64" spans="1:35" ht="14.25" customHeight="1">
      <c r="A64" s="197" t="s">
        <v>770</v>
      </c>
      <c r="B64" s="198" t="s">
        <v>2251</v>
      </c>
      <c r="C64" s="199">
        <f ca="1">D45</f>
        <v>174734</v>
      </c>
      <c r="D64" s="200" t="s">
        <v>32</v>
      </c>
      <c r="E64" s="201"/>
      <c r="F64" s="2493"/>
      <c r="G64" s="2493"/>
      <c r="H64" s="2501"/>
      <c r="I64" s="138"/>
      <c r="J64" s="3195"/>
      <c r="K64" s="2503" t="s">
        <v>2252</v>
      </c>
      <c r="L64" s="1751">
        <f ca="1">IF(M49&gt;2000,M49*0.5%,IF(AND(M49&gt;1000,M49&lt;=2000),M49*0.6%,IF(AND(M49&gt;500,M49&lt;=1000),M49*0.7%,IF(AND(M49&gt;200,M49&lt;=500),M49*0.8%,IF(AND(M49&gt;100,M49&lt;=200),M49*0.9%,IF(AND(M49&gt;50,M49&lt;=100),M49*1%,IF(AND(M49&gt;20,M49&lt;=50),M49*1.5%,IF(AND(M49&gt;10,M49&lt;=20),M49*2%,IF(AND(M49&gt;1,M49&lt;=10),M49*2.5%)))))))))</f>
        <v>873.67000000000007</v>
      </c>
      <c r="M64" s="24">
        <f t="shared" ref="M64:M65" ca="1" si="1">ROUND(L64,1)</f>
        <v>873.7</v>
      </c>
      <c r="N64" s="138" t="s">
        <v>2253</v>
      </c>
      <c r="Z64" s="2427"/>
      <c r="AI64" s="2428"/>
    </row>
    <row r="65" spans="1:35" ht="14.25" customHeight="1">
      <c r="A65" s="197" t="s">
        <v>771</v>
      </c>
      <c r="B65" s="198" t="s">
        <v>2254</v>
      </c>
      <c r="C65" s="202"/>
      <c r="D65" s="200"/>
      <c r="E65" s="201"/>
      <c r="F65" s="2493"/>
      <c r="G65" s="2493"/>
      <c r="H65" s="2501"/>
      <c r="I65" s="138"/>
      <c r="J65" s="3195"/>
      <c r="K65" s="2503" t="s">
        <v>2255</v>
      </c>
      <c r="L65" s="1751">
        <f ca="1">IF(M49&gt;1000,M49*0.1%,IF(AND(M49&gt;500,M49&lt;=1000),M49*0.5%,IF(AND(M49&gt;50,M49&lt;=500),M49*1%,IF(AND(M49&gt;1,M49&lt;=50),M49*1.5%))))</f>
        <v>174.73400000000001</v>
      </c>
      <c r="M65" s="24">
        <f t="shared" ca="1" si="1"/>
        <v>174.7</v>
      </c>
      <c r="N65" s="138" t="s">
        <v>2253</v>
      </c>
      <c r="Z65" s="2427"/>
      <c r="AI65" s="2428"/>
    </row>
    <row r="66" spans="1:35" ht="14.25" customHeight="1">
      <c r="A66" s="203" t="s">
        <v>772</v>
      </c>
      <c r="B66" s="204" t="s">
        <v>2256</v>
      </c>
      <c r="C66" s="205"/>
      <c r="D66" s="206" t="s">
        <v>32</v>
      </c>
      <c r="E66" s="1775" t="s">
        <v>1371</v>
      </c>
      <c r="F66" s="2493"/>
      <c r="G66" s="2493"/>
      <c r="H66" s="2501"/>
      <c r="I66" s="138"/>
      <c r="J66" s="3195"/>
      <c r="K66" s="2503" t="s">
        <v>2257</v>
      </c>
      <c r="L66" s="1751">
        <f ca="1">M49*0.5%</f>
        <v>873.67000000000007</v>
      </c>
      <c r="M66" s="24">
        <f ca="1">IF(L66&gt;0.5,0.5,ROUND(L66,0))</f>
        <v>0.5</v>
      </c>
      <c r="N66" s="138" t="s">
        <v>2258</v>
      </c>
      <c r="Z66" s="2427"/>
      <c r="AI66" s="2428"/>
    </row>
    <row r="67" spans="1:35" ht="14.25" customHeight="1">
      <c r="A67" s="203" t="s">
        <v>773</v>
      </c>
      <c r="B67" s="204" t="s">
        <v>2259</v>
      </c>
      <c r="C67" s="207">
        <f ca="1">C63-C66</f>
        <v>166413</v>
      </c>
      <c r="D67" s="200" t="s">
        <v>32</v>
      </c>
      <c r="E67" s="201"/>
      <c r="F67" s="2493"/>
      <c r="G67" s="2493"/>
      <c r="H67" s="2501"/>
      <c r="I67" s="138"/>
      <c r="J67" s="3195"/>
      <c r="K67" s="2503" t="s">
        <v>2260</v>
      </c>
      <c r="L67" s="1751">
        <f ca="1">IF(M49&gt;=10000,(8.25+(M49-10000)*0.01%),IF(AND(M49&gt;=8000,M49&lt;10000),(7.85+(M49-8000)*0.02%),IF(AND(M49&gt;=5000,M49&lt;8000),(6.65+(M49-5000)*0.04%),IF(AND(M49&gt;=2000,M49&lt;5000),(4.25+(PM49-2000)*0.08%),IF(AND(M49&gt;=1000,M49&lt;2000),(2.75+(M49-1000)*0.15%),IF(AND(M49&gt;=100,M49&lt;1000),(0.5+(M49-100)*0.25%),IF(AND(M49&gt;0,M49&lt;100),M49*0.5%)))))))</f>
        <v>24.723400000000002</v>
      </c>
      <c r="M67" s="24">
        <f ca="1">ROUND(L67*0.9,1)</f>
        <v>22.3</v>
      </c>
      <c r="Z67" s="2427"/>
      <c r="AI67" s="2428"/>
    </row>
    <row r="68" spans="1:35" ht="14.25" customHeight="1" thickBot="1">
      <c r="A68" s="208" t="s">
        <v>774</v>
      </c>
      <c r="B68" s="209" t="s">
        <v>2261</v>
      </c>
      <c r="C68" s="210">
        <f ca="1">IF(C67&lt;=0,0,ROUND(C67*D68,0))</f>
        <v>9319</v>
      </c>
      <c r="D68" s="211">
        <f>'数据-取费表'!B41</f>
        <v>5.6000000000000001E-2</v>
      </c>
      <c r="E68" s="212"/>
      <c r="F68" s="2493"/>
      <c r="G68" s="2493"/>
      <c r="H68" s="2501"/>
      <c r="I68" s="138"/>
      <c r="J68" s="3195"/>
      <c r="K68" s="2503" t="s">
        <v>2262</v>
      </c>
      <c r="L68" s="1751">
        <f ca="1">IF(M49&gt;10000,M49*0.5%,IF(AND(M49&gt;5000,M49&lt;=10000),M49*1%,IF(AND(M49&gt;1000,M49&lt;=5000),M49*2%,IF(AND(M49&gt;200,M49&lt;=1000),M49*3%,M49*5%))))</f>
        <v>873.67000000000007</v>
      </c>
      <c r="M68" s="24">
        <f ca="1">ROUND(L68,1)</f>
        <v>873.7</v>
      </c>
      <c r="Z68" s="2427"/>
      <c r="AI68" s="2428"/>
    </row>
    <row r="69" spans="1:35" s="2450" customFormat="1" ht="16.5" customHeight="1">
      <c r="A69" s="2504"/>
      <c r="B69" s="2505"/>
      <c r="C69" s="2506"/>
      <c r="D69" s="2507"/>
      <c r="E69" s="2508"/>
      <c r="F69" s="2169"/>
      <c r="G69" s="2169"/>
      <c r="H69" s="2168"/>
      <c r="I69" s="2422"/>
      <c r="J69" s="3195"/>
      <c r="K69" s="2503" t="s">
        <v>2263</v>
      </c>
      <c r="L69" s="2509"/>
      <c r="M69" s="24">
        <f ca="1">ROUND(SUM(M63:M68),0)</f>
        <v>2819</v>
      </c>
      <c r="N69" s="1752">
        <f ca="1">M69/M49</f>
        <v>1.6133093731042613E-2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54" t="s">
        <v>2264</v>
      </c>
      <c r="B70" s="3155"/>
      <c r="C70" s="3155"/>
      <c r="D70" s="3155"/>
      <c r="E70" s="3155"/>
      <c r="F70" s="3155"/>
      <c r="G70" s="3155"/>
      <c r="H70" s="3155"/>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33" t="s">
        <v>2245</v>
      </c>
      <c r="B71" s="3134"/>
      <c r="C71" s="1803"/>
      <c r="D71" s="1803" t="s">
        <v>2246</v>
      </c>
      <c r="E71" s="213" t="s">
        <v>2247</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2265</v>
      </c>
      <c r="C72" s="207">
        <f ca="1">ROUND(D45/(1+'数据-取费表'!C42),0)</f>
        <v>166413</v>
      </c>
      <c r="D72" s="200" t="s">
        <v>32</v>
      </c>
      <c r="E72" s="1802"/>
      <c r="F72" s="1796"/>
      <c r="G72" s="1796"/>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2266</v>
      </c>
      <c r="C73" s="207">
        <f ca="1">C74+C78</f>
        <v>998</v>
      </c>
      <c r="D73" s="200" t="s">
        <v>32</v>
      </c>
      <c r="E73" s="1802"/>
      <c r="F73" s="1796"/>
      <c r="G73" s="1796"/>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2267</v>
      </c>
      <c r="C74" s="200">
        <f>ROUND(IF(G77="2016年5月1日后购买",C75/(1+'数据-取费表'!C42)+C76+C77,C75+C76+C77),0)</f>
        <v>0</v>
      </c>
      <c r="D74" s="200" t="s">
        <v>32</v>
      </c>
      <c r="E74" s="1802"/>
      <c r="F74" s="1796"/>
      <c r="G74" s="1796"/>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2268</v>
      </c>
      <c r="C75" s="218"/>
      <c r="D75" s="200" t="s">
        <v>32</v>
      </c>
      <c r="E75" s="219" t="s">
        <v>2269</v>
      </c>
      <c r="F75" s="2515" t="s">
        <v>2270</v>
      </c>
      <c r="G75" s="219" t="s">
        <v>2271</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2272</v>
      </c>
      <c r="C76" s="200">
        <f>IF(F75="购房发票",ROUND(C75*H75*D76,0),0)</f>
        <v>0</v>
      </c>
      <c r="D76" s="222">
        <v>0.05</v>
      </c>
      <c r="E76" s="3128" t="s">
        <v>2273</v>
      </c>
      <c r="F76" s="3105"/>
      <c r="G76" s="3105"/>
      <c r="H76" s="3153"/>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2274</v>
      </c>
      <c r="C77" s="200">
        <f>ROUND(IF(G77="个人住宅",0,IF(G77="2016年5月1日前购买",C75*D77,C75*D77/(1+'数据-取费表'!C42))),0)</f>
        <v>0</v>
      </c>
      <c r="D77" s="223">
        <f>'数据-取费表'!B48+'数据-取费表'!B49</f>
        <v>3.0499999999999999E-2</v>
      </c>
      <c r="E77" s="15" t="s">
        <v>2275</v>
      </c>
      <c r="F77" s="224"/>
      <c r="G77" s="2517" t="s">
        <v>2276</v>
      </c>
      <c r="H77" s="1807"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2277</v>
      </c>
      <c r="C78" s="225">
        <f ca="1">ROUND(D45*D78/(1+'数据-取费表'!C42),0)</f>
        <v>998</v>
      </c>
      <c r="D78" s="226">
        <f>'数据-取费表'!B43</f>
        <v>6.000000000000001E-3</v>
      </c>
      <c r="E78" s="3114" t="s">
        <v>2278</v>
      </c>
      <c r="F78" s="3115"/>
      <c r="G78" s="3115"/>
      <c r="H78" s="3124"/>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2279</v>
      </c>
      <c r="C79" s="207">
        <f ca="1">C72-C73</f>
        <v>165415</v>
      </c>
      <c r="D79" s="200" t="s">
        <v>32</v>
      </c>
      <c r="E79" s="1802"/>
      <c r="F79" s="1796"/>
      <c r="G79" s="1796"/>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2280</v>
      </c>
      <c r="C80" s="227">
        <f ca="1">IF(C79&lt;=0,0,C79/C73)</f>
        <v>165.74649298597194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2281</v>
      </c>
      <c r="C81" s="228">
        <f ca="1">ROUND(IF(C79&lt;=0,0,IF(C80&gt;=200%,C79*60%-C73*35%,IF(C80&gt;=100%,C79*50%-C73*15%,IF(C80&gt;=50%,C79*40%-C73*5%,IF(C80&lt;50%,C79*30%,0))))),0)</f>
        <v>98900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54" t="s">
        <v>2282</v>
      </c>
      <c r="B83" s="3155"/>
      <c r="C83" s="3155"/>
      <c r="D83" s="3155"/>
      <c r="E83" s="3155"/>
      <c r="F83" s="3155"/>
      <c r="G83" s="3155"/>
      <c r="H83" s="3155"/>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33" t="s">
        <v>2245</v>
      </c>
      <c r="B84" s="3134"/>
      <c r="C84" s="1803"/>
      <c r="D84" s="1803" t="s">
        <v>2246</v>
      </c>
      <c r="E84" s="213" t="s">
        <v>2247</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2265</v>
      </c>
      <c r="C85" s="207">
        <f ca="1">ROUND(D45/(1+'数据-取费表'!C42),0)</f>
        <v>166413</v>
      </c>
      <c r="D85" s="200" t="s">
        <v>32</v>
      </c>
      <c r="E85" s="1802"/>
      <c r="F85" s="1796"/>
      <c r="G85" s="1796"/>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2266</v>
      </c>
      <c r="C86" s="207">
        <f ca="1">IF(H88="仅含出让金",C87+C90+C91+C92+C93+C94,C87+C91+C92+C93+C94)</f>
        <v>998</v>
      </c>
      <c r="D86" s="235"/>
      <c r="E86" s="1802"/>
      <c r="F86" s="1796"/>
      <c r="G86" s="1796"/>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2283</v>
      </c>
      <c r="C87" s="225">
        <f>C88+C89</f>
        <v>0</v>
      </c>
      <c r="D87" s="226"/>
      <c r="E87" s="1798"/>
      <c r="F87" s="1799"/>
      <c r="G87" s="1799"/>
      <c r="H87" s="1801"/>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2284</v>
      </c>
      <c r="C88" s="236"/>
      <c r="D88" s="226"/>
      <c r="E88" s="237" t="s">
        <v>2285</v>
      </c>
      <c r="F88" s="1799"/>
      <c r="G88" s="238" t="s">
        <v>2286</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2274</v>
      </c>
      <c r="C89" s="225">
        <f>ROUND(C88*D89,0)</f>
        <v>0</v>
      </c>
      <c r="D89" s="226">
        <f>'数据-取费表'!B48+'数据-取费表'!B49</f>
        <v>3.0499999999999999E-2</v>
      </c>
      <c r="E89" s="237" t="s">
        <v>2287</v>
      </c>
      <c r="F89" s="1799"/>
      <c r="G89" s="1799"/>
      <c r="H89" s="1801"/>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2288</v>
      </c>
      <c r="C90" s="236"/>
      <c r="D90" s="226"/>
      <c r="E90" s="237" t="str">
        <f>IF(H88="-","土地取得成本中已包含该笔费用"," ")</f>
        <v xml:space="preserve"> </v>
      </c>
      <c r="F90" s="1799"/>
      <c r="G90" s="1799"/>
      <c r="H90" s="1801"/>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2289</v>
      </c>
      <c r="B91" s="198" t="s">
        <v>2290</v>
      </c>
      <c r="C91" s="225">
        <f>IF(H91="——",成本法!C33,I91)</f>
        <v>0</v>
      </c>
      <c r="D91" s="226"/>
      <c r="E91" s="3114" t="s">
        <v>2291</v>
      </c>
      <c r="F91" s="3115"/>
      <c r="G91" s="3115"/>
      <c r="H91" s="2522" t="s">
        <v>2292</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2293</v>
      </c>
      <c r="B92" s="198" t="s">
        <v>2294</v>
      </c>
      <c r="C92" s="225">
        <f>ROUND((C87+C90+C91)*D92,0)</f>
        <v>0</v>
      </c>
      <c r="D92" s="226">
        <v>0.1</v>
      </c>
      <c r="E92" s="3114" t="s">
        <v>2295</v>
      </c>
      <c r="F92" s="3115"/>
      <c r="G92" s="3115"/>
      <c r="H92" s="3124"/>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2296</v>
      </c>
      <c r="B93" s="198" t="s">
        <v>2277</v>
      </c>
      <c r="C93" s="225">
        <f ca="1">ROUND(D45*D93/(1+'数据-取费表'!C42),0)</f>
        <v>998</v>
      </c>
      <c r="D93" s="226">
        <f>'数据-取费表'!B43</f>
        <v>6.000000000000001E-3</v>
      </c>
      <c r="E93" s="3114" t="s">
        <v>2278</v>
      </c>
      <c r="F93" s="3115"/>
      <c r="G93" s="3115"/>
      <c r="H93" s="3124"/>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2297</v>
      </c>
      <c r="B94" s="198" t="s">
        <v>2298</v>
      </c>
      <c r="C94" s="236">
        <f>ROUND((C87+C90+C91)*D94,0)</f>
        <v>0</v>
      </c>
      <c r="D94" s="226">
        <v>0.2</v>
      </c>
      <c r="E94" s="3125" t="s">
        <v>2299</v>
      </c>
      <c r="F94" s="3126"/>
      <c r="G94" s="3126"/>
      <c r="H94" s="3127"/>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2279</v>
      </c>
      <c r="C95" s="207">
        <f ca="1">ROUND(C85-C86,0)</f>
        <v>165415</v>
      </c>
      <c r="D95" s="200" t="s">
        <v>32</v>
      </c>
      <c r="E95" s="1802"/>
      <c r="F95" s="1796"/>
      <c r="G95" s="1796"/>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2280</v>
      </c>
      <c r="C96" s="227">
        <f ca="1">IF(C95&lt;=0,0,C95/C86)</f>
        <v>165.74649298597194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2281</v>
      </c>
      <c r="C97" s="228">
        <f ca="1">ROUND(IF(C95&lt;=0,0,IF(C96&gt;=200%,C95*60%-C86*35%,IF(C96&gt;=100%,C95*50%-C86*15%,IF(C96&gt;=50%,C95*40%-C86*5%,IF(C96&lt;50%,C95*30%,0))))),0)</f>
        <v>98900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2300</v>
      </c>
      <c r="B99" s="2422"/>
      <c r="C99" s="2422"/>
      <c r="D99" s="2422"/>
      <c r="E99" s="2169"/>
      <c r="F99" s="2169"/>
      <c r="G99" s="2169"/>
      <c r="H99" s="2168"/>
      <c r="I99" s="138"/>
    </row>
    <row r="100" spans="1:35" ht="18.75" customHeight="1">
      <c r="A100" s="3089" t="s">
        <v>2301</v>
      </c>
      <c r="B100" s="3090"/>
      <c r="C100" s="3090"/>
      <c r="D100" s="3116"/>
      <c r="E100" s="3090" t="s">
        <v>2302</v>
      </c>
      <c r="F100" s="3090"/>
      <c r="G100" s="3090"/>
      <c r="H100" s="3116"/>
      <c r="I100" s="138"/>
    </row>
    <row r="101" spans="1:35" ht="18.75" customHeight="1">
      <c r="A101" s="3178" t="s">
        <v>2303</v>
      </c>
      <c r="B101" s="3179"/>
      <c r="C101" s="736" t="str">
        <f>C4</f>
        <v>成本法</v>
      </c>
      <c r="D101" s="737" t="str">
        <f>D4</f>
        <v>假设开发法</v>
      </c>
      <c r="E101" s="3192" t="s">
        <v>2304</v>
      </c>
      <c r="F101" s="3146"/>
      <c r="G101" s="2524" t="s">
        <v>2305</v>
      </c>
      <c r="H101" s="1048">
        <f ca="1">H118</f>
        <v>174734</v>
      </c>
      <c r="I101" s="138"/>
    </row>
    <row r="102" spans="1:35" ht="18.75" customHeight="1">
      <c r="A102" s="3148" t="s">
        <v>2306</v>
      </c>
      <c r="B102" s="2524" t="s">
        <v>2305</v>
      </c>
      <c r="C102" s="736">
        <f ca="1">C19</f>
        <v>243623</v>
      </c>
      <c r="D102" s="737">
        <f ca="1">D19</f>
        <v>145210</v>
      </c>
      <c r="E102" s="3192"/>
      <c r="F102" s="3146"/>
      <c r="G102" s="2524" t="s">
        <v>2307</v>
      </c>
      <c r="H102" s="371">
        <f ca="1">I118</f>
        <v>42007</v>
      </c>
      <c r="I102" s="138"/>
    </row>
    <row r="103" spans="1:35" ht="42.75" customHeight="1">
      <c r="A103" s="3148"/>
      <c r="B103" s="2524" t="s">
        <v>2307</v>
      </c>
      <c r="C103" s="738">
        <f ca="1">C20</f>
        <v>58568</v>
      </c>
      <c r="D103" s="739">
        <f ca="1">D20</f>
        <v>34909</v>
      </c>
      <c r="E103" s="3187" t="s">
        <v>2308</v>
      </c>
      <c r="F103" s="3188"/>
      <c r="G103" s="2525" t="s">
        <v>2309</v>
      </c>
      <c r="H103" s="1048">
        <f>IF(D36="正常操作",H104+H105+H106,H105+H106)</f>
        <v>0</v>
      </c>
      <c r="I103" s="138"/>
    </row>
    <row r="104" spans="1:35" ht="18.75" customHeight="1">
      <c r="A104" s="3148" t="s">
        <v>2310</v>
      </c>
      <c r="B104" s="2526" t="s">
        <v>2305</v>
      </c>
      <c r="C104" s="740">
        <f ca="1">H118</f>
        <v>174734</v>
      </c>
      <c r="D104" s="741"/>
      <c r="E104" s="2270" t="s">
        <v>2311</v>
      </c>
      <c r="F104" s="2261"/>
      <c r="G104" s="2525" t="s">
        <v>2309</v>
      </c>
      <c r="H104" s="1049">
        <f>IF(D36="同一抵押权人同一抵押物续贷",C36&amp;"（未扣减，详见特别提示）",C36)</f>
        <v>0</v>
      </c>
      <c r="I104" s="138"/>
    </row>
    <row r="105" spans="1:35" ht="18.75" customHeight="1" thickBot="1">
      <c r="A105" s="3149"/>
      <c r="B105" s="2527" t="s">
        <v>2307</v>
      </c>
      <c r="C105" s="742">
        <f ca="1">I118</f>
        <v>42007</v>
      </c>
      <c r="D105" s="743"/>
      <c r="E105" s="2270" t="s">
        <v>2312</v>
      </c>
      <c r="F105" s="2261"/>
      <c r="G105" s="2525" t="s">
        <v>2309</v>
      </c>
      <c r="H105" s="1049">
        <f>C37</f>
        <v>0</v>
      </c>
      <c r="I105" s="138"/>
    </row>
    <row r="106" spans="1:35" ht="18.75" customHeight="1">
      <c r="A106" s="2422" t="s">
        <v>2313</v>
      </c>
      <c r="B106" s="2422"/>
      <c r="C106" s="2422"/>
      <c r="D106" s="2422"/>
      <c r="E106" s="2528" t="s">
        <v>2314</v>
      </c>
      <c r="F106" s="2261"/>
      <c r="G106" s="2525" t="s">
        <v>2309</v>
      </c>
      <c r="H106" s="1049">
        <f>C38</f>
        <v>0</v>
      </c>
      <c r="I106" s="138"/>
    </row>
    <row r="107" spans="1:35" ht="18.75" customHeight="1">
      <c r="A107" s="138"/>
      <c r="B107" s="138"/>
      <c r="C107" s="138"/>
      <c r="D107" s="138"/>
      <c r="E107" s="3145" t="str">
        <f>IF(项目基本情况!E8="已注销","——","3.房地产抵押价值")</f>
        <v>3.房地产抵押价值</v>
      </c>
      <c r="F107" s="3146"/>
      <c r="G107" s="2524" t="s">
        <v>2305</v>
      </c>
      <c r="H107" s="1048">
        <f ca="1">IF(E107="——","——",H101-H103)</f>
        <v>174734</v>
      </c>
      <c r="I107" s="138"/>
    </row>
    <row r="108" spans="1:35" ht="18.75" customHeight="1">
      <c r="A108" s="138"/>
      <c r="B108" s="138"/>
      <c r="C108" s="138"/>
      <c r="D108" s="138"/>
      <c r="E108" s="3145"/>
      <c r="F108" s="3146"/>
      <c r="G108" s="2524" t="s">
        <v>2307</v>
      </c>
      <c r="H108" s="371">
        <f ca="1">ROUND(H107*10000/'数据-汇总表'!E3,0)</f>
        <v>42007</v>
      </c>
      <c r="I108" s="138"/>
    </row>
    <row r="109" spans="1:35" ht="18.75" customHeight="1">
      <c r="A109" s="138"/>
      <c r="B109" s="138"/>
      <c r="C109" s="138"/>
      <c r="D109" s="138"/>
      <c r="E109" s="3145" t="str">
        <f>IF(项目基本情况!E8="已注销及未注销","4.抵押担保权已注销时的房地产抵押价值",IF(项目基本情况!E8="已注销","3.抵押担保权已注销时的房地产抵押价值","——"))</f>
        <v>——</v>
      </c>
      <c r="F109" s="3146"/>
      <c r="G109" s="2524" t="s">
        <v>2305</v>
      </c>
      <c r="H109" s="348" t="str">
        <f>IF(E109="——","——",H101-H105-H106)</f>
        <v>——</v>
      </c>
      <c r="I109" s="138"/>
    </row>
    <row r="110" spans="1:35" ht="18.75" customHeight="1">
      <c r="A110" s="138"/>
      <c r="B110" s="138"/>
      <c r="C110" s="138"/>
      <c r="D110" s="138"/>
      <c r="E110" s="3145"/>
      <c r="F110" s="3146"/>
      <c r="G110" s="2524" t="s">
        <v>2307</v>
      </c>
      <c r="H110" s="371" t="str">
        <f>IF(H109="——","——",ROUND(H109*10000/'数据-汇总表'!E3,0))</f>
        <v>——</v>
      </c>
      <c r="I110" s="138"/>
    </row>
    <row r="111" spans="1:35" ht="18.75" customHeight="1">
      <c r="A111" s="138"/>
      <c r="B111" s="138"/>
      <c r="C111" s="138"/>
      <c r="D111" s="138"/>
      <c r="E111" s="3180" t="str">
        <f>IF(项目基本情况!E9="抵押净值",IF(OR(项目基本情况!E8="已注销",项目基本情况!E8="房地产抵押价值"),"4.抵押净值","5.抵押净值"),"——")</f>
        <v>——</v>
      </c>
      <c r="F111" s="3181"/>
      <c r="G111" s="2524" t="s">
        <v>2305</v>
      </c>
      <c r="H111" s="1048" t="str">
        <f>IF(E111="——","——",N59)</f>
        <v>——</v>
      </c>
      <c r="I111" s="138"/>
    </row>
    <row r="112" spans="1:35" ht="18.75" customHeight="1" thickBot="1">
      <c r="A112" s="138"/>
      <c r="B112" s="138"/>
      <c r="C112" s="138"/>
      <c r="D112" s="138"/>
      <c r="E112" s="3182"/>
      <c r="F112" s="3183"/>
      <c r="G112" s="2529" t="s">
        <v>2307</v>
      </c>
      <c r="H112" s="790" t="str">
        <f>IF(E111="——","——",N61)</f>
        <v>——</v>
      </c>
      <c r="I112" s="138"/>
    </row>
    <row r="113" spans="1:11" ht="18.75" customHeight="1">
      <c r="A113" s="138"/>
      <c r="B113" s="138"/>
      <c r="C113" s="138"/>
      <c r="D113" s="138"/>
      <c r="E113" s="3150" t="s">
        <v>2313</v>
      </c>
      <c r="F113" s="3150"/>
      <c r="G113" s="3150"/>
      <c r="H113" s="3150"/>
      <c r="I113" s="138"/>
    </row>
    <row r="114" spans="1:11" ht="3.75" customHeight="1">
      <c r="A114" s="2422"/>
      <c r="B114" s="2422"/>
      <c r="C114" s="2422"/>
      <c r="D114" s="2422"/>
      <c r="E114" s="2500"/>
      <c r="F114" s="2500"/>
      <c r="G114" s="2500"/>
      <c r="H114" s="2500"/>
      <c r="I114" s="2422"/>
    </row>
    <row r="115" spans="1:11" ht="18.75" customHeight="1">
      <c r="A115" s="3163" t="s">
        <v>2315</v>
      </c>
      <c r="B115" s="3164"/>
      <c r="C115" s="3164"/>
      <c r="D115" s="3164"/>
      <c r="E115" s="3164"/>
      <c r="F115" s="3164"/>
      <c r="G115" s="3164"/>
      <c r="H115" s="3164"/>
      <c r="I115" s="3165"/>
    </row>
    <row r="116" spans="1:11" ht="27" customHeight="1">
      <c r="A116" s="3046" t="s">
        <v>2316</v>
      </c>
      <c r="B116" s="3151" t="s">
        <v>3354</v>
      </c>
      <c r="C116" s="3151" t="s">
        <v>3355</v>
      </c>
      <c r="D116" s="3167" t="s">
        <v>2317</v>
      </c>
      <c r="E116" s="3168"/>
      <c r="F116" s="3159" t="s">
        <v>2318</v>
      </c>
      <c r="G116" s="3159"/>
      <c r="H116" s="3046" t="s">
        <v>2319</v>
      </c>
      <c r="I116" s="3046"/>
    </row>
    <row r="117" spans="1:11" ht="18.75" customHeight="1">
      <c r="A117" s="3046"/>
      <c r="B117" s="3152"/>
      <c r="C117" s="3152"/>
      <c r="D117" s="1797" t="s">
        <v>2320</v>
      </c>
      <c r="E117" s="1797" t="s">
        <v>2321</v>
      </c>
      <c r="F117" s="1797" t="s">
        <v>2320</v>
      </c>
      <c r="G117" s="1797" t="s">
        <v>2322</v>
      </c>
      <c r="H117" s="1797" t="s">
        <v>2320</v>
      </c>
      <c r="I117" s="1797" t="s">
        <v>2322</v>
      </c>
    </row>
    <row r="118" spans="1:11" ht="24.75" customHeight="1">
      <c r="A118" s="2530" t="str">
        <f>项目基本情况!S2</f>
        <v>北京市出让国有建设用地使用权及在建建筑物房地产</v>
      </c>
      <c r="B118" s="1797">
        <f>M18</f>
        <v>41596.89</v>
      </c>
      <c r="C118" s="1797">
        <f>M19</f>
        <v>8452.18</v>
      </c>
      <c r="D118" s="1797">
        <f ca="1">ROUND(IF(D32="总价",C34,E118*B118/10000),0)</f>
        <v>163551</v>
      </c>
      <c r="E118" s="1797">
        <f ca="1">ROUND(IF(C33="自定义",IF(D32="楼面单价",C34,D118*10000/B118),I118-G118),0)</f>
        <v>39319</v>
      </c>
      <c r="F118" s="1797">
        <f ca="1">ROUND(IF(D32="总价",C35,G118*B118/10000),0)</f>
        <v>11183</v>
      </c>
      <c r="G118" s="1797">
        <f ca="1">ROUND(IF(D32="楼面单价",C35,F118*10000/B118),0)</f>
        <v>2688</v>
      </c>
      <c r="H118" s="1797">
        <f ca="1">ROUND(IF(D32="总价",C32,I118*B118/10000),0)</f>
        <v>174734</v>
      </c>
      <c r="I118" s="1797">
        <f ca="1">ROUND(IF(D32="楼面单价",C32,H118*10000/B118),0)</f>
        <v>42007</v>
      </c>
    </row>
    <row r="119" spans="1:11" ht="18.75" customHeight="1">
      <c r="A119" s="3046" t="s">
        <v>2323</v>
      </c>
      <c r="B119" s="3046"/>
      <c r="C119" s="3046"/>
      <c r="D119" s="3156" t="str">
        <f ca="1">NUMBERSTRING(INT(D118*10000),2)&amp;"元整"</f>
        <v>壹拾陆亿叁仟伍佰伍拾壹万元整</v>
      </c>
      <c r="E119" s="3158"/>
      <c r="F119" s="3156" t="str">
        <f ca="1">NUMBERSTRING(INT(F118*10000),2)&amp;"元整"</f>
        <v>壹亿壹仟壹佰捌拾叁万元整</v>
      </c>
      <c r="G119" s="3158"/>
      <c r="H119" s="3156" t="str">
        <f ca="1">NUMBERSTRING(INT(H118*10000),2)&amp;"元整"</f>
        <v>壹拾柒亿肆仟柒佰叁拾肆万元整</v>
      </c>
      <c r="I119" s="3158"/>
    </row>
    <row r="120" spans="1:11" ht="18.75" customHeight="1">
      <c r="A120" s="3184" t="str">
        <f>IF(项目基本情况!B9="房地产市场价值","",MID(E103,3,LEN(E103)-2))</f>
        <v>估价师知悉的法定优先受偿款</v>
      </c>
      <c r="B120" s="3185"/>
      <c r="C120" s="3186"/>
      <c r="D120" s="3184">
        <f>H103</f>
        <v>0</v>
      </c>
      <c r="E120" s="3185"/>
      <c r="F120" s="3185"/>
      <c r="G120" s="3185"/>
      <c r="H120" s="3185"/>
      <c r="I120" s="3186"/>
      <c r="K120" s="2427" t="str">
        <f>IF(D120=0,"故，本次评估不存在"&amp;A120,"故，本次评估"&amp;A120&amp;"为人民币"&amp;D120&amp;"万元整。")</f>
        <v>故，本次评估不存在估价师知悉的法定优先受偿款</v>
      </c>
    </row>
    <row r="121" spans="1:11" ht="18.75" customHeight="1">
      <c r="A121" s="3160" t="s">
        <v>2323</v>
      </c>
      <c r="B121" s="3161"/>
      <c r="C121" s="3162"/>
      <c r="D121" s="3156" t="str">
        <f>IF(D120=0,"零元整",NUMBERSTRING(INT(D120*10000),2)&amp;"元整")</f>
        <v>零元整</v>
      </c>
      <c r="E121" s="3157"/>
      <c r="F121" s="3157"/>
      <c r="G121" s="3157"/>
      <c r="H121" s="3157"/>
      <c r="I121" s="3158"/>
    </row>
    <row r="122" spans="1:11" ht="18.75" customHeight="1">
      <c r="A122" s="3147" t="str">
        <f>IF(项目基本情况!B9="房地产市场价值","",MID(E107,3,LEN(E107)-2))</f>
        <v>房地产抵押价值</v>
      </c>
      <c r="B122" s="3147"/>
      <c r="C122" s="3147"/>
      <c r="D122" s="3184">
        <f ca="1">H107</f>
        <v>174734</v>
      </c>
      <c r="E122" s="3185"/>
      <c r="F122" s="3185"/>
      <c r="G122" s="3185"/>
      <c r="H122" s="3185"/>
      <c r="I122" s="3186"/>
    </row>
    <row r="123" spans="1:11" ht="18.75" customHeight="1">
      <c r="A123" s="3046" t="s">
        <v>2323</v>
      </c>
      <c r="B123" s="3046"/>
      <c r="C123" s="3046"/>
      <c r="D123" s="3156" t="str">
        <f ca="1">NUMBERSTRING(INT(D122*10000),2)&amp;"元整"</f>
        <v>壹拾柒亿肆仟柒佰叁拾肆万元整</v>
      </c>
      <c r="E123" s="3157"/>
      <c r="F123" s="3157"/>
      <c r="G123" s="3157"/>
      <c r="H123" s="3157"/>
      <c r="I123" s="3158"/>
    </row>
    <row r="124" spans="1:11" ht="18.75" customHeight="1">
      <c r="A124" s="3147" t="str">
        <f>IF(项目基本情况!B9="房地产市场价值","",MID(E109,3,LEN(E109)-2))</f>
        <v/>
      </c>
      <c r="B124" s="3147"/>
      <c r="C124" s="3147"/>
      <c r="D124" s="3184" t="str">
        <f>H109</f>
        <v>——</v>
      </c>
      <c r="E124" s="3185"/>
      <c r="F124" s="3185"/>
      <c r="G124" s="3185"/>
      <c r="H124" s="3185"/>
      <c r="I124" s="3186"/>
    </row>
    <row r="125" spans="1:11" ht="18.75" customHeight="1">
      <c r="A125" s="3046" t="s">
        <v>2323</v>
      </c>
      <c r="B125" s="3046"/>
      <c r="C125" s="3046"/>
      <c r="D125" s="3156" t="e">
        <f>NUMBERSTRING(INT(D124*10000),2)&amp;"元整"</f>
        <v>#VALUE!</v>
      </c>
      <c r="E125" s="3157"/>
      <c r="F125" s="3157"/>
      <c r="G125" s="3157"/>
      <c r="H125" s="3157"/>
      <c r="I125" s="3158"/>
    </row>
    <row r="126" spans="1:11" ht="18.75" customHeight="1">
      <c r="A126" s="3147" t="str">
        <f>IF(项目基本情况!B9="房地产市场价值","",MID(E111,3,LEN(E111)-2))</f>
        <v/>
      </c>
      <c r="B126" s="3147"/>
      <c r="C126" s="3147"/>
      <c r="D126" s="3184" t="str">
        <f>H111</f>
        <v>——</v>
      </c>
      <c r="E126" s="3185"/>
      <c r="F126" s="3185"/>
      <c r="G126" s="3185"/>
      <c r="H126" s="3185"/>
      <c r="I126" s="3186"/>
    </row>
    <row r="127" spans="1:11" ht="18.75" customHeight="1">
      <c r="A127" s="3046" t="s">
        <v>2323</v>
      </c>
      <c r="B127" s="3046"/>
      <c r="C127" s="3046"/>
      <c r="D127" s="3156" t="e">
        <f>NUMBERSTRING(INT(D126*10000),2)&amp;"元整"</f>
        <v>#VALUE!</v>
      </c>
      <c r="E127" s="3157"/>
      <c r="F127" s="3157"/>
      <c r="G127" s="3157"/>
      <c r="H127" s="3157"/>
      <c r="I127" s="3158"/>
    </row>
    <row r="128" spans="1:11" ht="21.75" customHeight="1">
      <c r="A128" s="3166" t="s">
        <v>2324</v>
      </c>
      <c r="B128" s="3166"/>
      <c r="C128" s="3166"/>
      <c r="D128" s="3166"/>
      <c r="E128" s="3166"/>
      <c r="F128" s="3166"/>
      <c r="G128" s="3166"/>
      <c r="H128" s="3166"/>
      <c r="I128" s="3166"/>
    </row>
    <row r="129" spans="1:35" ht="21.75" customHeight="1">
      <c r="A129" s="2531" t="s">
        <v>2325</v>
      </c>
      <c r="B129" s="2532"/>
      <c r="C129" s="2533" t="s">
        <v>2326</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2327</v>
      </c>
      <c r="G135" s="2548"/>
      <c r="H135" s="2548"/>
      <c r="I135" s="2549" t="s">
        <v>2328</v>
      </c>
    </row>
    <row r="136" spans="1:35" ht="21.75" customHeight="1">
      <c r="A136" s="795"/>
      <c r="B136" s="2550"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2330</v>
      </c>
    </row>
    <row r="139" spans="1:35" ht="21.75" customHeight="1">
      <c r="A139" s="795"/>
      <c r="B139" s="2550" t="s">
        <v>2331</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2330</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39"/>
      <c r="C1" s="242"/>
      <c r="D1" s="242"/>
      <c r="E1" s="242"/>
      <c r="F1" s="242"/>
      <c r="G1" s="1382">
        <f>MATCH(B1,'数据-取费表'!A6:A16,0)+5</f>
        <v>7</v>
      </c>
    </row>
    <row r="2" spans="1:9" s="244" customFormat="1" ht="18" customHeight="1">
      <c r="A2" s="245" t="s">
        <v>2333</v>
      </c>
      <c r="B2" s="246">
        <f ca="1">IF(D2="——",C52,C52-E2)</f>
        <v>243623</v>
      </c>
      <c r="C2" s="243" t="s">
        <v>2334</v>
      </c>
      <c r="D2" s="2553" t="s">
        <v>70</v>
      </c>
      <c r="E2" s="1443" t="e">
        <f ca="1">SUMIF(INDIRECT("'"&amp;G2&amp;"'"&amp;"!A:A"),"承租人权益价值",INDIRECT("'"&amp;G2&amp;"'"&amp;"!c:c"))</f>
        <v>#REF!</v>
      </c>
      <c r="F2" s="2554" t="s">
        <v>2334</v>
      </c>
      <c r="G2" s="2555"/>
    </row>
    <row r="3" spans="1:9" s="244" customFormat="1" ht="18" customHeight="1" thickBot="1">
      <c r="A3" s="247" t="s">
        <v>2335</v>
      </c>
      <c r="B3" s="248">
        <f ca="1">ROUND(B2*10000/(IF(B1="",'数据-汇总表'!E3,INDIRECT("'数据-取费表'!k"&amp;$G$1))),0)</f>
        <v>58568</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 ca="1">C6+C7+C8</f>
        <v>167611</v>
      </c>
      <c r="D5" s="255" t="s">
        <v>2340</v>
      </c>
      <c r="E5" s="256" t="s">
        <v>2341</v>
      </c>
      <c r="F5" s="256" t="s">
        <v>2342</v>
      </c>
      <c r="G5" s="257"/>
    </row>
    <row r="6" spans="1:9" s="258" customFormat="1" ht="13.5" customHeight="1">
      <c r="A6" s="952" t="s">
        <v>2343</v>
      </c>
      <c r="B6" s="259" t="s">
        <v>2344</v>
      </c>
      <c r="C6" s="260">
        <f ca="1">SUM(基准地价修正!E33:E34)+SUM(基准地价修正!V2:V6)</f>
        <v>161843</v>
      </c>
      <c r="D6" s="261"/>
      <c r="E6" s="262"/>
      <c r="F6" s="262"/>
      <c r="G6" s="263"/>
    </row>
    <row r="7" spans="1:9" s="258" customFormat="1" ht="13.5" customHeight="1">
      <c r="A7" s="952" t="s">
        <v>2345</v>
      </c>
      <c r="B7" s="259" t="s">
        <v>2346</v>
      </c>
      <c r="C7" s="264">
        <f ca="1">ROUND(C6*F7,0)</f>
        <v>4936</v>
      </c>
      <c r="D7" s="264"/>
      <c r="E7" s="262"/>
      <c r="F7" s="265">
        <f>'数据-取费表'!B48+'数据-取费表'!B49</f>
        <v>3.0499999999999999E-2</v>
      </c>
      <c r="G7" s="263"/>
    </row>
    <row r="8" spans="1:9" s="267" customFormat="1">
      <c r="A8" s="952" t="s">
        <v>2347</v>
      </c>
      <c r="B8" s="259" t="s">
        <v>2348</v>
      </c>
      <c r="C8" s="264">
        <f ca="1">IF(G8="已包含在土地购买价格中","0",IF(B1="",'数据-取费表'!B29,IF(G9="全部缴纳",C9+C10,H9)))</f>
        <v>832</v>
      </c>
      <c r="D8" s="266"/>
      <c r="E8" s="264"/>
      <c r="F8" s="265"/>
      <c r="G8" s="2556" t="s">
        <v>3278</v>
      </c>
    </row>
    <row r="9" spans="1:9" s="258" customFormat="1" ht="13.5" customHeight="1">
      <c r="A9" s="953" t="s">
        <v>800</v>
      </c>
      <c r="B9" s="268" t="s">
        <v>2349</v>
      </c>
      <c r="C9" s="269">
        <f ca="1">ROUND(D9*E9/10000,0)</f>
        <v>0</v>
      </c>
      <c r="D9" s="1035">
        <f ca="1">IF(B1="",'数据-汇总表'!E5,IF(INDIRECT("'数据-取费表'!c"&amp;$G$1)="住宅",INDIRECT("'数据-取费表'!k"&amp;$G$1),0))</f>
        <v>0</v>
      </c>
      <c r="E9" s="269">
        <f>'数据-取费表'!B27</f>
        <v>160</v>
      </c>
      <c r="F9" s="265"/>
      <c r="G9" s="2557" t="s">
        <v>3279</v>
      </c>
      <c r="H9" s="1393"/>
      <c r="I9" s="2558" t="s">
        <v>2350</v>
      </c>
    </row>
    <row r="10" spans="1:9" s="258" customFormat="1" ht="13.5" customHeight="1">
      <c r="A10" s="953" t="s">
        <v>801</v>
      </c>
      <c r="B10" s="268" t="s">
        <v>2351</v>
      </c>
      <c r="C10" s="269">
        <f ca="1">ROUND(D10*E10/10000,0)</f>
        <v>832</v>
      </c>
      <c r="D10" s="1035">
        <f ca="1">IF(B1="",'数据-汇总表'!E6,IF(INDIRECT("'数据-取费表'!c"&amp;$G$1)="住宅",INDIRECT("'数据-取费表'!s"&amp;$G$1),INDIRECT("'数据-取费表'!k"&amp;$G$1)+INDIRECT("'数据-取费表'!s"&amp;$G$1)))</f>
        <v>41596.89</v>
      </c>
      <c r="E10" s="269">
        <f>'数据-取费表'!B28</f>
        <v>200</v>
      </c>
      <c r="F10" s="265"/>
      <c r="G10" s="270"/>
    </row>
    <row r="11" spans="1:9" s="258" customFormat="1" ht="13.5" hidden="1" customHeight="1">
      <c r="A11" s="271" t="s">
        <v>7</v>
      </c>
      <c r="B11" s="259" t="s">
        <v>2352</v>
      </c>
      <c r="C11" s="255"/>
      <c r="D11" s="1037"/>
      <c r="E11" s="262"/>
      <c r="F11" s="262"/>
      <c r="G11" s="263"/>
    </row>
    <row r="12" spans="1:9" s="258" customFormat="1" ht="13.5" hidden="1" customHeight="1">
      <c r="A12" s="271" t="s">
        <v>8</v>
      </c>
      <c r="B12" s="259" t="s">
        <v>2353</v>
      </c>
      <c r="C12" s="255">
        <v>0</v>
      </c>
      <c r="D12" s="1037"/>
      <c r="E12" s="272"/>
      <c r="F12" s="265">
        <v>3.0499999999999999E-2</v>
      </c>
      <c r="G12" s="263"/>
    </row>
    <row r="13" spans="1:9" s="258" customFormat="1" ht="13.5" hidden="1" customHeight="1">
      <c r="A13" s="271" t="s">
        <v>9</v>
      </c>
      <c r="B13" s="259" t="s">
        <v>2354</v>
      </c>
      <c r="C13" s="255"/>
      <c r="D13" s="1037"/>
      <c r="E13" s="262"/>
      <c r="F13" s="262"/>
      <c r="G13" s="263"/>
    </row>
    <row r="14" spans="1:9" s="258" customFormat="1" ht="13.5" hidden="1" customHeight="1">
      <c r="A14" s="271" t="s">
        <v>10</v>
      </c>
      <c r="B14" s="259" t="s">
        <v>2355</v>
      </c>
      <c r="C14" s="255"/>
      <c r="D14" s="1037"/>
      <c r="E14" s="262"/>
      <c r="F14" s="262"/>
      <c r="G14" s="263" t="s">
        <v>2356</v>
      </c>
    </row>
    <row r="15" spans="1:9" s="258" customFormat="1" ht="13.5" hidden="1" customHeight="1">
      <c r="A15" s="271" t="s">
        <v>11</v>
      </c>
      <c r="B15" s="259" t="s">
        <v>2357</v>
      </c>
      <c r="C15" s="264"/>
      <c r="D15" s="1037"/>
      <c r="E15" s="262"/>
      <c r="F15" s="262"/>
      <c r="G15" s="263" t="s">
        <v>2358</v>
      </c>
    </row>
    <row r="16" spans="1:9" s="258" customFormat="1" ht="13.5" hidden="1" customHeight="1">
      <c r="A16" s="271" t="s">
        <v>12</v>
      </c>
      <c r="B16" s="259" t="s">
        <v>2355</v>
      </c>
      <c r="C16" s="264"/>
      <c r="D16" s="1037"/>
      <c r="E16" s="262"/>
      <c r="F16" s="262"/>
      <c r="G16" s="263"/>
    </row>
    <row r="17" spans="1:7" s="258" customFormat="1" ht="13.5" hidden="1" customHeight="1">
      <c r="A17" s="271" t="s">
        <v>13</v>
      </c>
      <c r="B17" s="259" t="s">
        <v>2359</v>
      </c>
      <c r="C17" s="273"/>
      <c r="D17" s="1038"/>
      <c r="E17" s="273"/>
      <c r="F17" s="273"/>
      <c r="G17" s="263" t="s">
        <v>2358</v>
      </c>
    </row>
    <row r="18" spans="1:7" s="258" customFormat="1" ht="13.5" hidden="1" customHeight="1">
      <c r="A18" s="271" t="s">
        <v>14</v>
      </c>
      <c r="B18" s="259" t="s">
        <v>2360</v>
      </c>
      <c r="C18" s="264">
        <v>0</v>
      </c>
      <c r="D18" s="1037"/>
      <c r="E18" s="262"/>
      <c r="F18" s="265">
        <v>3.0499999999999999E-2</v>
      </c>
      <c r="G18" s="263" t="s">
        <v>2361</v>
      </c>
    </row>
    <row r="19" spans="1:7" s="267" customFormat="1" ht="13.5" customHeight="1">
      <c r="A19" s="299" t="s">
        <v>2362</v>
      </c>
      <c r="B19" s="254" t="s">
        <v>2363</v>
      </c>
      <c r="C19" s="255" t="str">
        <f>IF(G19="已包含在土地取得成本中","0",ROUND(D19*E19/10000,0))</f>
        <v>0</v>
      </c>
      <c r="D19" s="1039">
        <f ca="1">D9+D10</f>
        <v>41596.89</v>
      </c>
      <c r="E19" s="255">
        <f>'数据-取费表'!B31</f>
        <v>200</v>
      </c>
      <c r="F19" s="275"/>
      <c r="G19" s="2556" t="s">
        <v>3280</v>
      </c>
    </row>
    <row r="20" spans="1:7" s="258" customFormat="1" ht="13.5" customHeight="1">
      <c r="A20" s="299" t="s">
        <v>2364</v>
      </c>
      <c r="B20" s="254" t="s">
        <v>2365</v>
      </c>
      <c r="C20" s="276">
        <f ca="1">ROUND((C5+C19)*F20,0)</f>
        <v>2514</v>
      </c>
      <c r="D20" s="276"/>
      <c r="E20" s="276"/>
      <c r="F20" s="277">
        <f>'数据-取费表'!B37</f>
        <v>1.4999999999999999E-2</v>
      </c>
      <c r="G20" s="278" t="s">
        <v>2366</v>
      </c>
    </row>
    <row r="21" spans="1:7" s="258" customFormat="1" ht="13.5" customHeight="1">
      <c r="A21" s="299" t="s">
        <v>2367</v>
      </c>
      <c r="B21" s="254" t="s">
        <v>2368</v>
      </c>
      <c r="C21" s="279">
        <f>F21</f>
        <v>0.03</v>
      </c>
      <c r="D21" s="280" t="s">
        <v>2369</v>
      </c>
      <c r="E21" s="276"/>
      <c r="F21" s="277">
        <f>'数据-取费表'!B38</f>
        <v>0.03</v>
      </c>
      <c r="G21" s="278" t="s">
        <v>2370</v>
      </c>
    </row>
    <row r="22" spans="1:7" s="258" customFormat="1" ht="13.5" customHeight="1">
      <c r="A22" s="299" t="s">
        <v>2371</v>
      </c>
      <c r="B22" s="254" t="s">
        <v>2372</v>
      </c>
      <c r="C22" s="1357">
        <f ca="1">ROUND(SUM(C23:C25),0)</f>
        <v>12172</v>
      </c>
      <c r="D22" s="279">
        <f ca="1">C26</f>
        <v>1.1000000000000001E-3</v>
      </c>
      <c r="E22" s="280" t="s">
        <v>2369</v>
      </c>
      <c r="F22" s="281">
        <f ca="1">'数据-取费表'!B40</f>
        <v>4.7500000000000001E-2</v>
      </c>
      <c r="G22" s="278" t="str">
        <f>IF('数据-取费表'!B22&lt;=1,"单利计息","复利计息")</f>
        <v>复利计息</v>
      </c>
    </row>
    <row r="23" spans="1:7" s="258" customFormat="1" ht="13.5" customHeight="1">
      <c r="A23" s="954" t="s">
        <v>2373</v>
      </c>
      <c r="B23" s="259" t="s">
        <v>2374</v>
      </c>
      <c r="C23" s="1358">
        <f ca="1">ROUND(IF('数据-取费表'!B22&lt;=1,C5*F22*'数据-取费表'!B23,C5*(POWER((1+F22),'数据-取费表'!B23)-1)),0)</f>
        <v>12083</v>
      </c>
      <c r="D23" s="282"/>
      <c r="E23" s="282"/>
      <c r="F23" s="283"/>
      <c r="G23" s="284" t="s">
        <v>2375</v>
      </c>
    </row>
    <row r="24" spans="1:7" s="258" customFormat="1" ht="13.5" customHeight="1">
      <c r="A24" s="954" t="s">
        <v>2376</v>
      </c>
      <c r="B24" s="259" t="s">
        <v>2377</v>
      </c>
      <c r="C24" s="1358">
        <f ca="1">ROUND(IF('数据-取费表'!B22&lt;=1,C19*F22*('数据-取费表'!B19/2+'数据-取费表'!B21),C19*(POWER((1+F22),('数据-取费表'!B19/2+'数据-取费表'!B21))-1)),0)</f>
        <v>0</v>
      </c>
      <c r="D24" s="282"/>
      <c r="E24" s="282"/>
      <c r="F24" s="283"/>
      <c r="G24" s="284" t="s">
        <v>2378</v>
      </c>
    </row>
    <row r="25" spans="1:7" s="258" customFormat="1" ht="24">
      <c r="A25" s="954" t="s">
        <v>2379</v>
      </c>
      <c r="B25" s="259" t="s">
        <v>2380</v>
      </c>
      <c r="C25" s="1358">
        <f ca="1">ROUND(IF('数据-取费表'!B22&lt;=1,C20*F22*'数据-取费表'!B23/2,C20*(POWER((1+F22),'数据-取费表'!B23/2)-1)),0)</f>
        <v>89</v>
      </c>
      <c r="D25" s="282"/>
      <c r="E25" s="285"/>
      <c r="F25" s="283"/>
      <c r="G25" s="286" t="s">
        <v>2381</v>
      </c>
    </row>
    <row r="26" spans="1:7" s="258" customFormat="1">
      <c r="A26" s="954" t="s">
        <v>795</v>
      </c>
      <c r="B26" s="259" t="s">
        <v>2382</v>
      </c>
      <c r="C26" s="282">
        <f ca="1">ROUND(IF('数据-取费表'!B22&lt;=1,F21*F22*'数据-取费表'!B23/2,F21*(POWER((1+F22),'数据-取费表'!B23/2)-1)),4)</f>
        <v>1.1000000000000001E-3</v>
      </c>
      <c r="D26" s="282"/>
      <c r="E26" s="285"/>
      <c r="F26" s="283"/>
      <c r="G26" s="287"/>
    </row>
    <row r="27" spans="1:7" s="258" customFormat="1" ht="24.75">
      <c r="A27" s="299" t="s">
        <v>2383</v>
      </c>
      <c r="B27" s="288" t="s">
        <v>2384</v>
      </c>
      <c r="C27" s="289">
        <f ca="1">C28</f>
        <v>25519</v>
      </c>
      <c r="D27" s="279">
        <f ca="1">C29</f>
        <v>4.4999999999999997E-3</v>
      </c>
      <c r="E27" s="280" t="s">
        <v>2385</v>
      </c>
      <c r="F27" s="290">
        <f ca="1">IF(B1="",'数据-取费表'!Q16,INDIRECT("'数据-取费表'!q"&amp;$G$1))</f>
        <v>0.2</v>
      </c>
      <c r="G27" s="291" t="s">
        <v>2386</v>
      </c>
    </row>
    <row r="28" spans="1:7" s="258" customFormat="1" ht="13.5" customHeight="1">
      <c r="A28" s="954" t="s">
        <v>791</v>
      </c>
      <c r="B28" s="292" t="s">
        <v>2387</v>
      </c>
      <c r="C28" s="293">
        <f ca="1">ROUND((C5+C19+C20)*F27*'数据-取费表'!B21/'数据-取费表'!B20,0)</f>
        <v>25519</v>
      </c>
      <c r="D28" s="279"/>
      <c r="E28" s="280"/>
      <c r="F28" s="290"/>
      <c r="G28" s="291"/>
    </row>
    <row r="29" spans="1:7" s="258" customFormat="1" ht="13.5" customHeight="1">
      <c r="A29" s="954" t="s">
        <v>792</v>
      </c>
      <c r="B29" s="292" t="s">
        <v>2388</v>
      </c>
      <c r="C29" s="282">
        <f ca="1">ROUND(C21*F27*'数据-取费表'!B21/'数据-取费表'!B20,4)</f>
        <v>4.4999999999999997E-3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228094</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11264</v>
      </c>
      <c r="D33" s="276"/>
      <c r="E33" s="256"/>
      <c r="F33" s="285"/>
      <c r="G33" s="278"/>
    </row>
    <row r="34" spans="1:7" s="302" customFormat="1" ht="13.5" customHeight="1">
      <c r="A34" s="954" t="s">
        <v>791</v>
      </c>
      <c r="B34" s="259" t="s">
        <v>2396</v>
      </c>
      <c r="C34" s="264">
        <f ca="1">IF(B1="",IF(F34=100%,'数据-取费表'!M16,'数据-取费表'!O16),IF(F34=100%,INDIRECT("'数据-取费表'!m"&amp;$G$1)+INDIRECT("'数据-取费表'!t"&amp;$G$1),INDIRECT("'数据-取费表'!o"&amp;$G$1)+INDIRECT("'数据-取费表'!aq"&amp;$G$1)))</f>
        <v>9983</v>
      </c>
      <c r="D34" s="261"/>
      <c r="E34" s="264"/>
      <c r="F34" s="301">
        <f ca="1">IF('数据-取费表'!B24=0,1,IF(B1="",'数据-取费表'!N16,INDIRECT("'数据-取费表'!n"&amp;$G$1)))</f>
        <v>0.6</v>
      </c>
      <c r="G34" s="263" t="s">
        <v>2397</v>
      </c>
    </row>
    <row r="35" spans="1:7" ht="13.5" customHeight="1">
      <c r="A35" s="954" t="s">
        <v>796</v>
      </c>
      <c r="B35" s="259" t="s">
        <v>2398</v>
      </c>
      <c r="C35" s="264">
        <f ca="1">ROUND(C34*F35,0)</f>
        <v>299</v>
      </c>
      <c r="D35" s="264"/>
      <c r="E35" s="264"/>
      <c r="F35" s="303">
        <f>'数据-取费表'!B33</f>
        <v>0.03</v>
      </c>
      <c r="G35" s="263" t="s">
        <v>2399</v>
      </c>
    </row>
    <row r="36" spans="1:7" ht="24">
      <c r="A36" s="954"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2401</v>
      </c>
    </row>
    <row r="37" spans="1:7" s="302" customFormat="1" ht="13.5" customHeight="1">
      <c r="A37" s="954" t="s">
        <v>798</v>
      </c>
      <c r="B37" s="259" t="s">
        <v>2402</v>
      </c>
      <c r="C37" s="2955">
        <f ca="1">ROUND(E37*D37/10000,0)</f>
        <v>832</v>
      </c>
      <c r="D37" s="2956">
        <f ca="1">D19</f>
        <v>41596.89</v>
      </c>
      <c r="E37" s="2955">
        <f>'数据-取费表'!B35</f>
        <v>200</v>
      </c>
      <c r="F37" s="303"/>
      <c r="G37" s="305" t="s">
        <v>2403</v>
      </c>
    </row>
    <row r="38" spans="1:7" ht="13.5" customHeight="1">
      <c r="A38" s="954" t="s">
        <v>799</v>
      </c>
      <c r="B38" s="259" t="s">
        <v>2404</v>
      </c>
      <c r="C38" s="264">
        <f ca="1">ROUND(C34*F38,0)</f>
        <v>150</v>
      </c>
      <c r="D38" s="264"/>
      <c r="E38" s="264"/>
      <c r="F38" s="303">
        <f>'数据-取费表'!B36</f>
        <v>1.4999999999999999E-2</v>
      </c>
      <c r="G38" s="263" t="s">
        <v>2399</v>
      </c>
    </row>
    <row r="39" spans="1:7" s="258" customFormat="1" ht="13.5" customHeight="1">
      <c r="A39" s="299" t="s">
        <v>2405</v>
      </c>
      <c r="B39" s="254" t="s">
        <v>2406</v>
      </c>
      <c r="C39" s="276">
        <f ca="1">ROUND(C33*F20,0)</f>
        <v>169</v>
      </c>
      <c r="D39" s="276"/>
      <c r="E39" s="276"/>
      <c r="F39" s="277"/>
      <c r="G39" s="278" t="s">
        <v>2407</v>
      </c>
    </row>
    <row r="40" spans="1:7" s="258" customFormat="1" ht="13.5" customHeight="1">
      <c r="A40" s="299" t="s">
        <v>2408</v>
      </c>
      <c r="B40" s="254" t="s">
        <v>2409</v>
      </c>
      <c r="C40" s="1731">
        <f>F21</f>
        <v>0.03</v>
      </c>
      <c r="D40" s="280" t="s">
        <v>2410</v>
      </c>
      <c r="E40" s="276"/>
      <c r="F40" s="277"/>
      <c r="G40" s="278" t="s">
        <v>2411</v>
      </c>
    </row>
    <row r="41" spans="1:7" s="258" customFormat="1" ht="13.5" customHeight="1">
      <c r="A41" s="299" t="s">
        <v>2412</v>
      </c>
      <c r="B41" s="254" t="s">
        <v>2413</v>
      </c>
      <c r="C41" s="276">
        <f ca="1">ROUND(SUM(C42:C43),0)</f>
        <v>405</v>
      </c>
      <c r="D41" s="279">
        <f ca="1">C44</f>
        <v>1.1000000000000001E-3</v>
      </c>
      <c r="E41" s="280" t="s">
        <v>2410</v>
      </c>
      <c r="F41" s="281"/>
      <c r="G41" s="278" t="str">
        <f>IF('数据-取费表'!B22&lt;=1,"单利计息","复利计息")</f>
        <v>复利计息</v>
      </c>
    </row>
    <row r="42" spans="1:7" ht="13.5" customHeight="1">
      <c r="A42" s="954" t="s">
        <v>791</v>
      </c>
      <c r="B42" s="259" t="s">
        <v>2414</v>
      </c>
      <c r="C42" s="282">
        <f ca="1">ROUND(IF('数据-取费表'!B22&lt;=1,C33*F22*'数据-取费表'!B21/2,C33*(POWER((1+F22),'数据-取费表'!B21/2)-1)),0)</f>
        <v>399</v>
      </c>
      <c r="D42" s="282"/>
      <c r="E42" s="282"/>
      <c r="F42" s="283"/>
      <c r="G42" s="3198" t="s">
        <v>2415</v>
      </c>
    </row>
    <row r="43" spans="1:7" ht="13.5" customHeight="1">
      <c r="A43" s="954" t="s">
        <v>792</v>
      </c>
      <c r="B43" s="259" t="s">
        <v>2416</v>
      </c>
      <c r="C43" s="282">
        <f ca="1">ROUND(IF('数据-取费表'!B22&lt;=1,C39*F22*'数据-取费表'!B21/2,C39*(POWER((1+F22),'数据-取费表'!B21/2)-1)),0)</f>
        <v>6</v>
      </c>
      <c r="D43" s="282"/>
      <c r="E43" s="282"/>
      <c r="F43" s="283"/>
      <c r="G43" s="3199"/>
    </row>
    <row r="44" spans="1:7" ht="13.5" customHeight="1">
      <c r="A44" s="954" t="s">
        <v>793</v>
      </c>
      <c r="B44" s="259" t="s">
        <v>2417</v>
      </c>
      <c r="C44" s="282">
        <f ca="1">ROUND(IF('数据-取费表'!B22&lt;=1,C40*F22*'数据-取费表'!B21/2,C40*(POWER((1+F22),'数据-取费表'!B21/2)-1)),4)</f>
        <v>1.1000000000000001E-3</v>
      </c>
      <c r="D44" s="282"/>
      <c r="E44" s="282"/>
      <c r="F44" s="283"/>
      <c r="G44" s="3200"/>
    </row>
    <row r="45" spans="1:7" s="258" customFormat="1" ht="13.5" customHeight="1">
      <c r="A45" s="299" t="s">
        <v>2418</v>
      </c>
      <c r="B45" s="288" t="s">
        <v>2384</v>
      </c>
      <c r="C45" s="289">
        <f ca="1">C46</f>
        <v>2287</v>
      </c>
      <c r="D45" s="279">
        <f ca="1">C47</f>
        <v>6.0000000000000001E-3</v>
      </c>
      <c r="E45" s="280" t="s">
        <v>2410</v>
      </c>
      <c r="F45" s="290"/>
      <c r="G45" s="291" t="s">
        <v>2419</v>
      </c>
    </row>
    <row r="46" spans="1:7" s="258" customFormat="1" ht="13.5" customHeight="1">
      <c r="A46" s="954" t="s">
        <v>791</v>
      </c>
      <c r="B46" s="292" t="s">
        <v>2420</v>
      </c>
      <c r="C46" s="293">
        <f ca="1">ROUND((C33+C39)*F27,0)</f>
        <v>2287</v>
      </c>
      <c r="D46" s="307"/>
      <c r="E46" s="280"/>
      <c r="F46" s="290"/>
      <c r="G46" s="291"/>
    </row>
    <row r="47" spans="1:7" s="258" customFormat="1" ht="13.5" customHeight="1">
      <c r="A47" s="954" t="s">
        <v>792</v>
      </c>
      <c r="B47" s="292" t="s">
        <v>2421</v>
      </c>
      <c r="C47" s="282">
        <f ca="1">ROUND(C40*F27,4)</f>
        <v>6.0000000000000001E-3</v>
      </c>
      <c r="D47" s="307"/>
      <c r="E47" s="280"/>
      <c r="F47" s="290"/>
      <c r="G47" s="291"/>
    </row>
    <row r="48" spans="1:7" s="258" customFormat="1" ht="13.5" customHeight="1">
      <c r="A48" s="299" t="s">
        <v>2383</v>
      </c>
      <c r="B48" s="254" t="s">
        <v>2422</v>
      </c>
      <c r="C48" s="1731">
        <f>ROUND(F30/(1+'数据-取费表'!C42),4)</f>
        <v>5.33E-2</v>
      </c>
      <c r="D48" s="280" t="s">
        <v>2410</v>
      </c>
      <c r="E48" s="276"/>
      <c r="F48" s="281"/>
      <c r="G48" s="278" t="s">
        <v>2423</v>
      </c>
    </row>
    <row r="49" spans="1:7" ht="16.5" customHeight="1">
      <c r="A49" s="299" t="s">
        <v>2389</v>
      </c>
      <c r="B49" s="254" t="s">
        <v>2424</v>
      </c>
      <c r="C49" s="276">
        <f ca="1">ROUND((C33+C39+C41+C45)/(1-C40-D41-D45-C48),0)</f>
        <v>15529</v>
      </c>
      <c r="D49" s="276"/>
      <c r="E49" s="276"/>
      <c r="F49" s="308"/>
      <c r="G49" s="278" t="s">
        <v>2425</v>
      </c>
    </row>
    <row r="50" spans="1:7" s="302" customFormat="1" ht="24">
      <c r="A50" s="299" t="s">
        <v>2426</v>
      </c>
      <c r="B50" s="254" t="s">
        <v>2427</v>
      </c>
      <c r="C50" s="276"/>
      <c r="D50" s="276"/>
      <c r="E50" s="276"/>
      <c r="F50" s="2960">
        <f>IF('数据-取费表'!B24=0,'数据-取费表'!N16,1)</f>
        <v>1</v>
      </c>
      <c r="G50" s="291" t="s">
        <v>2428</v>
      </c>
    </row>
    <row r="51" spans="1:7" ht="16.5" customHeight="1">
      <c r="A51" s="299" t="s">
        <v>2429</v>
      </c>
      <c r="B51" s="254" t="s">
        <v>2430</v>
      </c>
      <c r="C51" s="276">
        <f ca="1">ROUND(C49*F50,0)</f>
        <v>15529</v>
      </c>
      <c r="D51" s="276"/>
      <c r="E51" s="276"/>
      <c r="F51" s="308"/>
      <c r="G51" s="278" t="s">
        <v>2431</v>
      </c>
    </row>
    <row r="52" spans="1:7" s="252" customFormat="1" ht="16.5" thickBot="1">
      <c r="A52" s="309" t="s">
        <v>2432</v>
      </c>
      <c r="B52" s="310"/>
      <c r="C52" s="311">
        <f ca="1">C31+C51</f>
        <v>243623</v>
      </c>
      <c r="D52" s="310"/>
      <c r="E52" s="310"/>
      <c r="F52" s="310"/>
      <c r="G52" s="312"/>
    </row>
    <row r="55" spans="1:7" ht="15">
      <c r="B55" s="314" t="s">
        <v>2433</v>
      </c>
      <c r="C55" s="315"/>
    </row>
    <row r="56" spans="1:7">
      <c r="B56" s="317" t="s">
        <v>1514</v>
      </c>
      <c r="C56" s="319">
        <f ca="1">1-C57</f>
        <v>0.93599999999999994</v>
      </c>
    </row>
    <row r="57" spans="1:7">
      <c r="B57" s="317" t="s">
        <v>1515</v>
      </c>
      <c r="C57" s="318">
        <f ca="1">ROUND(C51/C52,3)</f>
        <v>6.4000000000000001E-2</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39"/>
      <c r="C1" s="2559" t="s">
        <v>2434</v>
      </c>
      <c r="D1" s="242"/>
      <c r="E1" s="242"/>
      <c r="F1" s="242"/>
      <c r="G1" s="1382">
        <f>MATCH(B1,'数据-取费表'!A6:A16,0)+5</f>
        <v>7</v>
      </c>
      <c r="H1" s="1285" t="str">
        <f>IF(ISERROR(FIND("住宅",B1)),"非住宅","住宅")</f>
        <v>非住宅</v>
      </c>
    </row>
    <row r="2" spans="1:8" s="244" customFormat="1" ht="18" customHeight="1">
      <c r="A2" s="245" t="s">
        <v>2333</v>
      </c>
      <c r="B2" s="246">
        <f ca="1">ROUND(IF(D2="——",C52/10000,C52/10000-E2),0)</f>
        <v>27779</v>
      </c>
      <c r="C2" s="243" t="s">
        <v>2334</v>
      </c>
      <c r="D2" s="2553" t="s">
        <v>70</v>
      </c>
      <c r="E2" s="1443" t="e">
        <f ca="1">SUMIF(INDIRECT("'"&amp;G2&amp;"'"&amp;"!A:A"),"承租人权益价值",INDIRECT("'"&amp;G2&amp;"'"&amp;"!c:c"))</f>
        <v>#REF!</v>
      </c>
      <c r="F2" s="2554" t="s">
        <v>2334</v>
      </c>
      <c r="G2" s="2555"/>
    </row>
    <row r="3" spans="1:8" s="244" customFormat="1" ht="18" customHeight="1" thickBot="1">
      <c r="A3" s="247" t="s">
        <v>2335</v>
      </c>
      <c r="B3" s="248">
        <f ca="1">ROUND(B2*10000/(IF(B1="",'数据-汇总表'!E3,INDIRECT("'数据-取费表'!k"&amp;$G$1))),0)</f>
        <v>6678</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8319378</v>
      </c>
      <c r="D5" s="255" t="s">
        <v>2340</v>
      </c>
      <c r="E5" s="256" t="s">
        <v>2341</v>
      </c>
      <c r="F5" s="256" t="s">
        <v>2342</v>
      </c>
      <c r="G5" s="257"/>
    </row>
    <row r="6" spans="1:8" s="258" customFormat="1" ht="13.5" customHeight="1">
      <c r="A6" s="952" t="s">
        <v>2343</v>
      </c>
      <c r="B6" s="259" t="s">
        <v>2344</v>
      </c>
      <c r="C6" s="260"/>
      <c r="D6" s="261"/>
      <c r="E6" s="262"/>
      <c r="F6" s="262"/>
      <c r="G6" s="263"/>
    </row>
    <row r="7" spans="1:8" s="258" customFormat="1" ht="13.5" customHeight="1">
      <c r="A7" s="952" t="s">
        <v>2345</v>
      </c>
      <c r="B7" s="259" t="s">
        <v>2346</v>
      </c>
      <c r="C7" s="264">
        <f>ROUND(C6*F7,0)</f>
        <v>0</v>
      </c>
      <c r="D7" s="264"/>
      <c r="E7" s="262"/>
      <c r="F7" s="265">
        <f>'数据-取费表'!B48+'数据-取费表'!B49</f>
        <v>3.0499999999999999E-2</v>
      </c>
      <c r="G7" s="263"/>
    </row>
    <row r="8" spans="1:8" s="267" customFormat="1">
      <c r="A8" s="952" t="s">
        <v>2347</v>
      </c>
      <c r="B8" s="259" t="s">
        <v>2348</v>
      </c>
      <c r="C8" s="264">
        <f ca="1">IF(G8="已包含在土地购买价格中",0,C9+C10)</f>
        <v>8319378</v>
      </c>
      <c r="D8" s="266"/>
      <c r="E8" s="264"/>
      <c r="F8" s="265"/>
      <c r="G8" s="2556"/>
    </row>
    <row r="9" spans="1:8" s="258" customFormat="1" ht="13.5" customHeight="1">
      <c r="A9" s="953" t="s">
        <v>800</v>
      </c>
      <c r="B9" s="268" t="s">
        <v>2349</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2351</v>
      </c>
      <c r="C10" s="269">
        <f ca="1">ROUND(D10*E10,0)</f>
        <v>8319378</v>
      </c>
      <c r="D10" s="1035">
        <f ca="1">IF(B1="",'数据-汇总表'!E6,IF(INDIRECT("'数据-取费表'!c"&amp;$G$1)="住宅",INDIRECT("'数据-取费表'!s"&amp;$G$1),INDIRECT("'数据-取费表'!k"&amp;$G$1)+INDIRECT("'数据-取费表'!s"&amp;$G$1)))</f>
        <v>41596.89</v>
      </c>
      <c r="E10" s="269">
        <f>'数据-取费表'!B28</f>
        <v>200</v>
      </c>
      <c r="F10" s="265"/>
      <c r="G10" s="270"/>
    </row>
    <row r="11" spans="1:8" s="258" customFormat="1" ht="13.5" hidden="1" customHeight="1">
      <c r="A11" s="271" t="s">
        <v>7</v>
      </c>
      <c r="B11" s="259" t="s">
        <v>2352</v>
      </c>
      <c r="C11" s="255"/>
      <c r="D11" s="1037"/>
      <c r="E11" s="262"/>
      <c r="F11" s="262"/>
      <c r="G11" s="263"/>
    </row>
    <row r="12" spans="1:8" s="258" customFormat="1" ht="13.5" hidden="1" customHeight="1">
      <c r="A12" s="271" t="s">
        <v>8</v>
      </c>
      <c r="B12" s="259" t="s">
        <v>2435</v>
      </c>
      <c r="C12" s="255">
        <v>0</v>
      </c>
      <c r="D12" s="1037"/>
      <c r="E12" s="272"/>
      <c r="F12" s="265">
        <v>3.0499999999999999E-2</v>
      </c>
      <c r="G12" s="263"/>
    </row>
    <row r="13" spans="1:8" s="258" customFormat="1" ht="13.5" hidden="1" customHeight="1">
      <c r="A13" s="271" t="s">
        <v>9</v>
      </c>
      <c r="B13" s="259" t="s">
        <v>2436</v>
      </c>
      <c r="C13" s="255"/>
      <c r="D13" s="1037"/>
      <c r="E13" s="262"/>
      <c r="F13" s="262"/>
      <c r="G13" s="263"/>
    </row>
    <row r="14" spans="1:8" s="258" customFormat="1" ht="13.5" hidden="1" customHeight="1">
      <c r="A14" s="271" t="s">
        <v>10</v>
      </c>
      <c r="B14" s="259" t="s">
        <v>2348</v>
      </c>
      <c r="C14" s="255"/>
      <c r="D14" s="1037"/>
      <c r="E14" s="262"/>
      <c r="F14" s="262"/>
      <c r="G14" s="263" t="s">
        <v>2437</v>
      </c>
    </row>
    <row r="15" spans="1:8" s="258" customFormat="1" ht="13.5" hidden="1" customHeight="1">
      <c r="A15" s="271" t="s">
        <v>11</v>
      </c>
      <c r="B15" s="259" t="s">
        <v>2438</v>
      </c>
      <c r="C15" s="264"/>
      <c r="D15" s="1037"/>
      <c r="E15" s="262"/>
      <c r="F15" s="262"/>
      <c r="G15" s="263" t="s">
        <v>2439</v>
      </c>
    </row>
    <row r="16" spans="1:8" s="258" customFormat="1" ht="13.5" hidden="1" customHeight="1">
      <c r="A16" s="271" t="s">
        <v>12</v>
      </c>
      <c r="B16" s="259" t="s">
        <v>2348</v>
      </c>
      <c r="C16" s="264"/>
      <c r="D16" s="1037"/>
      <c r="E16" s="262"/>
      <c r="F16" s="262"/>
      <c r="G16" s="263"/>
    </row>
    <row r="17" spans="1:7" s="258" customFormat="1" ht="13.5" hidden="1" customHeight="1">
      <c r="A17" s="271" t="s">
        <v>13</v>
      </c>
      <c r="B17" s="259" t="s">
        <v>2440</v>
      </c>
      <c r="C17" s="273"/>
      <c r="D17" s="1038"/>
      <c r="E17" s="273"/>
      <c r="F17" s="273"/>
      <c r="G17" s="263" t="s">
        <v>2439</v>
      </c>
    </row>
    <row r="18" spans="1:7" s="258" customFormat="1" ht="13.5" hidden="1" customHeight="1">
      <c r="A18" s="271" t="s">
        <v>14</v>
      </c>
      <c r="B18" s="259" t="s">
        <v>2441</v>
      </c>
      <c r="C18" s="264">
        <v>0</v>
      </c>
      <c r="D18" s="1037"/>
      <c r="E18" s="262"/>
      <c r="F18" s="265">
        <v>3.0499999999999999E-2</v>
      </c>
      <c r="G18" s="263" t="s">
        <v>2442</v>
      </c>
    </row>
    <row r="19" spans="1:7" s="267" customFormat="1" ht="13.5" customHeight="1">
      <c r="A19" s="299" t="s">
        <v>2443</v>
      </c>
      <c r="B19" s="254" t="s">
        <v>2444</v>
      </c>
      <c r="C19" s="255">
        <f ca="1">IF(G19="已包含在土地取得成本中","0",ROUND(D19*E19,0))</f>
        <v>8319378</v>
      </c>
      <c r="D19" s="1039">
        <f ca="1">D9+D10</f>
        <v>41596.89</v>
      </c>
      <c r="E19" s="255">
        <f>'数据-取费表'!B31</f>
        <v>200</v>
      </c>
      <c r="F19" s="275"/>
      <c r="G19" s="2556"/>
    </row>
    <row r="20" spans="1:7" s="258" customFormat="1" ht="13.5" customHeight="1">
      <c r="A20" s="299" t="s">
        <v>2445</v>
      </c>
      <c r="B20" s="254" t="s">
        <v>2446</v>
      </c>
      <c r="C20" s="276">
        <f ca="1">ROUND((C5+C19)*F20,0)</f>
        <v>249581</v>
      </c>
      <c r="D20" s="276"/>
      <c r="E20" s="276"/>
      <c r="F20" s="277">
        <f>'数据-取费表'!B37</f>
        <v>1.4999999999999999E-2</v>
      </c>
      <c r="G20" s="278" t="s">
        <v>2447</v>
      </c>
    </row>
    <row r="21" spans="1:7" s="258" customFormat="1" ht="13.5" customHeight="1">
      <c r="A21" s="299" t="s">
        <v>2448</v>
      </c>
      <c r="B21" s="254" t="s">
        <v>2449</v>
      </c>
      <c r="C21" s="279">
        <f>F21</f>
        <v>0.03</v>
      </c>
      <c r="D21" s="280" t="s">
        <v>2450</v>
      </c>
      <c r="E21" s="276"/>
      <c r="F21" s="277">
        <f>'数据-取费表'!B38</f>
        <v>0.03</v>
      </c>
      <c r="G21" s="278" t="s">
        <v>2451</v>
      </c>
    </row>
    <row r="22" spans="1:7" s="258" customFormat="1" ht="13.5" customHeight="1">
      <c r="A22" s="299" t="s">
        <v>2452</v>
      </c>
      <c r="B22" s="254" t="s">
        <v>2453</v>
      </c>
      <c r="C22" s="1383">
        <f ca="1">ROUND(SUM(C23:C25),0)</f>
        <v>1630079</v>
      </c>
      <c r="D22" s="279">
        <f ca="1">C26</f>
        <v>1.4E-3</v>
      </c>
      <c r="E22" s="280" t="s">
        <v>2450</v>
      </c>
      <c r="F22" s="281">
        <f ca="1">'数据-取费表'!B40</f>
        <v>4.7500000000000001E-2</v>
      </c>
      <c r="G22" s="278" t="str">
        <f>IF('数据-取费表'!B22&lt;=1,"单利计息","复利计息")</f>
        <v>复利计息</v>
      </c>
    </row>
    <row r="23" spans="1:7" s="258" customFormat="1" ht="13.5" customHeight="1">
      <c r="A23" s="954" t="s">
        <v>2343</v>
      </c>
      <c r="B23" s="259" t="s">
        <v>2454</v>
      </c>
      <c r="C23" s="1384">
        <f ca="1">ROUND(IF('数据-取费表'!B22&lt;=1,C5*F22*'数据-取费表'!B22,C5*(POWER((1+F22),'数据-取费表'!B22)-1)),0)</f>
        <v>809112</v>
      </c>
      <c r="D23" s="282"/>
      <c r="E23" s="282"/>
      <c r="F23" s="283"/>
      <c r="G23" s="284" t="s">
        <v>2455</v>
      </c>
    </row>
    <row r="24" spans="1:7" s="258" customFormat="1" ht="13.5" customHeight="1">
      <c r="A24" s="954" t="s">
        <v>2345</v>
      </c>
      <c r="B24" s="259" t="s">
        <v>2456</v>
      </c>
      <c r="C24" s="1384">
        <f ca="1">ROUND(IF('数据-取费表'!B22&lt;=1,C19*F22*('数据-取费表'!B19/2+'数据-取费表'!B20),C19*(POWER((1+F22),('数据-取费表'!B19/2+'数据-取费表'!B20))-1)),0)</f>
        <v>809112</v>
      </c>
      <c r="D24" s="282"/>
      <c r="E24" s="282"/>
      <c r="F24" s="283"/>
      <c r="G24" s="284" t="s">
        <v>2457</v>
      </c>
    </row>
    <row r="25" spans="1:7" s="258" customFormat="1" ht="24">
      <c r="A25" s="954" t="s">
        <v>2347</v>
      </c>
      <c r="B25" s="259" t="s">
        <v>2458</v>
      </c>
      <c r="C25" s="1384">
        <f ca="1">ROUND(IF('数据-取费表'!B22&lt;=1,C20*F22*'数据-取费表'!B22/2,C20*(POWER((1+F22),'数据-取费表'!B22/2)-1)),0)</f>
        <v>11855</v>
      </c>
      <c r="D25" s="282"/>
      <c r="E25" s="285"/>
      <c r="F25" s="283"/>
      <c r="G25" s="286" t="s">
        <v>2459</v>
      </c>
    </row>
    <row r="26" spans="1:7" s="258" customFormat="1">
      <c r="A26" s="954" t="s">
        <v>795</v>
      </c>
      <c r="B26" s="259" t="s">
        <v>2382</v>
      </c>
      <c r="C26" s="282">
        <f ca="1">ROUND(IF('数据-取费表'!B22&lt;=1,F21*F22*'数据-取费表'!B22/2,F21*(POWER((1+F22),'数据-取费表'!B22/2)-1)),4)</f>
        <v>1.4E-3</v>
      </c>
      <c r="D26" s="282"/>
      <c r="E26" s="285"/>
      <c r="F26" s="283"/>
      <c r="G26" s="287"/>
    </row>
    <row r="27" spans="1:7" s="258" customFormat="1" ht="24.75">
      <c r="A27" s="299" t="s">
        <v>2383</v>
      </c>
      <c r="B27" s="288" t="s">
        <v>2384</v>
      </c>
      <c r="C27" s="289">
        <f ca="1">C28</f>
        <v>3377667</v>
      </c>
      <c r="D27" s="279">
        <f ca="1">C29</f>
        <v>6.0000000000000001E-3</v>
      </c>
      <c r="E27" s="280" t="s">
        <v>2385</v>
      </c>
      <c r="F27" s="290">
        <f ca="1">IF(B1="",'数据-取费表'!Q16,INDIRECT("'数据-取费表'!q"&amp;$G$1))</f>
        <v>0.2</v>
      </c>
      <c r="G27" s="291" t="s">
        <v>2386</v>
      </c>
    </row>
    <row r="28" spans="1:7" s="258" customFormat="1" ht="13.5" customHeight="1">
      <c r="A28" s="954" t="s">
        <v>791</v>
      </c>
      <c r="B28" s="292" t="s">
        <v>2387</v>
      </c>
      <c r="C28" s="293">
        <f ca="1">ROUND((C5+C19+C20)*F27,0)</f>
        <v>3377667</v>
      </c>
      <c r="D28" s="279"/>
      <c r="E28" s="280"/>
      <c r="F28" s="290"/>
      <c r="G28" s="291"/>
    </row>
    <row r="29" spans="1:7" s="258" customFormat="1" ht="13.5" customHeight="1">
      <c r="A29" s="954" t="s">
        <v>792</v>
      </c>
      <c r="B29" s="292" t="s">
        <v>2388</v>
      </c>
      <c r="C29" s="282">
        <f ca="1">ROUND(C21*F27,4)</f>
        <v>6.0000000000000001E-3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24080153</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182194378</v>
      </c>
      <c r="D33" s="276"/>
      <c r="E33" s="256"/>
      <c r="F33" s="285"/>
      <c r="G33" s="278"/>
    </row>
    <row r="34" spans="1:7" s="302" customFormat="1" ht="13.5" customHeight="1">
      <c r="A34" s="954" t="s">
        <v>791</v>
      </c>
      <c r="B34" s="259" t="s">
        <v>2396</v>
      </c>
      <c r="C34" s="264">
        <f ca="1">ROUND(IF(B1="",SUMPRODUCT('数据-取费表'!K6:K14,'数据-取费表'!L6:L14),INDIRECT("'数据-取费表'!l"&amp;$G$1)*INDIRECT("'数据-取费表'!k"&amp;$G$1)+'数据-取费表'!L14*INDIRECT("'数据-取费表'!S"&amp;$G$1)),0)</f>
        <v>166387560</v>
      </c>
      <c r="D34" s="261"/>
      <c r="E34" s="264"/>
      <c r="F34" s="301"/>
      <c r="G34" s="263"/>
    </row>
    <row r="35" spans="1:7" ht="13.5" customHeight="1">
      <c r="A35" s="954" t="s">
        <v>796</v>
      </c>
      <c r="B35" s="259" t="s">
        <v>2398</v>
      </c>
      <c r="C35" s="264">
        <f ca="1">ROUND(C34*F35,0)</f>
        <v>4991627</v>
      </c>
      <c r="D35" s="264"/>
      <c r="E35" s="264"/>
      <c r="F35" s="303">
        <f>'数据-取费表'!B33</f>
        <v>0.03</v>
      </c>
      <c r="G35" s="263" t="s">
        <v>2399</v>
      </c>
    </row>
    <row r="36" spans="1:7" ht="24">
      <c r="A36" s="954" t="s">
        <v>797</v>
      </c>
      <c r="B36" s="259" t="s">
        <v>2400</v>
      </c>
      <c r="C36" s="264">
        <f ca="1">ROUND(IF(B1="",SUM('数据-取费表'!AP6:AP13)*F36,IF(INDIRECT("'数据-取费表'!c"&amp;$G$1)="住宅",INDIRECT("'数据-取费表'!k"&amp;$G$1)*INDIRECT("'数据-取费表'!l"&amp;$G$1)*F36,0)),0)</f>
        <v>0</v>
      </c>
      <c r="D36" s="264"/>
      <c r="E36" s="264"/>
      <c r="F36" s="303">
        <f>'数据-取费表'!B34</f>
        <v>0</v>
      </c>
      <c r="G36" s="304" t="s">
        <v>2401</v>
      </c>
    </row>
    <row r="37" spans="1:7" s="302" customFormat="1" ht="13.5" customHeight="1">
      <c r="A37" s="954" t="s">
        <v>798</v>
      </c>
      <c r="B37" s="259" t="s">
        <v>2402</v>
      </c>
      <c r="C37" s="293">
        <f ca="1">ROUND(E37*D37,0)</f>
        <v>8319378</v>
      </c>
      <c r="D37" s="261">
        <f ca="1">D19</f>
        <v>41596.89</v>
      </c>
      <c r="E37" s="293">
        <f>'数据-取费表'!B35</f>
        <v>200</v>
      </c>
      <c r="F37" s="303"/>
      <c r="G37" s="305"/>
    </row>
    <row r="38" spans="1:7" ht="13.5" customHeight="1">
      <c r="A38" s="954" t="s">
        <v>799</v>
      </c>
      <c r="B38" s="259" t="s">
        <v>2404</v>
      </c>
      <c r="C38" s="264">
        <f ca="1">ROUND(C34*F38,0)</f>
        <v>2495813</v>
      </c>
      <c r="D38" s="264"/>
      <c r="E38" s="264"/>
      <c r="F38" s="303">
        <f>'数据-取费表'!B36</f>
        <v>1.4999999999999999E-2</v>
      </c>
      <c r="G38" s="263" t="s">
        <v>2399</v>
      </c>
    </row>
    <row r="39" spans="1:7" s="258" customFormat="1" ht="13.5" customHeight="1">
      <c r="A39" s="299" t="s">
        <v>2405</v>
      </c>
      <c r="B39" s="254" t="s">
        <v>2406</v>
      </c>
      <c r="C39" s="276">
        <f ca="1">ROUND(C33*F20,0)</f>
        <v>2732916</v>
      </c>
      <c r="D39" s="276"/>
      <c r="E39" s="276"/>
      <c r="F39" s="277"/>
      <c r="G39" s="278" t="s">
        <v>2407</v>
      </c>
    </row>
    <row r="40" spans="1:7" s="258" customFormat="1" ht="13.5" customHeight="1">
      <c r="A40" s="299" t="s">
        <v>2408</v>
      </c>
      <c r="B40" s="254" t="s">
        <v>2409</v>
      </c>
      <c r="C40" s="1731">
        <f>F21</f>
        <v>0.03</v>
      </c>
      <c r="D40" s="280" t="s">
        <v>2410</v>
      </c>
      <c r="E40" s="276"/>
      <c r="F40" s="277"/>
      <c r="G40" s="278" t="s">
        <v>2411</v>
      </c>
    </row>
    <row r="41" spans="1:7" s="258" customFormat="1" ht="13.5" customHeight="1">
      <c r="A41" s="299" t="s">
        <v>2412</v>
      </c>
      <c r="B41" s="254" t="s">
        <v>2413</v>
      </c>
      <c r="C41" s="276">
        <f ca="1">ROUND(SUM(C42:C43),0)</f>
        <v>8784047</v>
      </c>
      <c r="D41" s="279">
        <f ca="1">C44</f>
        <v>1.4E-3</v>
      </c>
      <c r="E41" s="280" t="s">
        <v>2410</v>
      </c>
      <c r="F41" s="281"/>
      <c r="G41" s="278" t="str">
        <f>IF('数据-取费表'!B22&lt;=1,"单利计息","复利计息")</f>
        <v>复利计息</v>
      </c>
    </row>
    <row r="42" spans="1:7" ht="13.5" customHeight="1">
      <c r="A42" s="954" t="s">
        <v>791</v>
      </c>
      <c r="B42" s="259" t="s">
        <v>2414</v>
      </c>
      <c r="C42" s="282">
        <f ca="1">ROUND(IF('数据-取费表'!B22&lt;=1,C33*F22*'数据-取费表'!B20/2,C33*(POWER((1+F22),'数据-取费表'!B20/2)-1)),0)</f>
        <v>8654233</v>
      </c>
      <c r="D42" s="282"/>
      <c r="E42" s="282"/>
      <c r="F42" s="283"/>
      <c r="G42" s="3198" t="s">
        <v>2462</v>
      </c>
    </row>
    <row r="43" spans="1:7" ht="13.5" customHeight="1">
      <c r="A43" s="954" t="s">
        <v>792</v>
      </c>
      <c r="B43" s="259" t="s">
        <v>2416</v>
      </c>
      <c r="C43" s="282">
        <f ca="1">ROUND(IF('数据-取费表'!B22&lt;=1,C39*F22*'数据-取费表'!B20/2,C39*(POWER((1+F22),'数据-取费表'!B20/2)-1)),0)</f>
        <v>129814</v>
      </c>
      <c r="D43" s="282"/>
      <c r="E43" s="282"/>
      <c r="F43" s="283"/>
      <c r="G43" s="3199"/>
    </row>
    <row r="44" spans="1:7" ht="13.5" customHeight="1">
      <c r="A44" s="954" t="s">
        <v>793</v>
      </c>
      <c r="B44" s="259" t="s">
        <v>2417</v>
      </c>
      <c r="C44" s="282">
        <f ca="1">ROUND(IF('数据-取费表'!B22&lt;=1,C40*F22*'数据-取费表'!B20/2,C40*(POWER((1+F22),'数据-取费表'!B20/2)-1)),4)</f>
        <v>1.4E-3</v>
      </c>
      <c r="D44" s="282"/>
      <c r="E44" s="282"/>
      <c r="F44" s="283"/>
      <c r="G44" s="3200"/>
    </row>
    <row r="45" spans="1:7" s="258" customFormat="1" ht="13.5" customHeight="1">
      <c r="A45" s="299" t="s">
        <v>2418</v>
      </c>
      <c r="B45" s="288" t="s">
        <v>2384</v>
      </c>
      <c r="C45" s="289">
        <f ca="1">C46</f>
        <v>36985459</v>
      </c>
      <c r="D45" s="279">
        <f ca="1">C47</f>
        <v>6.0000000000000001E-3</v>
      </c>
      <c r="E45" s="280" t="s">
        <v>2410</v>
      </c>
      <c r="F45" s="290"/>
      <c r="G45" s="291" t="s">
        <v>2419</v>
      </c>
    </row>
    <row r="46" spans="1:7" s="258" customFormat="1" ht="13.5" customHeight="1">
      <c r="A46" s="954" t="s">
        <v>791</v>
      </c>
      <c r="B46" s="292" t="s">
        <v>2420</v>
      </c>
      <c r="C46" s="293">
        <f ca="1">ROUND((C33+C39)*F27,0)</f>
        <v>36985459</v>
      </c>
      <c r="D46" s="307"/>
      <c r="E46" s="280"/>
      <c r="F46" s="290"/>
      <c r="G46" s="291"/>
    </row>
    <row r="47" spans="1:7" s="258" customFormat="1" ht="13.5" customHeight="1">
      <c r="A47" s="954" t="s">
        <v>792</v>
      </c>
      <c r="B47" s="292" t="s">
        <v>2421</v>
      </c>
      <c r="C47" s="282">
        <f ca="1">ROUND(C40*F27,4)</f>
        <v>6.0000000000000001E-3</v>
      </c>
      <c r="D47" s="307"/>
      <c r="E47" s="280"/>
      <c r="F47" s="290"/>
      <c r="G47" s="291"/>
    </row>
    <row r="48" spans="1:7" s="258" customFormat="1" ht="13.5" customHeight="1">
      <c r="A48" s="299" t="s">
        <v>2383</v>
      </c>
      <c r="B48" s="254" t="s">
        <v>2422</v>
      </c>
      <c r="C48" s="306">
        <f>ROUND(F30/(1+'数据-取费表'!C42),4)</f>
        <v>5.33E-2</v>
      </c>
      <c r="D48" s="280" t="s">
        <v>2410</v>
      </c>
      <c r="E48" s="276"/>
      <c r="F48" s="281"/>
      <c r="G48" s="278" t="s">
        <v>2423</v>
      </c>
    </row>
    <row r="49" spans="1:7" ht="16.5" customHeight="1">
      <c r="A49" s="299" t="s">
        <v>2389</v>
      </c>
      <c r="B49" s="254" t="s">
        <v>2463</v>
      </c>
      <c r="C49" s="276">
        <f ca="1">ROUND((C33+C39+C41+C45)/(1-C40-D41-D45-C48),0)</f>
        <v>253708127</v>
      </c>
      <c r="D49" s="276"/>
      <c r="E49" s="276"/>
      <c r="F49" s="308"/>
      <c r="G49" s="278" t="s">
        <v>2425</v>
      </c>
    </row>
    <row r="50" spans="1:7" s="302" customFormat="1">
      <c r="A50" s="299" t="s">
        <v>2426</v>
      </c>
      <c r="B50" s="254" t="s">
        <v>2427</v>
      </c>
      <c r="C50" s="276"/>
      <c r="D50" s="276"/>
      <c r="E50" s="276"/>
      <c r="F50" s="308">
        <f>IF('数据-取费表'!B24=0,'数据-取费表'!N16,1)</f>
        <v>1</v>
      </c>
      <c r="G50" s="291"/>
    </row>
    <row r="51" spans="1:7" ht="16.5" customHeight="1">
      <c r="A51" s="299" t="s">
        <v>2429</v>
      </c>
      <c r="B51" s="254" t="s">
        <v>2464</v>
      </c>
      <c r="C51" s="276">
        <f ca="1">ROUND(C49*F50,0)</f>
        <v>253708127</v>
      </c>
      <c r="D51" s="276"/>
      <c r="E51" s="276"/>
      <c r="F51" s="308"/>
      <c r="G51" s="278" t="s">
        <v>2431</v>
      </c>
    </row>
    <row r="52" spans="1:7" s="252" customFormat="1" ht="16.5" thickBot="1">
      <c r="A52" s="309" t="s">
        <v>2432</v>
      </c>
      <c r="B52" s="310"/>
      <c r="C52" s="311">
        <f ca="1">C31+C51</f>
        <v>277788280</v>
      </c>
      <c r="D52" s="310"/>
      <c r="E52" s="310"/>
      <c r="F52" s="310"/>
      <c r="G52" s="312"/>
    </row>
    <row r="55" spans="1:7" ht="15">
      <c r="B55" s="314" t="s">
        <v>2433</v>
      </c>
      <c r="C55" s="315"/>
    </row>
    <row r="56" spans="1:7">
      <c r="B56" s="317" t="s">
        <v>1514</v>
      </c>
      <c r="C56" s="319">
        <f ca="1">1-C57</f>
        <v>8.6999999999999966E-2</v>
      </c>
    </row>
    <row r="57" spans="1:7">
      <c r="B57" s="317" t="s">
        <v>1515</v>
      </c>
      <c r="C57" s="318">
        <f ca="1">ROUND(C51/C52,3)</f>
        <v>0.91300000000000003</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H23" sqref="H23"/>
    </sheetView>
  </sheetViews>
  <sheetFormatPr defaultColWidth="12" defaultRowHeight="12.75"/>
  <cols>
    <col min="1" max="1" width="9.75" style="2801" customWidth="1"/>
    <col min="2" max="2" width="19.25" style="2907" customWidth="1"/>
    <col min="3" max="3" width="14.5" style="2726" customWidth="1"/>
    <col min="4" max="4" width="15" style="2726" customWidth="1"/>
    <col min="5" max="5" width="14.625" style="2726" customWidth="1"/>
    <col min="6" max="7" width="12" style="2726"/>
    <col min="8" max="8" width="16.875" style="2726" customWidth="1"/>
    <col min="9" max="9" width="12.25" style="2726" bestFit="1" customWidth="1"/>
    <col min="10" max="10" width="12" style="2726"/>
    <col min="11" max="11" width="8.125" style="2793" customWidth="1"/>
    <col min="12" max="12" width="16.25" style="2726" customWidth="1"/>
    <col min="13" max="13" width="8.5" style="2726" customWidth="1"/>
    <col min="14" max="14" width="9.75" style="2726" customWidth="1"/>
    <col min="15" max="25" width="12" style="2726"/>
    <col min="26" max="26" width="9.375" style="2801" customWidth="1"/>
    <col min="27" max="32" width="9.375" style="1375" customWidth="1"/>
    <col min="33" max="36" width="9.375" style="2801" customWidth="1"/>
    <col min="37" max="38" width="9.375" style="2726" customWidth="1"/>
    <col min="39" max="16384" width="12" style="2726"/>
  </cols>
  <sheetData>
    <row r="1" spans="1:36" ht="28.5">
      <c r="A1" s="240" t="s">
        <v>2807</v>
      </c>
      <c r="B1" s="241"/>
      <c r="C1" s="245" t="s">
        <v>2808</v>
      </c>
      <c r="D1" s="388">
        <f>SUM(D29:D30,D33:D39)</f>
        <v>16833.809999999998</v>
      </c>
      <c r="E1" s="2723"/>
      <c r="F1" s="2723"/>
      <c r="G1" s="2723"/>
      <c r="H1" s="2723"/>
      <c r="I1" s="2723"/>
      <c r="J1" s="2723"/>
      <c r="K1" s="1373"/>
      <c r="L1" s="2724" t="s">
        <v>2809</v>
      </c>
      <c r="M1" s="1083">
        <f>SUMPRODUCT((区片价!B5:B9=I2)*(区片价!C3:F3=E2)*(区片价!C5:F9))</f>
        <v>0</v>
      </c>
      <c r="N1" s="1086">
        <f>SUMPRODUCT((因素修正幅度!B5:B9=I2)*(因素修正幅度!C3:F3=E2)*(因素修正幅度!C5:F9))</f>
        <v>0</v>
      </c>
      <c r="O1" s="2725"/>
      <c r="P1" s="2725"/>
      <c r="Q1" s="1373"/>
      <c r="R1" s="1605" t="s">
        <v>2810</v>
      </c>
      <c r="S1" s="1605" t="s">
        <v>2811</v>
      </c>
      <c r="T1" s="1605" t="s">
        <v>2812</v>
      </c>
      <c r="U1" s="1605" t="s">
        <v>2813</v>
      </c>
      <c r="V1" s="1605" t="s">
        <v>2814</v>
      </c>
      <c r="W1" s="1609"/>
      <c r="X1" s="1609"/>
      <c r="Y1" s="1609"/>
      <c r="Z1" s="1609"/>
      <c r="AA1" s="1609"/>
      <c r="AB1" s="1609"/>
      <c r="AC1" s="1610"/>
      <c r="AD1" s="1611"/>
      <c r="AE1" s="1611"/>
      <c r="AF1" s="1611"/>
      <c r="AG1" s="1611"/>
      <c r="AH1" s="1611"/>
      <c r="AI1" s="1611"/>
      <c r="AJ1" s="1612"/>
    </row>
    <row r="2" spans="1:36" ht="15.75">
      <c r="A2" s="245" t="s">
        <v>2815</v>
      </c>
      <c r="B2" s="248">
        <f ca="1">C26</f>
        <v>40089</v>
      </c>
      <c r="C2" s="2727" t="s">
        <v>2816</v>
      </c>
      <c r="D2" s="2728" t="s">
        <v>2817</v>
      </c>
      <c r="E2" s="2729" t="s">
        <v>1377</v>
      </c>
      <c r="F2" s="2728" t="s">
        <v>2818</v>
      </c>
      <c r="G2" s="2730" t="str">
        <f>IF(E2="商业",项目基本情况!B37,IF(E2="办公",项目基本情况!C37,IF(E2="住宅",项目基本情况!D37,项目基本情况!E37)))</f>
        <v>二级</v>
      </c>
      <c r="H2" s="2728" t="s">
        <v>2819</v>
      </c>
      <c r="I2" s="2730" t="str">
        <f>IF(E2="商业",项目基本情况!B38,IF(E2="办公",项目基本情况!C38,IF(E2="住宅",项目基本情况!D38,项目基本情况!E38)))</f>
        <v>Ⅱ—16</v>
      </c>
      <c r="J2" s="2731"/>
      <c r="K2" s="1373"/>
      <c r="L2" s="2732" t="s">
        <v>2820</v>
      </c>
      <c r="M2" s="1084">
        <f>SUMPRODUCT((区片价!B10:B28=I2)*(区片价!C3:F3=E2)*(区片价!C10:F28))</f>
        <v>27550</v>
      </c>
      <c r="N2" s="1086">
        <f>SUMPRODUCT((因素修正幅度!B10:B28=I2)*(因素修正幅度!C3:F3=E2)*(因素修正幅度!C10:F28))</f>
        <v>8.8999999999999996E-2</v>
      </c>
      <c r="O2" s="1373"/>
      <c r="P2" s="1373"/>
      <c r="Q2" s="1373"/>
      <c r="R2" s="1605">
        <v>1</v>
      </c>
      <c r="S2" s="1605">
        <f>ROUND(IF(G3&gt;1,IF(R2&lt;7,SUMPRODUCT((B93:B98=R2)*(C92:N92=G2)*(C93:N98)),SUMIF(C92:N92,G2,C100:N100)),IF(R2&lt;7,SUMPRODUCT((B102:B107=R2)*(C92:N92=G2)*(C102:N107)),SUMIF(C92:N92,G2,C109:N109))),4)</f>
        <v>1.9361999999999999</v>
      </c>
      <c r="T2" s="1605">
        <f ca="1">ROUND($C$5*$C$18*$C$19*$C$20*S2*$C$24,0)</f>
        <v>70612</v>
      </c>
      <c r="U2" s="1606">
        <f>面积!E64+面积!E58</f>
        <v>5097.47</v>
      </c>
      <c r="V2" s="1605">
        <f ca="1">ROUND(T2*U2/10000,0)</f>
        <v>35994</v>
      </c>
      <c r="W2" s="1609"/>
      <c r="X2" s="1609"/>
      <c r="Y2" s="1609"/>
      <c r="Z2" s="1609"/>
      <c r="AA2" s="1609"/>
      <c r="AB2" s="1609"/>
      <c r="AC2" s="1610"/>
      <c r="AD2" s="1611"/>
      <c r="AE2" s="1611"/>
      <c r="AF2" s="1611"/>
      <c r="AG2" s="1611"/>
      <c r="AH2" s="1611"/>
      <c r="AI2" s="1611"/>
      <c r="AJ2" s="1612"/>
    </row>
    <row r="3" spans="1:36" ht="15.75">
      <c r="A3" s="247" t="s">
        <v>2821</v>
      </c>
      <c r="B3" s="248">
        <f ca="1">ROUND(B2*10000/D1,0)</f>
        <v>23815</v>
      </c>
      <c r="C3" s="2727" t="s">
        <v>2822</v>
      </c>
      <c r="D3" s="2728" t="s">
        <v>2823</v>
      </c>
      <c r="E3" s="2733" t="s">
        <v>3269</v>
      </c>
      <c r="F3" s="2962" t="s">
        <v>3303</v>
      </c>
      <c r="G3" s="916">
        <f>IF(F3="宗地容积率",'数据-汇总表'!I4,IF(F3="估价对象容积率",'数据-汇总表'!I6,'数据-汇总表'!I7))</f>
        <v>2.93</v>
      </c>
      <c r="H3" s="198" t="s">
        <v>2824</v>
      </c>
      <c r="I3" s="947"/>
      <c r="J3" s="2731" t="s">
        <v>2825</v>
      </c>
      <c r="K3" s="1373"/>
      <c r="L3" s="2732" t="s">
        <v>2826</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51779</v>
      </c>
      <c r="U3" s="1606">
        <f>面积!E59+面积!E65</f>
        <v>7362.93</v>
      </c>
      <c r="V3" s="1605">
        <f t="shared" ref="V3:V16" ca="1" si="1">ROUND(T3*U3/10000,0)</f>
        <v>38125</v>
      </c>
      <c r="W3" s="1609"/>
      <c r="X3" s="1609"/>
      <c r="Y3" s="1609"/>
      <c r="Z3" s="1609"/>
      <c r="AA3" s="1609"/>
      <c r="AB3" s="1609"/>
      <c r="AC3" s="1610"/>
      <c r="AD3" s="1611"/>
      <c r="AE3" s="1611"/>
      <c r="AF3" s="1611"/>
      <c r="AG3" s="1611"/>
      <c r="AH3" s="1611"/>
      <c r="AI3" s="1611"/>
      <c r="AJ3" s="1612"/>
    </row>
    <row r="4" spans="1:36" ht="15.75">
      <c r="A4" s="3204"/>
      <c r="B4" s="3205"/>
      <c r="C4" s="3205"/>
      <c r="D4" s="3206"/>
      <c r="E4" s="3206"/>
      <c r="F4" s="3206"/>
      <c r="G4" s="3206"/>
      <c r="H4" s="3206"/>
      <c r="I4" s="3206"/>
      <c r="J4" s="3207"/>
      <c r="K4" s="1373"/>
      <c r="L4" s="2732" t="s">
        <v>2827</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42283</v>
      </c>
      <c r="U4" s="1606">
        <f>面积!E66</f>
        <v>7053.1200000000008</v>
      </c>
      <c r="V4" s="1605">
        <f t="shared" ca="1" si="1"/>
        <v>29823</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2828</v>
      </c>
      <c r="C5" s="917">
        <f>ROUND(IF(E2="商业",IF(F16="增加",C6*C7+C16,C6*C7-C16),IF(E2="住宅",IF(F16="增加",C6*C12+C16,C6*C12-C16),IF(F16="增加",C6+C16,C6-C16))),0)</f>
        <v>27519</v>
      </c>
      <c r="D5" s="1789">
        <f>ROUND(IF(E2="商业",IF(F16="增加",C6+C16,C6-C16)),0)</f>
        <v>27519</v>
      </c>
      <c r="E5" s="2736"/>
      <c r="F5" s="2736"/>
      <c r="G5" s="2737"/>
      <c r="H5" s="2737"/>
      <c r="I5" s="2737"/>
      <c r="J5" s="2738"/>
      <c r="K5" s="2739"/>
      <c r="L5" s="2732" t="s">
        <v>2829</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35091</v>
      </c>
      <c r="U5" s="1606">
        <f>面积!E67</f>
        <v>3863.73</v>
      </c>
      <c r="V5" s="1605">
        <f t="shared" ca="1" si="1"/>
        <v>13558</v>
      </c>
      <c r="W5" s="1609"/>
      <c r="X5" s="1609"/>
      <c r="Y5" s="1609"/>
      <c r="Z5" s="1609"/>
      <c r="AA5" s="1609"/>
      <c r="AB5" s="1609"/>
      <c r="AC5" s="2740"/>
      <c r="AD5" s="2741"/>
      <c r="AE5" s="2741"/>
      <c r="AF5" s="2741"/>
      <c r="AG5" s="2741"/>
      <c r="AH5" s="2741"/>
      <c r="AI5" s="2741"/>
      <c r="AJ5" s="2742"/>
    </row>
    <row r="6" spans="1:36" ht="15.75" thickBot="1">
      <c r="A6" s="2744" t="s">
        <v>2830</v>
      </c>
      <c r="B6" s="2745" t="s">
        <v>2831</v>
      </c>
      <c r="C6" s="918">
        <f>SUMIF(L1:L12,G2,M1:M12)</f>
        <v>27550</v>
      </c>
      <c r="D6" s="2746" t="s">
        <v>2832</v>
      </c>
      <c r="E6" s="2747"/>
      <c r="F6" s="2747"/>
      <c r="G6" s="2748"/>
      <c r="H6" s="2748"/>
      <c r="I6" s="2748"/>
      <c r="J6" s="2749"/>
      <c r="K6" s="1844"/>
      <c r="L6" s="2732" t="s">
        <v>2833</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30696</v>
      </c>
      <c r="U6" s="1606">
        <f>面积!E68</f>
        <v>1385.83</v>
      </c>
      <c r="V6" s="1605">
        <f t="shared" ca="1" si="1"/>
        <v>4254</v>
      </c>
      <c r="W6" s="1609"/>
      <c r="X6" s="1609"/>
      <c r="Y6" s="1609"/>
      <c r="Z6" s="1609"/>
      <c r="AA6" s="1609"/>
      <c r="AB6" s="1609"/>
      <c r="AC6" s="2740"/>
      <c r="AD6" s="2741"/>
      <c r="AE6" s="2741"/>
      <c r="AF6" s="2741"/>
      <c r="AG6" s="2741"/>
      <c r="AH6" s="2741"/>
      <c r="AI6" s="2741"/>
      <c r="AJ6" s="2742"/>
    </row>
    <row r="7" spans="1:36" ht="24">
      <c r="A7" s="3208" t="str">
        <f>IF(E2="商业",IF(C8="不临58条商业街","",2),"")</f>
        <v/>
      </c>
      <c r="B7" s="2750" t="s">
        <v>2834</v>
      </c>
      <c r="C7" s="919">
        <f>IF(C8="不临58条商业街",1,ROUND(1+(1.6*E8+1.2*E9+0.8*E10+0.4*E11)*C9,4))</f>
        <v>1</v>
      </c>
      <c r="D7" s="2751" t="s">
        <v>2835</v>
      </c>
      <c r="E7" s="948">
        <v>60</v>
      </c>
      <c r="F7" s="2752"/>
      <c r="G7" s="2753"/>
      <c r="H7" s="2753"/>
      <c r="I7" s="2753"/>
      <c r="J7" s="2754"/>
      <c r="K7" s="1844"/>
      <c r="L7" s="2732" t="s">
        <v>2836</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27746</v>
      </c>
      <c r="U7" s="1606"/>
      <c r="V7" s="1605">
        <f t="shared" ca="1" si="1"/>
        <v>0</v>
      </c>
      <c r="W7" s="1818" t="s">
        <v>2837</v>
      </c>
      <c r="X7" s="1607" t="str">
        <f>G2</f>
        <v>二级</v>
      </c>
      <c r="Y7" s="1607" t="s">
        <v>2838</v>
      </c>
      <c r="Z7" s="1608">
        <f>G3</f>
        <v>2.93</v>
      </c>
      <c r="AA7" s="1609"/>
      <c r="AB7" s="1609"/>
      <c r="AC7" s="1610"/>
      <c r="AD7" s="1611"/>
      <c r="AE7" s="1611"/>
      <c r="AF7" s="1611"/>
      <c r="AG7" s="1611"/>
      <c r="AH7" s="1611"/>
      <c r="AI7" s="1611"/>
      <c r="AJ7" s="1612"/>
    </row>
    <row r="8" spans="1:36" ht="15">
      <c r="A8" s="3209"/>
      <c r="B8" s="198" t="s">
        <v>2839</v>
      </c>
      <c r="C8" s="2755" t="s">
        <v>3268</v>
      </c>
      <c r="D8" s="920" t="s">
        <v>139</v>
      </c>
      <c r="E8" s="921">
        <f>ROUND(C11/E7,4)</f>
        <v>0</v>
      </c>
      <c r="F8" s="2756" t="s">
        <v>2840</v>
      </c>
      <c r="G8" s="2757"/>
      <c r="H8" s="2757"/>
      <c r="I8" s="2757"/>
      <c r="J8" s="2758"/>
      <c r="K8" s="1373"/>
      <c r="L8" s="2732" t="s">
        <v>2841</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01" t="s">
        <v>2842</v>
      </c>
      <c r="X8" s="3202"/>
      <c r="Y8" s="1613" t="s">
        <v>2843</v>
      </c>
      <c r="Z8" s="1613" t="s">
        <v>2844</v>
      </c>
      <c r="AA8" s="1613" t="s">
        <v>2845</v>
      </c>
      <c r="AB8" s="1613" t="s">
        <v>2846</v>
      </c>
      <c r="AC8" s="1613" t="s">
        <v>2847</v>
      </c>
      <c r="AD8" s="1613" t="s">
        <v>2848</v>
      </c>
      <c r="AE8" s="1613" t="s">
        <v>2849</v>
      </c>
      <c r="AF8" s="1613" t="s">
        <v>2850</v>
      </c>
      <c r="AG8" s="1613" t="s">
        <v>2851</v>
      </c>
      <c r="AH8" s="1613" t="s">
        <v>2852</v>
      </c>
      <c r="AI8" s="1613" t="s">
        <v>2853</v>
      </c>
      <c r="AJ8" s="1613" t="s">
        <v>2854</v>
      </c>
    </row>
    <row r="9" spans="1:36" ht="15">
      <c r="A9" s="3209"/>
      <c r="B9" s="198" t="s">
        <v>2855</v>
      </c>
      <c r="C9" s="922">
        <f>SUMIF(修正!C59:C119,C8,修正!E59:E119)</f>
        <v>0</v>
      </c>
      <c r="D9" s="200" t="s">
        <v>140</v>
      </c>
      <c r="E9" s="200">
        <f>ROUND(C11/E7,4)</f>
        <v>0</v>
      </c>
      <c r="F9" s="2756" t="s">
        <v>2856</v>
      </c>
      <c r="G9" s="2757"/>
      <c r="H9" s="2757"/>
      <c r="I9" s="2757"/>
      <c r="J9" s="2758"/>
      <c r="K9" s="1373"/>
      <c r="L9" s="2732" t="s">
        <v>2857</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03" t="s">
        <v>2858</v>
      </c>
      <c r="X9" s="1614" t="s">
        <v>2859</v>
      </c>
      <c r="Y9" s="1774"/>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09"/>
      <c r="B10" s="198" t="s">
        <v>2860</v>
      </c>
      <c r="C10" s="200">
        <f>SUMIF(修正!C59:C119,C8,修正!F59:F119)</f>
        <v>0</v>
      </c>
      <c r="D10" s="200" t="s">
        <v>141</v>
      </c>
      <c r="E10" s="200">
        <f>ROUND(C11/E7,4)</f>
        <v>0</v>
      </c>
      <c r="F10" s="2756" t="s">
        <v>2861</v>
      </c>
      <c r="G10" s="2757"/>
      <c r="H10" s="2757"/>
      <c r="I10" s="2757"/>
      <c r="J10" s="2758"/>
      <c r="K10" s="1373"/>
      <c r="L10" s="2732" t="s">
        <v>2862</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03"/>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09"/>
      <c r="B11" s="2759" t="s">
        <v>2863</v>
      </c>
      <c r="C11" s="923">
        <f>C10/4</f>
        <v>0</v>
      </c>
      <c r="D11" s="923" t="s">
        <v>142</v>
      </c>
      <c r="E11" s="923">
        <f>ROUND(C11/E7,4)</f>
        <v>0</v>
      </c>
      <c r="F11" s="2760" t="s">
        <v>2864</v>
      </c>
      <c r="G11" s="2761"/>
      <c r="H11" s="2761"/>
      <c r="I11" s="2761"/>
      <c r="J11" s="2762"/>
      <c r="K11" s="1373"/>
      <c r="L11" s="2732" t="s">
        <v>2865</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03" t="s">
        <v>2866</v>
      </c>
      <c r="X11" s="1617" t="s">
        <v>2867</v>
      </c>
      <c r="Y11" s="1618">
        <f>$G$3</f>
        <v>2.93</v>
      </c>
      <c r="Z11" s="1618">
        <f t="shared" ref="Z11:AJ11" si="3">$G$3</f>
        <v>2.93</v>
      </c>
      <c r="AA11" s="1618">
        <f t="shared" si="3"/>
        <v>2.93</v>
      </c>
      <c r="AB11" s="1618">
        <f t="shared" si="3"/>
        <v>2.93</v>
      </c>
      <c r="AC11" s="1618">
        <f t="shared" si="3"/>
        <v>2.93</v>
      </c>
      <c r="AD11" s="1618">
        <f t="shared" si="3"/>
        <v>2.93</v>
      </c>
      <c r="AE11" s="1618">
        <f t="shared" si="3"/>
        <v>2.93</v>
      </c>
      <c r="AF11" s="1618">
        <f t="shared" si="3"/>
        <v>2.93</v>
      </c>
      <c r="AG11" s="1618">
        <f t="shared" si="3"/>
        <v>2.93</v>
      </c>
      <c r="AH11" s="1618">
        <f t="shared" si="3"/>
        <v>2.93</v>
      </c>
      <c r="AI11" s="1618">
        <f t="shared" si="3"/>
        <v>2.93</v>
      </c>
      <c r="AJ11" s="1618">
        <f t="shared" si="3"/>
        <v>2.93</v>
      </c>
    </row>
    <row r="12" spans="1:36" ht="25.5" thickBot="1">
      <c r="A12" s="3208" t="s">
        <v>2868</v>
      </c>
      <c r="B12" s="2763" t="s">
        <v>2869</v>
      </c>
      <c r="C12" s="919">
        <f>ROUND(C15*D15*E15*F15*G15*H15*I15*J15,4)</f>
        <v>1.452</v>
      </c>
      <c r="D12" s="2764" t="s">
        <v>2870</v>
      </c>
      <c r="E12" s="2765"/>
      <c r="F12" s="2765"/>
      <c r="G12" s="2766"/>
      <c r="H12" s="2766"/>
      <c r="I12" s="2766"/>
      <c r="J12" s="2767"/>
      <c r="K12" s="1373"/>
      <c r="L12" s="2768" t="s">
        <v>2871</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03"/>
      <c r="X12" s="1619" t="s">
        <v>2872</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10"/>
      <c r="B13" s="2769" t="s">
        <v>2873</v>
      </c>
      <c r="C13" s="2770" t="s">
        <v>2874</v>
      </c>
      <c r="D13" s="1810" t="s">
        <v>2875</v>
      </c>
      <c r="E13" s="1810" t="s">
        <v>2876</v>
      </c>
      <c r="F13" s="30" t="s">
        <v>2877</v>
      </c>
      <c r="G13" s="2771" t="s">
        <v>2878</v>
      </c>
      <c r="H13" s="2771" t="s">
        <v>2878</v>
      </c>
      <c r="I13" s="2771" t="s">
        <v>2878</v>
      </c>
      <c r="J13" s="2772" t="s">
        <v>2878</v>
      </c>
      <c r="K13" s="1373"/>
      <c r="L13" s="1373"/>
      <c r="M13" s="1373"/>
      <c r="N13" s="1373"/>
      <c r="O13" s="1373"/>
      <c r="P13" s="1373"/>
      <c r="Q13" s="1373"/>
      <c r="R13" s="1605">
        <v>12</v>
      </c>
      <c r="S13" s="1606"/>
      <c r="T13" s="1605">
        <f t="shared" ca="1" si="0"/>
        <v>0</v>
      </c>
      <c r="U13" s="1606"/>
      <c r="V13" s="1605">
        <f t="shared" ca="1" si="1"/>
        <v>0</v>
      </c>
      <c r="W13" s="3203"/>
      <c r="X13" s="1619"/>
      <c r="Y13" s="1616">
        <f>(-0.163*(Y12^2)-0.59*Y12+7617)*(10^(-4))/Y11</f>
        <v>0.25996587030716722</v>
      </c>
      <c r="Z13" s="1616">
        <f t="shared" ref="Z13:AJ13" si="5">(-0.163*(Z12^2)-0.59*Z12+7617)*(10^(-4))/Z11</f>
        <v>0.25996587030716722</v>
      </c>
      <c r="AA13" s="1616">
        <f t="shared" si="5"/>
        <v>0.25996587030716722</v>
      </c>
      <c r="AB13" s="1616">
        <f t="shared" si="5"/>
        <v>0.25996587030716722</v>
      </c>
      <c r="AC13" s="1616">
        <f t="shared" si="5"/>
        <v>0.25996587030716722</v>
      </c>
      <c r="AD13" s="1616">
        <f t="shared" si="5"/>
        <v>0.25996587030716722</v>
      </c>
      <c r="AE13" s="1616">
        <f t="shared" si="5"/>
        <v>0.25996587030716722</v>
      </c>
      <c r="AF13" s="1616">
        <f t="shared" si="5"/>
        <v>0.25996587030716722</v>
      </c>
      <c r="AG13" s="1616">
        <f t="shared" si="5"/>
        <v>0.25996587030716722</v>
      </c>
      <c r="AH13" s="1616">
        <f t="shared" si="5"/>
        <v>0.25996587030716722</v>
      </c>
      <c r="AI13" s="1616">
        <f t="shared" si="5"/>
        <v>0.25996587030716722</v>
      </c>
      <c r="AJ13" s="1616">
        <f t="shared" si="5"/>
        <v>0.25996587030716722</v>
      </c>
    </row>
    <row r="14" spans="1:36" ht="15">
      <c r="A14" s="3210"/>
      <c r="B14" s="2773"/>
      <c r="C14" s="2774" t="s">
        <v>3270</v>
      </c>
      <c r="D14" s="2775" t="s">
        <v>3254</v>
      </c>
      <c r="E14" s="2775" t="s">
        <v>3270</v>
      </c>
      <c r="F14" s="2776" t="s">
        <v>3271</v>
      </c>
      <c r="G14" s="2777" t="s">
        <v>2879</v>
      </c>
      <c r="H14" s="2778"/>
      <c r="I14" s="2779"/>
      <c r="J14" s="2780"/>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11"/>
      <c r="B15" s="2781" t="s">
        <v>2880</v>
      </c>
      <c r="C15" s="229">
        <f>IF(C14="有",1.1,1)</f>
        <v>1.1000000000000001</v>
      </c>
      <c r="D15" s="229">
        <f>IF(D14="有",1.1,1)</f>
        <v>1</v>
      </c>
      <c r="E15" s="229">
        <f>IF(E14="有",1.1,1)</f>
        <v>1.1000000000000001</v>
      </c>
      <c r="F15" s="229">
        <f>IF(F14="500米范围内",1.2,IF(F14="500-1000米",1.1,1))</f>
        <v>1.2</v>
      </c>
      <c r="G15" s="949">
        <v>1</v>
      </c>
      <c r="H15" s="949">
        <v>1</v>
      </c>
      <c r="I15" s="949">
        <v>1</v>
      </c>
      <c r="J15" s="950">
        <v>1</v>
      </c>
      <c r="K15" s="1373"/>
      <c r="L15" s="2782" t="s">
        <v>2817</v>
      </c>
      <c r="M15" s="920" t="s">
        <v>2881</v>
      </c>
      <c r="N15" s="920" t="s">
        <v>2882</v>
      </c>
      <c r="O15" s="920" t="s">
        <v>2883</v>
      </c>
      <c r="P15" s="2783" t="s">
        <v>2884</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15">
      <c r="A16" s="3208" t="s">
        <v>2885</v>
      </c>
      <c r="B16" s="2750" t="s">
        <v>2886</v>
      </c>
      <c r="C16" s="1803">
        <f>ROUND(SUM(G17:J17)/C17,0)</f>
        <v>31</v>
      </c>
      <c r="D16" s="2784" t="s">
        <v>2887</v>
      </c>
      <c r="E16" s="2785" t="s">
        <v>3272</v>
      </c>
      <c r="F16" s="2786" t="s">
        <v>3273</v>
      </c>
      <c r="G16" s="2787" t="s">
        <v>3274</v>
      </c>
      <c r="H16" s="2787" t="s">
        <v>3275</v>
      </c>
      <c r="I16" s="2787"/>
      <c r="J16" s="2788"/>
      <c r="K16" s="1373"/>
      <c r="L16" s="2789" t="s">
        <v>2888</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09"/>
      <c r="B17" s="2790" t="s">
        <v>2889</v>
      </c>
      <c r="C17" s="924">
        <f>SUMPRODUCT((修正!A2:A5=E2)*(修正!B1:M1=G2)*(修正!B2:M5))</f>
        <v>3.5</v>
      </c>
      <c r="D17" s="2791" t="s">
        <v>2890</v>
      </c>
      <c r="E17" s="923" t="str">
        <f>IF(OR(G2="八级",G2="九级",G2="十级",G2="十一级",G2="十二级"),"五通一平","七通一平")</f>
        <v>七通一平</v>
      </c>
      <c r="F17" s="924" t="s">
        <v>2891</v>
      </c>
      <c r="G17" s="924">
        <f>SUMPRODUCT((七通一平=G16)*(修正!B1:M1=G2)*(修正!B6:M14))</f>
        <v>60</v>
      </c>
      <c r="H17" s="924">
        <f>SUMPRODUCT((七通一平=H16)*(修正!B1:M1=G2)*(修正!B6:M14))</f>
        <v>50</v>
      </c>
      <c r="I17" s="924">
        <f>SUMPRODUCT((七通一平=I16)*(修正!B1:M1=G2)*(修正!B6:M14))</f>
        <v>0</v>
      </c>
      <c r="J17" s="925">
        <f>SUMPRODUCT((七通一平=J16)*(修正!B1:M1=G2)*(修正!B6:M14))</f>
        <v>0</v>
      </c>
      <c r="K17" s="1373"/>
      <c r="L17" s="2792" t="s">
        <v>2892</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6"/>
      <c r="AH17" s="2726"/>
      <c r="AI17" s="2726"/>
      <c r="AJ17" s="2726"/>
    </row>
    <row r="18" spans="1:37" s="2743" customFormat="1" ht="15.75" thickBot="1">
      <c r="A18" s="2794" t="s">
        <v>808</v>
      </c>
      <c r="B18" s="2795" t="s">
        <v>2893</v>
      </c>
      <c r="C18" s="926">
        <f>SUMIF(修正!C18:C39,E3,修正!E18:E39)</f>
        <v>1</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15.75" thickBot="1">
      <c r="A19" s="2794" t="s">
        <v>809</v>
      </c>
      <c r="B19" s="2795" t="s">
        <v>2894</v>
      </c>
      <c r="C19" s="927">
        <f>ROUND(IF(H19="按公示增长率计算",SUMPRODUCT((地价!A3:A21=YEAR(G19)&amp;"-"&amp;ROUNDUP(MONTH(G19)/3,0))*(地价!X2:AB2=E2)*(地价!X3:AB21)),IF(H19="地价指数",M20/M19,(1+I19)^O19)),4)</f>
        <v>1.2685</v>
      </c>
      <c r="D19" s="2802" t="s">
        <v>2895</v>
      </c>
      <c r="E19" s="928">
        <v>41640</v>
      </c>
      <c r="F19" s="2802" t="s">
        <v>2896</v>
      </c>
      <c r="G19" s="929">
        <f>'数据-取费表'!B2</f>
        <v>43131</v>
      </c>
      <c r="H19" s="2803" t="s">
        <v>3276</v>
      </c>
      <c r="I19" s="930" t="str">
        <f>IF(H19="季度增幅（自定义）",SUMIF(N21:N24,E2,O21:O24),"")</f>
        <v/>
      </c>
      <c r="J19" s="2800"/>
      <c r="K19" s="1380"/>
      <c r="L19" s="2804" t="s">
        <v>2897</v>
      </c>
      <c r="M19" s="1737">
        <f>ROUND(SUMIF(地价!B2:F2,E2,地价!B21:F21),0)</f>
        <v>258</v>
      </c>
      <c r="N19" s="2805" t="s">
        <v>2898</v>
      </c>
      <c r="O19" s="931">
        <f>ROUNDDOWN(DATEDIF(E19,G19,"M")/3,0)</f>
        <v>16</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4.75" thickBot="1">
      <c r="A20" s="2809" t="s">
        <v>810</v>
      </c>
      <c r="B20" s="2810" t="s">
        <v>2899</v>
      </c>
      <c r="C20" s="932">
        <f ca="1">ROUND(POWER(1+G20,J20-I20)*(POWER(1+G20,I20)-1)/(POWER(1+G20,J20)-1),4)</f>
        <v>0.99129999999999996</v>
      </c>
      <c r="D20" s="2811" t="s">
        <v>2900</v>
      </c>
      <c r="E20" s="1770">
        <f ca="1">存贷款利率!D4/100</f>
        <v>4.3499999999999997E-2</v>
      </c>
      <c r="F20" s="2811" t="s">
        <v>2892</v>
      </c>
      <c r="G20" s="937">
        <f ca="1">SUMIF(M15:P15,E2,M17:P17)</f>
        <v>5.3999999999999999E-2</v>
      </c>
      <c r="H20" s="2811" t="s">
        <v>2901</v>
      </c>
      <c r="I20" s="938">
        <f>SUMIF('数据-取费表'!C6:C15,E2,'数据-取费表'!F6:F15)/COUNTIF('数据-取费表'!C6:C15,E2)</f>
        <v>38.85</v>
      </c>
      <c r="J20" s="939">
        <f>IF(E2="住宅",70,IF(E2="商业",40,50))</f>
        <v>40</v>
      </c>
      <c r="K20" s="1380"/>
      <c r="L20" s="2812" t="s">
        <v>2902</v>
      </c>
      <c r="M20" s="1738">
        <f>ROUND(SUMPRODUCT((地价!A4:A21=YEAR(G19)&amp;"-"&amp;ROUNDUP(MONTH(G19)/3,0))*(地价!B2:F2=E2)*(地价!B4:F21)),0)</f>
        <v>326</v>
      </c>
      <c r="N20" s="2813" t="s">
        <v>2903</v>
      </c>
      <c r="O20" s="2814" t="s">
        <v>2904</v>
      </c>
      <c r="P20" s="2815" t="s">
        <v>2905</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3277</v>
      </c>
      <c r="C21" s="940">
        <f>IF(B21="容积率修正",IF(G3&lt;=10,D22,J22),C23)</f>
        <v>0</v>
      </c>
      <c r="D21" s="2818"/>
      <c r="E21" s="2818"/>
      <c r="F21" s="2818"/>
      <c r="G21" s="2818"/>
      <c r="H21" s="2818"/>
      <c r="I21" s="2818"/>
      <c r="J21" s="2819"/>
      <c r="K21" s="1380"/>
      <c r="N21" s="2820" t="s">
        <v>2906</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43" customFormat="1" ht="14.25">
      <c r="A22" s="2670" t="s">
        <v>2907</v>
      </c>
      <c r="B22" s="2821" t="s">
        <v>2908</v>
      </c>
      <c r="C22" s="1812" t="s">
        <v>2909</v>
      </c>
      <c r="D22" s="1812">
        <f>IF(E22=G22,F22,IF(G3&lt;=10,ROUND(F22+(H22-F22)*(G3-E22)/(G22-E22),4),"——"))</f>
        <v>1.0468</v>
      </c>
      <c r="E22" s="916">
        <f>ROUNDDOWN(G3,1)</f>
        <v>2.9</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1.0497000000000001</v>
      </c>
      <c r="G22" s="916">
        <f>ROUNDUP(G3,1)</f>
        <v>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1.0401</v>
      </c>
      <c r="I22" s="1812" t="s">
        <v>155</v>
      </c>
      <c r="J22" s="941" t="str">
        <f>IF(G3&gt;10,D113,"——")</f>
        <v>——</v>
      </c>
      <c r="K22" s="1380"/>
      <c r="N22" s="2820" t="s">
        <v>2910</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70" t="s">
        <v>2911</v>
      </c>
      <c r="B23" s="2822" t="s">
        <v>2912</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2913</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2914</v>
      </c>
      <c r="C24" s="927">
        <f>SUMIF(A45:A88,E2,B45:B88)</f>
        <v>1.0539000000000001</v>
      </c>
      <c r="D24" s="2798"/>
      <c r="E24" s="2828"/>
      <c r="F24" s="2828"/>
      <c r="G24" s="2828"/>
      <c r="H24" s="2828"/>
      <c r="I24" s="2828"/>
      <c r="J24" s="2829"/>
      <c r="K24" s="1380"/>
      <c r="N24" s="2830" t="s">
        <v>2915</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2916</v>
      </c>
      <c r="C25" s="933"/>
      <c r="D25" s="2753"/>
      <c r="E25" s="2753"/>
      <c r="F25" s="2832"/>
      <c r="G25" s="2753"/>
      <c r="H25" s="2753"/>
      <c r="I25" s="2753"/>
      <c r="J25" s="2754"/>
      <c r="K25" s="1373"/>
      <c r="N25" s="2833" t="s">
        <v>2917</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34"/>
      <c r="B26" s="2821" t="s">
        <v>2918</v>
      </c>
      <c r="C26" s="206">
        <f ca="1">E29+SUM(E33:E39)</f>
        <v>40089</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2919</v>
      </c>
      <c r="C27" s="934">
        <f ca="1">E30+SUM(I33:I39)</f>
        <v>10022</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2920</v>
      </c>
      <c r="C28" s="2845" t="s">
        <v>2921</v>
      </c>
      <c r="D28" s="2845" t="s">
        <v>2922</v>
      </c>
      <c r="E28" s="2846" t="s">
        <v>2923</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2924</v>
      </c>
      <c r="C29" s="206">
        <f ca="1">ROUND(C5*C18*C19*C20*C21*C24,0)</f>
        <v>0</v>
      </c>
      <c r="D29" s="2850"/>
      <c r="E29" s="945">
        <f ca="1">ROUND(C29*D29/10000,0)</f>
        <v>0</v>
      </c>
      <c r="F29" s="2851" t="s">
        <v>2925</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6"/>
      <c r="AH29" s="2726"/>
      <c r="AI29" s="2726"/>
      <c r="AJ29" s="2726"/>
    </row>
    <row r="30" spans="1:37" ht="25.5" thickBot="1">
      <c r="A30" s="2854"/>
      <c r="B30" s="2855" t="s">
        <v>2926</v>
      </c>
      <c r="C30" s="229">
        <f ca="1">ROUND(IF(E2="工业",C29*M39,C29*M38),0)</f>
        <v>0</v>
      </c>
      <c r="D30" s="2856"/>
      <c r="E30" s="945">
        <f ca="1">ROUND(C30*D30/10000,0)</f>
        <v>0</v>
      </c>
      <c r="F30" s="2857" t="s">
        <v>2927</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6"/>
      <c r="AH30" s="2726"/>
      <c r="AI30" s="2726"/>
      <c r="AJ30" s="2726"/>
    </row>
    <row r="31" spans="1:37" ht="14.25">
      <c r="A31" s="2860"/>
      <c r="B31" s="2861" t="s">
        <v>2928</v>
      </c>
      <c r="C31" s="2862" t="s">
        <v>2929</v>
      </c>
      <c r="D31" s="2766"/>
      <c r="E31" s="2862"/>
      <c r="F31" s="2862"/>
      <c r="G31" s="2764" t="s">
        <v>2930</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6"/>
      <c r="AH31" s="2726"/>
      <c r="AI31" s="2726"/>
      <c r="AJ31" s="2726"/>
    </row>
    <row r="32" spans="1:37" ht="24">
      <c r="A32" s="2848"/>
      <c r="B32" s="2864"/>
      <c r="C32" s="501" t="s">
        <v>2921</v>
      </c>
      <c r="D32" s="498" t="s">
        <v>2922</v>
      </c>
      <c r="E32" s="498" t="s">
        <v>2923</v>
      </c>
      <c r="F32" s="388" t="s">
        <v>2931</v>
      </c>
      <c r="G32" s="2865" t="s">
        <v>2921</v>
      </c>
      <c r="H32" s="2865" t="s">
        <v>2922</v>
      </c>
      <c r="I32" s="2865" t="s">
        <v>2923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6"/>
      <c r="AH32" s="2726"/>
      <c r="AI32" s="2726"/>
      <c r="AJ32" s="2726"/>
    </row>
    <row r="33" spans="1:37" ht="36" customHeight="1">
      <c r="A33" s="3218" t="s">
        <v>2932</v>
      </c>
      <c r="B33" s="2866" t="s">
        <v>2933</v>
      </c>
      <c r="C33" s="206">
        <f ca="1">ROUND(D5*C19*C20*C24*F33,0)</f>
        <v>29175</v>
      </c>
      <c r="D33" s="2850">
        <f>面积!E63+面积!E57</f>
        <v>8585.4499999999971</v>
      </c>
      <c r="E33" s="200">
        <f ca="1">ROUND(C33*D33/10000,0)</f>
        <v>25048</v>
      </c>
      <c r="F33" s="200">
        <f>SUMIF(修正!A45:A56,G2,修正!B45:B56)</f>
        <v>0.8</v>
      </c>
      <c r="G33" s="200">
        <f t="shared" ref="G33:G39" ca="1" si="6">ROUND(IF(E2="工业",C33*$M$39,C33*$M$38),0)</f>
        <v>7294</v>
      </c>
      <c r="H33" s="200">
        <f>D33</f>
        <v>8585.4499999999971</v>
      </c>
      <c r="I33" s="200">
        <f ca="1">ROUND(G33*H33/10000,0)</f>
        <v>6262</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19"/>
      <c r="B34" s="2770" t="s">
        <v>2934</v>
      </c>
      <c r="C34" s="206">
        <f ca="1">ROUND(D5*C19*C20*C24*F34,0)</f>
        <v>18235</v>
      </c>
      <c r="D34" s="2850">
        <f>面积!E62</f>
        <v>8248.3599999999988</v>
      </c>
      <c r="E34" s="200">
        <f t="shared" ref="E34:E39" ca="1" si="7">ROUND(C34*D34/10000,0)</f>
        <v>15041</v>
      </c>
      <c r="F34" s="200">
        <f>SUMIF(修正!A45:A56,G2,修正!C45:C56)</f>
        <v>0.5</v>
      </c>
      <c r="G34" s="200">
        <f t="shared" ca="1" si="6"/>
        <v>4559</v>
      </c>
      <c r="H34" s="200">
        <f t="shared" ref="H34:H39" si="8">D34</f>
        <v>8248.3599999999988</v>
      </c>
      <c r="I34" s="200">
        <f t="shared" ref="I34:I39" ca="1" si="9">ROUND(G34*H34/10000,0)</f>
        <v>3760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19"/>
      <c r="B35" s="2770" t="s">
        <v>2935</v>
      </c>
      <c r="C35" s="206">
        <f ca="1">ROUND(D5*C19*C20*C24*F35,0)</f>
        <v>13129</v>
      </c>
      <c r="D35" s="2850"/>
      <c r="E35" s="200">
        <f t="shared" ca="1" si="7"/>
        <v>0</v>
      </c>
      <c r="F35" s="200">
        <f>SUMIF(修正!A45:A56,G2,修正!D45:D56)</f>
        <v>0.36</v>
      </c>
      <c r="G35" s="200">
        <f t="shared" ca="1" si="6"/>
        <v>3282</v>
      </c>
      <c r="H35" s="200">
        <f t="shared" si="8"/>
        <v>0</v>
      </c>
      <c r="I35" s="200">
        <f t="shared" ca="1" si="9"/>
        <v>0</v>
      </c>
      <c r="J35" s="2867"/>
      <c r="K35" s="1373"/>
      <c r="L35" s="1373"/>
      <c r="M35" s="1373"/>
      <c r="N35" s="1373"/>
      <c r="O35" s="1373"/>
      <c r="P35" s="1373"/>
      <c r="Q35" s="1373"/>
      <c r="R35" s="1373"/>
      <c r="S35" s="1373"/>
      <c r="T35" s="1373"/>
      <c r="U35" s="1373"/>
      <c r="V35" s="1373"/>
      <c r="W35" s="1373"/>
      <c r="X35" s="1373"/>
      <c r="Y35" s="1373"/>
      <c r="Z35" s="1374"/>
    </row>
    <row r="36" spans="1:37" ht="13.5" thickBot="1">
      <c r="A36" s="3220"/>
      <c r="B36" s="2770" t="s">
        <v>2936</v>
      </c>
      <c r="C36" s="206">
        <f ca="1">ROUND(D5*C19*C20*C24*F36,0)</f>
        <v>10941</v>
      </c>
      <c r="D36" s="2850"/>
      <c r="E36" s="200">
        <f t="shared" ca="1" si="7"/>
        <v>0</v>
      </c>
      <c r="F36" s="200">
        <f>SUMIF(修正!A45:A56,G2,修正!E45:E56)</f>
        <v>0.3</v>
      </c>
      <c r="G36" s="200">
        <f t="shared" ca="1" si="6"/>
        <v>2735</v>
      </c>
      <c r="H36" s="200">
        <f t="shared" si="8"/>
        <v>0</v>
      </c>
      <c r="I36" s="200">
        <f t="shared" ca="1" si="9"/>
        <v>0</v>
      </c>
      <c r="J36" s="2867"/>
      <c r="K36" s="1373"/>
      <c r="L36" s="2725"/>
      <c r="M36" s="2725"/>
      <c r="N36" s="1373"/>
      <c r="O36" s="1373"/>
      <c r="P36" s="1373"/>
      <c r="Q36" s="1373"/>
      <c r="R36" s="1373"/>
      <c r="S36" s="1373"/>
      <c r="T36" s="1373"/>
      <c r="U36" s="1373"/>
      <c r="V36" s="1373"/>
      <c r="W36" s="1373"/>
      <c r="X36" s="1373"/>
      <c r="Y36" s="1373"/>
      <c r="Z36" s="1374"/>
    </row>
    <row r="37" spans="1:37">
      <c r="A37" s="2868"/>
      <c r="B37" s="2770" t="s">
        <v>2937</v>
      </c>
      <c r="C37" s="200">
        <f ca="1">ROUND(C5*C19*C20*C24*F37,0)</f>
        <v>10941</v>
      </c>
      <c r="D37" s="2850"/>
      <c r="E37" s="200">
        <f t="shared" ca="1" si="7"/>
        <v>0</v>
      </c>
      <c r="F37" s="206">
        <f>SUMIF(修正!A45:A56,G2,修正!F45:F56)</f>
        <v>0.3</v>
      </c>
      <c r="G37" s="200">
        <f t="shared" ca="1" si="6"/>
        <v>2735</v>
      </c>
      <c r="H37" s="200">
        <f t="shared" si="8"/>
        <v>0</v>
      </c>
      <c r="I37" s="200">
        <f t="shared" ca="1" si="9"/>
        <v>0</v>
      </c>
      <c r="J37" s="2867"/>
      <c r="K37" s="1373"/>
      <c r="L37" s="2869" t="s">
        <v>2938</v>
      </c>
      <c r="M37" s="2870"/>
      <c r="N37" s="1373"/>
      <c r="O37" s="1373"/>
      <c r="P37" s="1373"/>
      <c r="Q37" s="1373"/>
      <c r="R37" s="1373"/>
      <c r="S37" s="1373"/>
      <c r="T37" s="1373"/>
      <c r="U37" s="1373"/>
      <c r="V37" s="1373"/>
      <c r="W37" s="1373"/>
      <c r="X37" s="1373"/>
      <c r="Y37" s="1373"/>
      <c r="Z37" s="1374"/>
    </row>
    <row r="38" spans="1:37">
      <c r="A38" s="2868"/>
      <c r="B38" s="2770" t="s">
        <v>2939</v>
      </c>
      <c r="C38" s="200">
        <f ca="1">ROUND(C5*C19*C20*C24*F38,0)</f>
        <v>10941</v>
      </c>
      <c r="D38" s="2850"/>
      <c r="E38" s="200">
        <f t="shared" ca="1" si="7"/>
        <v>0</v>
      </c>
      <c r="F38" s="206">
        <f>SUMIF(修正!A45:A56,G2,修正!G45:G56)</f>
        <v>0.3</v>
      </c>
      <c r="G38" s="200">
        <f t="shared" ca="1" si="6"/>
        <v>2735</v>
      </c>
      <c r="H38" s="200">
        <f t="shared" si="8"/>
        <v>0</v>
      </c>
      <c r="I38" s="200">
        <f t="shared" ca="1" si="9"/>
        <v>0</v>
      </c>
      <c r="J38" s="2867"/>
      <c r="K38" s="1373"/>
      <c r="L38" s="1889" t="s">
        <v>2940</v>
      </c>
      <c r="M38" s="2871">
        <v>0.25</v>
      </c>
      <c r="N38" s="1373"/>
      <c r="O38" s="1373"/>
      <c r="P38" s="1373"/>
      <c r="Q38" s="1373"/>
      <c r="R38" s="1373"/>
      <c r="S38" s="1373"/>
      <c r="T38" s="1373"/>
      <c r="U38" s="1373"/>
      <c r="V38" s="1373"/>
      <c r="W38" s="1373"/>
      <c r="X38" s="1373"/>
      <c r="Y38" s="1373"/>
      <c r="Z38" s="1374"/>
    </row>
    <row r="39" spans="1:37" ht="13.5" thickBot="1">
      <c r="A39" s="2854"/>
      <c r="B39" s="2872" t="s">
        <v>2941</v>
      </c>
      <c r="C39" s="229">
        <f ca="1">ROUND(C5*C19*C20*C24*F39,0)</f>
        <v>9117</v>
      </c>
      <c r="D39" s="2856"/>
      <c r="E39" s="229">
        <f t="shared" ca="1" si="7"/>
        <v>0</v>
      </c>
      <c r="F39" s="935">
        <f>SUMIF(修正!A45:A56,G2,修正!H45:H56)</f>
        <v>0.25</v>
      </c>
      <c r="G39" s="229">
        <f t="shared" ca="1" si="6"/>
        <v>2279</v>
      </c>
      <c r="H39" s="229">
        <f t="shared" si="8"/>
        <v>0</v>
      </c>
      <c r="I39" s="229">
        <f t="shared" ca="1" si="9"/>
        <v>0</v>
      </c>
      <c r="J39" s="2873"/>
      <c r="K39" s="1373"/>
      <c r="L39" s="2874" t="s">
        <v>2884</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2942</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2943</v>
      </c>
      <c r="B46" s="2880">
        <f>1+E48</f>
        <v>1.0539000000000001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13.5">
      <c r="A47" s="2883" t="s">
        <v>2944</v>
      </c>
      <c r="B47" s="1811" t="s">
        <v>2945</v>
      </c>
      <c r="C47" s="1811" t="s">
        <v>2946</v>
      </c>
      <c r="D47" s="1811" t="s">
        <v>2947</v>
      </c>
      <c r="E47" s="819" t="s">
        <v>2948</v>
      </c>
      <c r="F47" s="2884" t="s">
        <v>2949</v>
      </c>
      <c r="G47" s="1811" t="s">
        <v>754</v>
      </c>
      <c r="H47" s="2885" t="s">
        <v>2950</v>
      </c>
      <c r="I47" s="1811" t="s">
        <v>2951</v>
      </c>
      <c r="J47" s="603" t="s">
        <v>2600</v>
      </c>
      <c r="K47" s="603" t="s">
        <v>2601</v>
      </c>
      <c r="L47" s="603" t="s">
        <v>2602</v>
      </c>
      <c r="M47" s="603" t="s">
        <v>2603</v>
      </c>
      <c r="N47" s="603" t="s">
        <v>2604</v>
      </c>
      <c r="AA47" s="1374"/>
      <c r="AB47" s="1374"/>
      <c r="AC47" s="1374"/>
      <c r="AD47" s="1374"/>
      <c r="AE47" s="1374"/>
      <c r="AF47" s="1374"/>
      <c r="AG47" s="1374"/>
      <c r="AH47" s="1374"/>
      <c r="AI47" s="1374"/>
      <c r="AJ47" s="1374"/>
      <c r="AK47" s="1374"/>
    </row>
    <row r="48" spans="1:37" s="1373" customFormat="1" ht="38.25">
      <c r="A48" s="2883" t="s">
        <v>2952</v>
      </c>
      <c r="B48" s="2886" t="str">
        <f>估价对象房地状况!C4</f>
        <v>估价对象位于XX商圈，周边商业氛围成熟，人流量大，商业繁华度好</v>
      </c>
      <c r="C48" s="2775" t="s">
        <v>3281</v>
      </c>
      <c r="D48" s="1289">
        <f t="shared" ref="D48:D56" si="10">SUMIF($J$47:$N$47,C48,J48:N48)</f>
        <v>1.46E-2</v>
      </c>
      <c r="E48" s="821">
        <f>ROUND(SUM(D48:D56),4)</f>
        <v>5.3900000000000003E-2</v>
      </c>
      <c r="F48" s="2507">
        <f>IF(E2="商业",SUMIF(L1:L12,G2,N1:N12),"——")</f>
        <v>8.8999999999999996E-2</v>
      </c>
      <c r="G48" s="1287">
        <f>H48</f>
        <v>1.46E-2</v>
      </c>
      <c r="H48" s="1291">
        <f t="shared" ref="H48:H56" si="11">IFERROR(ROUNDDOWN($F$48*I48/2,4),"——")</f>
        <v>1.46E-2</v>
      </c>
      <c r="I48" s="820">
        <v>0.33</v>
      </c>
      <c r="J48" s="1288">
        <f t="shared" ref="J48:J56" si="12">K48+$G48</f>
        <v>2.92E-2</v>
      </c>
      <c r="K48" s="1288">
        <f t="shared" ref="K48:K56" si="13">$L48+$G48</f>
        <v>1.46E-2</v>
      </c>
      <c r="L48" s="1288">
        <v>0</v>
      </c>
      <c r="M48" s="1288">
        <f t="shared" ref="M48:N56" si="14">L48-$G48</f>
        <v>-1.46E-2</v>
      </c>
      <c r="N48" s="1288">
        <f t="shared" si="14"/>
        <v>-2.92E-2</v>
      </c>
      <c r="AA48" s="1374"/>
      <c r="AB48" s="1374"/>
      <c r="AC48" s="1374"/>
      <c r="AD48" s="1374"/>
      <c r="AE48" s="1374"/>
      <c r="AF48" s="1374"/>
      <c r="AG48" s="1374"/>
      <c r="AH48" s="1374"/>
      <c r="AI48" s="1374"/>
      <c r="AJ48" s="1374"/>
      <c r="AK48" s="1374"/>
    </row>
    <row r="49" spans="1:37" s="1373" customFormat="1" ht="51">
      <c r="A49" s="2883" t="s">
        <v>2953</v>
      </c>
      <c r="B49" s="2887" t="str">
        <f>估价对象房地状况!C18</f>
        <v>估价对象周边道路状况、公共交通通达情况、停车便捷程度，综合评价交通便捷度较好</v>
      </c>
      <c r="C49" s="2775" t="s">
        <v>3282</v>
      </c>
      <c r="D49" s="1289">
        <f t="shared" si="10"/>
        <v>2.2200000000000001E-2</v>
      </c>
      <c r="E49" s="822"/>
      <c r="F49" s="2507"/>
      <c r="G49" s="1287">
        <f t="shared" ref="G49:G56" si="15">H49</f>
        <v>1.11E-2</v>
      </c>
      <c r="H49" s="1291">
        <f t="shared" si="11"/>
        <v>1.11E-2</v>
      </c>
      <c r="I49" s="820">
        <v>0.25</v>
      </c>
      <c r="J49" s="1288">
        <f t="shared" si="12"/>
        <v>2.2200000000000001E-2</v>
      </c>
      <c r="K49" s="1288">
        <f t="shared" si="13"/>
        <v>1.11E-2</v>
      </c>
      <c r="L49" s="1288">
        <v>0</v>
      </c>
      <c r="M49" s="1288">
        <f t="shared" si="14"/>
        <v>-1.11E-2</v>
      </c>
      <c r="N49" s="1288">
        <f t="shared" si="14"/>
        <v>-2.2200000000000001E-2</v>
      </c>
      <c r="AA49" s="1374"/>
      <c r="AB49" s="1374"/>
      <c r="AC49" s="1374"/>
      <c r="AD49" s="1374"/>
      <c r="AE49" s="1374"/>
      <c r="AF49" s="1374"/>
      <c r="AG49" s="1374"/>
      <c r="AH49" s="1374"/>
      <c r="AI49" s="1374"/>
      <c r="AJ49" s="1374"/>
      <c r="AK49" s="1374"/>
    </row>
    <row r="50" spans="1:37" s="1373" customFormat="1" ht="24">
      <c r="A50" s="2883" t="s">
        <v>2954</v>
      </c>
      <c r="B50" s="2887">
        <f>估价对象房地状况!C19</f>
        <v>0</v>
      </c>
      <c r="C50" s="2775" t="s">
        <v>3281</v>
      </c>
      <c r="D50" s="1289">
        <f t="shared" si="10"/>
        <v>2.2000000000000001E-3</v>
      </c>
      <c r="E50" s="822"/>
      <c r="F50" s="2507"/>
      <c r="G50" s="1287">
        <f t="shared" si="15"/>
        <v>2.2000000000000001E-3</v>
      </c>
      <c r="H50" s="1291">
        <f t="shared" si="11"/>
        <v>2.2000000000000001E-3</v>
      </c>
      <c r="I50" s="820">
        <v>0.05</v>
      </c>
      <c r="J50" s="1288">
        <f t="shared" si="12"/>
        <v>4.4000000000000003E-3</v>
      </c>
      <c r="K50" s="1288">
        <f t="shared" si="13"/>
        <v>2.2000000000000001E-3</v>
      </c>
      <c r="L50" s="1288">
        <v>0</v>
      </c>
      <c r="M50" s="1288">
        <f t="shared" si="14"/>
        <v>-2.2000000000000001E-3</v>
      </c>
      <c r="N50" s="1288">
        <f t="shared" si="14"/>
        <v>-4.4000000000000003E-3</v>
      </c>
      <c r="AA50" s="1374"/>
      <c r="AB50" s="1374"/>
      <c r="AC50" s="1374"/>
      <c r="AD50" s="1374"/>
      <c r="AE50" s="1374"/>
      <c r="AF50" s="1374"/>
      <c r="AG50" s="1374"/>
      <c r="AH50" s="1374"/>
      <c r="AI50" s="1374"/>
      <c r="AJ50" s="1374"/>
      <c r="AK50" s="1374"/>
    </row>
    <row r="51" spans="1:37" s="1373" customFormat="1" ht="36.75">
      <c r="A51" s="2883" t="s">
        <v>2955</v>
      </c>
      <c r="B51" s="2888" t="s">
        <v>2956</v>
      </c>
      <c r="C51" s="2775" t="s">
        <v>3283</v>
      </c>
      <c r="D51" s="1289">
        <f t="shared" si="10"/>
        <v>0</v>
      </c>
      <c r="E51" s="822"/>
      <c r="F51" s="2507"/>
      <c r="G51" s="1287">
        <f t="shared" si="15"/>
        <v>2.2000000000000001E-3</v>
      </c>
      <c r="H51" s="1291">
        <f t="shared" si="11"/>
        <v>2.2000000000000001E-3</v>
      </c>
      <c r="I51" s="820">
        <v>0.05</v>
      </c>
      <c r="J51" s="1288">
        <f t="shared" si="12"/>
        <v>4.4000000000000003E-3</v>
      </c>
      <c r="K51" s="1288">
        <f t="shared" si="13"/>
        <v>2.2000000000000001E-3</v>
      </c>
      <c r="L51" s="1288">
        <v>0</v>
      </c>
      <c r="M51" s="1288">
        <f t="shared" si="14"/>
        <v>-2.2000000000000001E-3</v>
      </c>
      <c r="N51" s="1288">
        <f t="shared" si="14"/>
        <v>-4.4000000000000003E-3</v>
      </c>
      <c r="AA51" s="1374"/>
      <c r="AB51" s="1374"/>
      <c r="AC51" s="1374"/>
      <c r="AD51" s="1374"/>
      <c r="AE51" s="1374"/>
      <c r="AF51" s="1374"/>
      <c r="AG51" s="1374"/>
      <c r="AH51" s="1374"/>
      <c r="AI51" s="1374"/>
      <c r="AJ51" s="1374"/>
      <c r="AK51" s="1374"/>
    </row>
    <row r="52" spans="1:37" s="1373" customFormat="1" ht="24">
      <c r="A52" s="2883" t="s">
        <v>2957</v>
      </c>
      <c r="B52" s="2887">
        <f>估价对象房地状况!C24</f>
        <v>0</v>
      </c>
      <c r="C52" s="2775" t="s">
        <v>3284</v>
      </c>
      <c r="D52" s="1289">
        <f t="shared" si="10"/>
        <v>-3.5000000000000001E-3</v>
      </c>
      <c r="E52" s="822"/>
      <c r="F52" s="2507"/>
      <c r="G52" s="1287">
        <f t="shared" si="15"/>
        <v>3.5000000000000001E-3</v>
      </c>
      <c r="H52" s="1291">
        <f t="shared" si="11"/>
        <v>3.5000000000000001E-3</v>
      </c>
      <c r="I52" s="820">
        <v>0.08</v>
      </c>
      <c r="J52" s="1288">
        <f t="shared" si="12"/>
        <v>7.0000000000000001E-3</v>
      </c>
      <c r="K52" s="1288">
        <f t="shared" si="13"/>
        <v>3.5000000000000001E-3</v>
      </c>
      <c r="L52" s="1288">
        <v>0</v>
      </c>
      <c r="M52" s="1288">
        <f t="shared" si="14"/>
        <v>-3.5000000000000001E-3</v>
      </c>
      <c r="N52" s="1288">
        <f t="shared" si="14"/>
        <v>-7.0000000000000001E-3</v>
      </c>
      <c r="AA52" s="1374"/>
      <c r="AB52" s="1374"/>
      <c r="AC52" s="1374"/>
      <c r="AD52" s="1374"/>
      <c r="AE52" s="1374"/>
      <c r="AF52" s="1374"/>
      <c r="AG52" s="1374"/>
      <c r="AH52" s="1374"/>
      <c r="AI52" s="1374"/>
      <c r="AJ52" s="1374"/>
      <c r="AK52" s="1374"/>
    </row>
    <row r="53" spans="1:37" s="1373" customFormat="1" ht="24">
      <c r="A53" s="2883" t="s">
        <v>2958</v>
      </c>
      <c r="B53" s="2889" t="s">
        <v>2959</v>
      </c>
      <c r="C53" s="2775" t="s">
        <v>3282</v>
      </c>
      <c r="D53" s="1289">
        <f t="shared" si="10"/>
        <v>2.5999999999999999E-3</v>
      </c>
      <c r="E53" s="822"/>
      <c r="F53" s="2507"/>
      <c r="G53" s="1287">
        <f t="shared" si="15"/>
        <v>1.2999999999999999E-3</v>
      </c>
      <c r="H53" s="1291">
        <f t="shared" si="11"/>
        <v>1.2999999999999999E-3</v>
      </c>
      <c r="I53" s="820">
        <v>0.03</v>
      </c>
      <c r="J53" s="1288">
        <f t="shared" si="12"/>
        <v>2.5999999999999999E-3</v>
      </c>
      <c r="K53" s="1288">
        <f t="shared" si="13"/>
        <v>1.2999999999999999E-3</v>
      </c>
      <c r="L53" s="1288">
        <v>0</v>
      </c>
      <c r="M53" s="1288">
        <f t="shared" si="14"/>
        <v>-1.2999999999999999E-3</v>
      </c>
      <c r="N53" s="1288">
        <f t="shared" si="14"/>
        <v>-2.5999999999999999E-3</v>
      </c>
      <c r="AA53" s="1374"/>
      <c r="AB53" s="1374"/>
      <c r="AC53" s="1374"/>
      <c r="AD53" s="1374"/>
      <c r="AE53" s="1374"/>
      <c r="AF53" s="1374"/>
      <c r="AG53" s="1374"/>
      <c r="AH53" s="1374"/>
      <c r="AI53" s="1374"/>
      <c r="AJ53" s="1374"/>
      <c r="AK53" s="1374"/>
    </row>
    <row r="54" spans="1:37" s="1373" customFormat="1" ht="25.5">
      <c r="A54" s="2890" t="s">
        <v>2960</v>
      </c>
      <c r="B54" s="1728" t="str">
        <f>估价对象房地状况!C21</f>
        <v>估价对象所在区域公共配套设施齐备情况</v>
      </c>
      <c r="C54" s="2775" t="s">
        <v>3282</v>
      </c>
      <c r="D54" s="1289">
        <f t="shared" si="10"/>
        <v>4.4000000000000003E-3</v>
      </c>
      <c r="E54" s="822"/>
      <c r="F54" s="2507"/>
      <c r="G54" s="1287">
        <f t="shared" si="15"/>
        <v>2.2000000000000001E-3</v>
      </c>
      <c r="H54" s="1291">
        <f t="shared" si="11"/>
        <v>2.2000000000000001E-3</v>
      </c>
      <c r="I54" s="820">
        <v>0.05</v>
      </c>
      <c r="J54" s="1288">
        <f t="shared" si="12"/>
        <v>4.4000000000000003E-3</v>
      </c>
      <c r="K54" s="1288">
        <f t="shared" si="13"/>
        <v>2.2000000000000001E-3</v>
      </c>
      <c r="L54" s="1288">
        <v>0</v>
      </c>
      <c r="M54" s="1288">
        <f t="shared" si="14"/>
        <v>-2.2000000000000001E-3</v>
      </c>
      <c r="N54" s="1288">
        <f t="shared" si="14"/>
        <v>-4.4000000000000003E-3</v>
      </c>
      <c r="AA54" s="1374"/>
      <c r="AB54" s="1374"/>
      <c r="AC54" s="1374"/>
      <c r="AD54" s="1374"/>
      <c r="AE54" s="1374"/>
      <c r="AF54" s="1374"/>
      <c r="AG54" s="1374"/>
      <c r="AH54" s="1374"/>
      <c r="AI54" s="1374"/>
      <c r="AJ54" s="1374"/>
      <c r="AK54" s="1374"/>
    </row>
    <row r="55" spans="1:37" s="1373" customFormat="1" ht="25.5">
      <c r="A55" s="2890" t="s">
        <v>2961</v>
      </c>
      <c r="B55" s="2887" t="str">
        <f>估价对象房地状况!C22</f>
        <v>估价对象所在区域基础设施水平</v>
      </c>
      <c r="C55" s="2775" t="s">
        <v>3282</v>
      </c>
      <c r="D55" s="1289">
        <f t="shared" si="10"/>
        <v>8.8000000000000005E-3</v>
      </c>
      <c r="E55" s="822"/>
      <c r="F55" s="2507"/>
      <c r="G55" s="1287">
        <f t="shared" si="15"/>
        <v>4.4000000000000003E-3</v>
      </c>
      <c r="H55" s="1291">
        <f t="shared" si="11"/>
        <v>4.4000000000000003E-3</v>
      </c>
      <c r="I55" s="820">
        <v>0.1</v>
      </c>
      <c r="J55" s="1288">
        <f t="shared" si="12"/>
        <v>8.8000000000000005E-3</v>
      </c>
      <c r="K55" s="1288">
        <f t="shared" si="13"/>
        <v>4.4000000000000003E-3</v>
      </c>
      <c r="L55" s="1288">
        <v>0</v>
      </c>
      <c r="M55" s="1288">
        <f t="shared" si="14"/>
        <v>-4.4000000000000003E-3</v>
      </c>
      <c r="N55" s="1288">
        <f t="shared" si="14"/>
        <v>-8.8000000000000005E-3</v>
      </c>
      <c r="AA55" s="1374"/>
      <c r="AB55" s="1374"/>
      <c r="AC55" s="1374"/>
      <c r="AD55" s="1374"/>
      <c r="AE55" s="1374"/>
      <c r="AF55" s="1374"/>
      <c r="AG55" s="1374"/>
      <c r="AH55" s="1374"/>
      <c r="AI55" s="1374"/>
      <c r="AJ55" s="1374"/>
      <c r="AK55" s="1374"/>
    </row>
    <row r="56" spans="1:37" s="1373" customFormat="1" ht="39" thickBot="1">
      <c r="A56" s="2891" t="s">
        <v>2962</v>
      </c>
      <c r="B56" s="2892" t="str">
        <f>估价对象房地状况!C20</f>
        <v>区域自然环境：；人文环境；综合评价环境状况一般</v>
      </c>
      <c r="C56" s="2775" t="s">
        <v>3281</v>
      </c>
      <c r="D56" s="1289">
        <f t="shared" si="10"/>
        <v>2.5999999999999999E-3</v>
      </c>
      <c r="E56" s="825"/>
      <c r="F56" s="2507"/>
      <c r="G56" s="1287">
        <f t="shared" si="15"/>
        <v>2.5999999999999999E-3</v>
      </c>
      <c r="H56" s="1291">
        <f t="shared" si="11"/>
        <v>2.5999999999999999E-3</v>
      </c>
      <c r="I56" s="824">
        <v>0.06</v>
      </c>
      <c r="J56" s="1288">
        <f t="shared" si="12"/>
        <v>5.1999999999999998E-3</v>
      </c>
      <c r="K56" s="1288">
        <f t="shared" si="13"/>
        <v>2.5999999999999999E-3</v>
      </c>
      <c r="L56" s="1288">
        <v>0</v>
      </c>
      <c r="M56" s="1288">
        <f t="shared" si="14"/>
        <v>-2.5999999999999999E-3</v>
      </c>
      <c r="N56" s="1288">
        <f t="shared" si="14"/>
        <v>-5.1999999999999998E-3</v>
      </c>
      <c r="AA56" s="1374"/>
      <c r="AB56" s="1374"/>
      <c r="AC56" s="1374"/>
      <c r="AD56" s="1374"/>
      <c r="AE56" s="1374"/>
      <c r="AF56" s="1374"/>
      <c r="AG56" s="1374"/>
      <c r="AH56" s="1374"/>
      <c r="AI56" s="1374"/>
      <c r="AJ56" s="1374"/>
      <c r="AK56" s="1374"/>
    </row>
    <row r="57" spans="1:37" s="1373" customFormat="1" ht="15">
      <c r="A57" s="2879" t="s">
        <v>2963</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13.5">
      <c r="A58" s="2883" t="s">
        <v>2944</v>
      </c>
      <c r="B58" s="1811"/>
      <c r="C58" s="1811" t="s">
        <v>2946</v>
      </c>
      <c r="D58" s="1811" t="s">
        <v>2947</v>
      </c>
      <c r="E58" s="819" t="s">
        <v>2948</v>
      </c>
      <c r="F58" s="2884" t="s">
        <v>2964</v>
      </c>
      <c r="G58" s="1811" t="s">
        <v>754</v>
      </c>
      <c r="H58" s="2885" t="s">
        <v>2950</v>
      </c>
      <c r="I58" s="1811" t="s">
        <v>2951</v>
      </c>
      <c r="J58" s="603" t="s">
        <v>2600</v>
      </c>
      <c r="K58" s="603" t="s">
        <v>2601</v>
      </c>
      <c r="L58" s="603" t="s">
        <v>2602</v>
      </c>
      <c r="M58" s="603" t="s">
        <v>2603</v>
      </c>
      <c r="N58" s="603" t="s">
        <v>2604</v>
      </c>
      <c r="AA58" s="1374"/>
      <c r="AB58" s="1374"/>
      <c r="AC58" s="1374"/>
      <c r="AD58" s="1374"/>
      <c r="AE58" s="1374"/>
      <c r="AF58" s="1374"/>
      <c r="AG58" s="1374"/>
      <c r="AH58" s="1374"/>
      <c r="AI58" s="1374"/>
      <c r="AJ58" s="1374"/>
      <c r="AK58" s="1374"/>
    </row>
    <row r="59" spans="1:37" s="1373" customFormat="1" ht="38.25">
      <c r="A59" s="2883" t="s">
        <v>2965</v>
      </c>
      <c r="B59" s="2886" t="str">
        <f>估价对象房地状况!C17</f>
        <v>估价对象位于XX商圈，周边办公楼项目较多，入驻率高，办公集聚程度较好</v>
      </c>
      <c r="C59" s="2775"/>
      <c r="D59" s="1289">
        <f t="shared" ref="D59:D67" si="16">SUMIF($J$58:$N$58,C59,J59:N59)</f>
        <v>0</v>
      </c>
      <c r="E59" s="821">
        <f>ROUND(SUM(D59:D67),4)</f>
        <v>0</v>
      </c>
      <c r="F59" s="2507" t="str">
        <f>IF(E2="办公",SUMIF(L1:L12,G2,N1:N12),"——")</f>
        <v>——</v>
      </c>
      <c r="G59" s="1287"/>
      <c r="H59" s="1291" t="str">
        <f t="shared" ref="H59:H67" si="17">IFERROR(ROUNDDOWN($F$59*I59/2,4),"——")</f>
        <v>——</v>
      </c>
      <c r="I59" s="820">
        <v>0.24</v>
      </c>
      <c r="J59" s="1288">
        <f t="shared" ref="J59:J67" si="18">K59+$G59</f>
        <v>0</v>
      </c>
      <c r="K59" s="1288">
        <f t="shared" ref="K59:K67" si="19">$L59+$G59</f>
        <v>0</v>
      </c>
      <c r="L59" s="1288">
        <v>0</v>
      </c>
      <c r="M59" s="1288">
        <f t="shared" ref="M59:N67" si="20">L59-$G59</f>
        <v>0</v>
      </c>
      <c r="N59" s="1288">
        <f t="shared" si="20"/>
        <v>0</v>
      </c>
      <c r="AA59" s="1374"/>
      <c r="AB59" s="1374"/>
      <c r="AC59" s="1374"/>
      <c r="AD59" s="1374"/>
      <c r="AE59" s="1374"/>
      <c r="AF59" s="1374"/>
      <c r="AG59" s="1374"/>
      <c r="AH59" s="1374"/>
      <c r="AI59" s="1374"/>
      <c r="AJ59" s="1374"/>
      <c r="AK59" s="1374"/>
    </row>
    <row r="60" spans="1:37" s="1373" customFormat="1" ht="51">
      <c r="A60" s="2883" t="s">
        <v>2953</v>
      </c>
      <c r="B60" s="2887" t="str">
        <f>估价对象房地状况!C18</f>
        <v>估价对象周边道路状况、公共交通通达情况、停车便捷程度，综合评价交通便捷度较好</v>
      </c>
      <c r="C60" s="2775"/>
      <c r="D60" s="1289">
        <f t="shared" si="16"/>
        <v>0</v>
      </c>
      <c r="E60" s="822"/>
      <c r="F60" s="2507"/>
      <c r="G60" s="1287"/>
      <c r="H60" s="1291" t="str">
        <f t="shared" si="17"/>
        <v>——</v>
      </c>
      <c r="I60" s="820">
        <v>0.3</v>
      </c>
      <c r="J60" s="1288">
        <f t="shared" si="18"/>
        <v>0</v>
      </c>
      <c r="K60" s="1288">
        <f t="shared" si="19"/>
        <v>0</v>
      </c>
      <c r="L60" s="1288">
        <v>0</v>
      </c>
      <c r="M60" s="1288">
        <f t="shared" si="20"/>
        <v>0</v>
      </c>
      <c r="N60" s="1288">
        <f t="shared" si="20"/>
        <v>0</v>
      </c>
      <c r="AA60" s="1374"/>
      <c r="AB60" s="1374"/>
      <c r="AC60" s="1374"/>
      <c r="AD60" s="1374"/>
      <c r="AE60" s="1374"/>
      <c r="AF60" s="1374"/>
      <c r="AG60" s="1374"/>
      <c r="AH60" s="1374"/>
      <c r="AI60" s="1374"/>
      <c r="AJ60" s="1374"/>
      <c r="AK60" s="1374"/>
    </row>
    <row r="61" spans="1:37" s="1373" customFormat="1" ht="24">
      <c r="A61" s="2883" t="s">
        <v>2954</v>
      </c>
      <c r="B61" s="2887">
        <f>估价对象房地状况!C19</f>
        <v>0</v>
      </c>
      <c r="C61" s="2775"/>
      <c r="D61" s="1289">
        <f t="shared" si="16"/>
        <v>0</v>
      </c>
      <c r="E61" s="822"/>
      <c r="F61" s="2507"/>
      <c r="G61" s="1287"/>
      <c r="H61" s="1291" t="str">
        <f t="shared" si="17"/>
        <v>——</v>
      </c>
      <c r="I61" s="820">
        <v>0.08</v>
      </c>
      <c r="J61" s="1288">
        <f t="shared" si="18"/>
        <v>0</v>
      </c>
      <c r="K61" s="1288">
        <f t="shared" si="19"/>
        <v>0</v>
      </c>
      <c r="L61" s="1288">
        <v>0</v>
      </c>
      <c r="M61" s="1288">
        <f t="shared" si="20"/>
        <v>0</v>
      </c>
      <c r="N61" s="1288">
        <f t="shared" si="20"/>
        <v>0</v>
      </c>
      <c r="AA61" s="1374"/>
      <c r="AB61" s="1374"/>
      <c r="AC61" s="1374"/>
      <c r="AD61" s="1374"/>
      <c r="AE61" s="1374"/>
      <c r="AF61" s="1374"/>
      <c r="AG61" s="1374"/>
      <c r="AH61" s="1374"/>
      <c r="AI61" s="1374"/>
      <c r="AJ61" s="1374"/>
      <c r="AK61" s="1374"/>
    </row>
    <row r="62" spans="1:37" s="1373" customFormat="1" ht="36.75">
      <c r="A62" s="2883" t="s">
        <v>2955</v>
      </c>
      <c r="B62" s="2888" t="s">
        <v>2956</v>
      </c>
      <c r="C62" s="2775"/>
      <c r="D62" s="1289">
        <f t="shared" si="16"/>
        <v>0</v>
      </c>
      <c r="E62" s="822"/>
      <c r="F62" s="2507"/>
      <c r="G62" s="1287"/>
      <c r="H62" s="1291" t="str">
        <f t="shared" si="17"/>
        <v>——</v>
      </c>
      <c r="I62" s="820">
        <v>0.04</v>
      </c>
      <c r="J62" s="1288">
        <f t="shared" si="18"/>
        <v>0</v>
      </c>
      <c r="K62" s="1288">
        <f t="shared" si="19"/>
        <v>0</v>
      </c>
      <c r="L62" s="1288">
        <v>0</v>
      </c>
      <c r="M62" s="1288">
        <f t="shared" si="20"/>
        <v>0</v>
      </c>
      <c r="N62" s="1288">
        <f t="shared" si="20"/>
        <v>0</v>
      </c>
      <c r="AA62" s="1374"/>
      <c r="AB62" s="1374"/>
      <c r="AC62" s="1374"/>
      <c r="AD62" s="1374"/>
      <c r="AE62" s="1374"/>
      <c r="AF62" s="1374"/>
      <c r="AG62" s="1374"/>
      <c r="AH62" s="1374"/>
      <c r="AI62" s="1374"/>
      <c r="AJ62" s="1374"/>
      <c r="AK62" s="1374"/>
    </row>
    <row r="63" spans="1:37" s="1373" customFormat="1" ht="24">
      <c r="A63" s="2883" t="s">
        <v>2957</v>
      </c>
      <c r="B63" s="2887">
        <f>估价对象房地状况!C24</f>
        <v>0</v>
      </c>
      <c r="C63" s="2775"/>
      <c r="D63" s="1289">
        <f t="shared" si="16"/>
        <v>0</v>
      </c>
      <c r="E63" s="822"/>
      <c r="F63" s="2507"/>
      <c r="G63" s="1287"/>
      <c r="H63" s="1291" t="str">
        <f t="shared" si="17"/>
        <v>——</v>
      </c>
      <c r="I63" s="820">
        <v>0.05</v>
      </c>
      <c r="J63" s="1288">
        <f t="shared" si="18"/>
        <v>0</v>
      </c>
      <c r="K63" s="1288">
        <f t="shared" si="19"/>
        <v>0</v>
      </c>
      <c r="L63" s="1288">
        <v>0</v>
      </c>
      <c r="M63" s="1288">
        <f t="shared" si="20"/>
        <v>0</v>
      </c>
      <c r="N63" s="1288">
        <f t="shared" si="20"/>
        <v>0</v>
      </c>
      <c r="AA63" s="1374"/>
      <c r="AB63" s="1374"/>
      <c r="AC63" s="1374"/>
      <c r="AD63" s="1374"/>
      <c r="AE63" s="1374"/>
      <c r="AF63" s="1374"/>
      <c r="AG63" s="1374"/>
      <c r="AH63" s="1374"/>
      <c r="AI63" s="1374"/>
      <c r="AJ63" s="1374"/>
      <c r="AK63" s="1374"/>
    </row>
    <row r="64" spans="1:37" s="1373" customFormat="1" ht="24">
      <c r="A64" s="2883" t="s">
        <v>2958</v>
      </c>
      <c r="B64" s="2889" t="s">
        <v>2959</v>
      </c>
      <c r="C64" s="2775"/>
      <c r="D64" s="1289">
        <f t="shared" si="16"/>
        <v>0</v>
      </c>
      <c r="E64" s="822"/>
      <c r="F64" s="2507"/>
      <c r="G64" s="1287"/>
      <c r="H64" s="1291" t="str">
        <f t="shared" si="17"/>
        <v>——</v>
      </c>
      <c r="I64" s="820">
        <v>0.05</v>
      </c>
      <c r="J64" s="1288">
        <f t="shared" si="18"/>
        <v>0</v>
      </c>
      <c r="K64" s="1288">
        <f t="shared" si="19"/>
        <v>0</v>
      </c>
      <c r="L64" s="1288">
        <v>0</v>
      </c>
      <c r="M64" s="1288">
        <f t="shared" si="20"/>
        <v>0</v>
      </c>
      <c r="N64" s="1288">
        <f t="shared" si="20"/>
        <v>0</v>
      </c>
      <c r="AA64" s="1374"/>
      <c r="AB64" s="1374"/>
      <c r="AC64" s="1374"/>
      <c r="AD64" s="1374"/>
      <c r="AE64" s="1374"/>
      <c r="AF64" s="1374"/>
      <c r="AG64" s="1374"/>
      <c r="AH64" s="1374"/>
      <c r="AI64" s="1374"/>
      <c r="AJ64" s="1374"/>
      <c r="AK64" s="1374"/>
    </row>
    <row r="65" spans="1:37" s="1373" customFormat="1" ht="25.5">
      <c r="A65" s="2883" t="s">
        <v>2960</v>
      </c>
      <c r="B65" s="1728" t="str">
        <f>估价对象房地状况!C21</f>
        <v>估价对象所在区域公共配套设施齐备情况</v>
      </c>
      <c r="C65" s="2775"/>
      <c r="D65" s="1289">
        <f t="shared" si="16"/>
        <v>0</v>
      </c>
      <c r="E65" s="822"/>
      <c r="F65" s="2507"/>
      <c r="G65" s="1287"/>
      <c r="H65" s="1291" t="str">
        <f t="shared" si="17"/>
        <v>——</v>
      </c>
      <c r="I65" s="820">
        <v>0.06</v>
      </c>
      <c r="J65" s="1288">
        <f t="shared" si="18"/>
        <v>0</v>
      </c>
      <c r="K65" s="1288">
        <f t="shared" si="19"/>
        <v>0</v>
      </c>
      <c r="L65" s="1288">
        <v>0</v>
      </c>
      <c r="M65" s="1288">
        <f t="shared" si="20"/>
        <v>0</v>
      </c>
      <c r="N65" s="1288">
        <f t="shared" si="20"/>
        <v>0</v>
      </c>
      <c r="AA65" s="1374"/>
      <c r="AB65" s="1374"/>
      <c r="AC65" s="1374"/>
      <c r="AD65" s="1374"/>
      <c r="AE65" s="1374"/>
      <c r="AF65" s="1374"/>
      <c r="AG65" s="1374"/>
      <c r="AH65" s="1374"/>
      <c r="AI65" s="1374"/>
      <c r="AJ65" s="1374"/>
      <c r="AK65" s="1374"/>
    </row>
    <row r="66" spans="1:37" s="1373" customFormat="1" ht="25.5">
      <c r="A66" s="2883" t="s">
        <v>2961</v>
      </c>
      <c r="B66" s="1728" t="str">
        <f>估价对象房地状况!C22</f>
        <v>估价对象所在区域基础设施水平</v>
      </c>
      <c r="C66" s="2775"/>
      <c r="D66" s="1289">
        <f t="shared" si="16"/>
        <v>0</v>
      </c>
      <c r="E66" s="822"/>
      <c r="F66" s="2507"/>
      <c r="G66" s="1287"/>
      <c r="H66" s="1291" t="str">
        <f t="shared" si="17"/>
        <v>——</v>
      </c>
      <c r="I66" s="820">
        <v>0.12</v>
      </c>
      <c r="J66" s="1288">
        <f t="shared" si="18"/>
        <v>0</v>
      </c>
      <c r="K66" s="1288">
        <f t="shared" si="19"/>
        <v>0</v>
      </c>
      <c r="L66" s="1288">
        <v>0</v>
      </c>
      <c r="M66" s="1288">
        <f t="shared" si="20"/>
        <v>0</v>
      </c>
      <c r="N66" s="1288">
        <f t="shared" si="20"/>
        <v>0</v>
      </c>
      <c r="AA66" s="1374"/>
      <c r="AB66" s="1374"/>
      <c r="AC66" s="1374"/>
      <c r="AD66" s="1374"/>
      <c r="AE66" s="1374"/>
      <c r="AF66" s="1374"/>
      <c r="AG66" s="1374"/>
      <c r="AH66" s="1374"/>
      <c r="AI66" s="1374"/>
      <c r="AJ66" s="1374"/>
      <c r="AK66" s="1374"/>
    </row>
    <row r="67" spans="1:37" s="1373" customFormat="1" ht="39" thickBot="1">
      <c r="A67" s="2891" t="s">
        <v>2962</v>
      </c>
      <c r="B67" s="2893" t="str">
        <f>估价对象房地状况!C20</f>
        <v>区域自然环境：；人文环境；综合评价环境状况一般</v>
      </c>
      <c r="C67" s="2775"/>
      <c r="D67" s="1289">
        <f t="shared" si="16"/>
        <v>0</v>
      </c>
      <c r="E67" s="825"/>
      <c r="F67" s="2507"/>
      <c r="G67" s="1287"/>
      <c r="H67" s="1291" t="str">
        <f t="shared" si="17"/>
        <v>——</v>
      </c>
      <c r="I67" s="824">
        <v>0.06</v>
      </c>
      <c r="J67" s="1288">
        <f t="shared" si="18"/>
        <v>0</v>
      </c>
      <c r="K67" s="1288">
        <f t="shared" si="19"/>
        <v>0</v>
      </c>
      <c r="L67" s="1288">
        <v>0</v>
      </c>
      <c r="M67" s="1288">
        <f t="shared" si="20"/>
        <v>0</v>
      </c>
      <c r="N67" s="1288">
        <f t="shared" si="20"/>
        <v>0</v>
      </c>
      <c r="AA67" s="1374"/>
      <c r="AB67" s="1374"/>
      <c r="AC67" s="1374"/>
      <c r="AD67" s="1374"/>
      <c r="AE67" s="1374"/>
      <c r="AF67" s="1374"/>
      <c r="AG67" s="1374"/>
      <c r="AH67" s="1374"/>
      <c r="AI67" s="1374"/>
      <c r="AJ67" s="1374"/>
      <c r="AK67" s="1374"/>
    </row>
    <row r="68" spans="1:37" s="1373" customFormat="1" ht="15">
      <c r="A68" s="2879" t="s">
        <v>2966</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13.5">
      <c r="A69" s="2883" t="s">
        <v>2944</v>
      </c>
      <c r="B69" s="1811"/>
      <c r="C69" s="1811" t="s">
        <v>2946</v>
      </c>
      <c r="D69" s="1811" t="s">
        <v>2947</v>
      </c>
      <c r="E69" s="819" t="s">
        <v>2948</v>
      </c>
      <c r="F69" s="2884" t="s">
        <v>2964</v>
      </c>
      <c r="G69" s="1811" t="s">
        <v>754</v>
      </c>
      <c r="H69" s="2885" t="s">
        <v>2950</v>
      </c>
      <c r="I69" s="1811" t="s">
        <v>2951</v>
      </c>
      <c r="J69" s="603" t="s">
        <v>2600</v>
      </c>
      <c r="K69" s="603" t="s">
        <v>2601</v>
      </c>
      <c r="L69" s="603" t="s">
        <v>2602</v>
      </c>
      <c r="M69" s="603" t="s">
        <v>2603</v>
      </c>
      <c r="N69" s="603" t="s">
        <v>2604</v>
      </c>
      <c r="AA69" s="1374"/>
      <c r="AB69" s="1374"/>
      <c r="AC69" s="1374"/>
      <c r="AD69" s="1374"/>
      <c r="AE69" s="1374"/>
      <c r="AF69" s="1374"/>
      <c r="AG69" s="1374"/>
      <c r="AH69" s="1374"/>
      <c r="AI69" s="1374"/>
      <c r="AJ69" s="1374"/>
      <c r="AK69" s="1374"/>
    </row>
    <row r="70" spans="1:37" s="1373" customFormat="1" ht="51">
      <c r="A70" s="2883" t="s">
        <v>2967</v>
      </c>
      <c r="B70" s="2886" t="str">
        <f>估价对象房地状况!C15</f>
        <v>估价对象周边居住用地比例、居住小区规模和社区发展完善程度，综合评价居住社区成熟度一般</v>
      </c>
      <c r="C70" s="2775"/>
      <c r="D70" s="1289">
        <f t="shared" ref="D70:D78" si="21">SUMIF($J$69:$N$69,C70,J70:N70)</f>
        <v>0</v>
      </c>
      <c r="E70" s="821">
        <f>ROUND(SUM(D70:D78),4)</f>
        <v>0</v>
      </c>
      <c r="F70" s="2507" t="str">
        <f>IF(E2="住宅",SUMIF(L1:L12,G2,N1:N12),"——")</f>
        <v>——</v>
      </c>
      <c r="G70" s="1287"/>
      <c r="H70" s="1291" t="str">
        <f t="shared" ref="H70:H78" si="22">IFERROR(ROUNDDOWN($F$70*I70/2,4),"——")</f>
        <v>——</v>
      </c>
      <c r="I70" s="820">
        <v>0.14000000000000001</v>
      </c>
      <c r="J70" s="1288">
        <f t="shared" ref="J70:J78" si="23">K70+$G70</f>
        <v>0</v>
      </c>
      <c r="K70" s="1288">
        <f t="shared" ref="K70:K78" si="24">$L70+$G70</f>
        <v>0</v>
      </c>
      <c r="L70" s="1288">
        <v>0</v>
      </c>
      <c r="M70" s="1288">
        <f t="shared" ref="M70:N78" si="25">L70-$G70</f>
        <v>0</v>
      </c>
      <c r="N70" s="1288">
        <f t="shared" si="25"/>
        <v>0</v>
      </c>
      <c r="AA70" s="1374"/>
      <c r="AB70" s="1374"/>
      <c r="AC70" s="1374"/>
      <c r="AD70" s="1374"/>
      <c r="AE70" s="1374"/>
      <c r="AF70" s="1374"/>
      <c r="AG70" s="1374"/>
      <c r="AH70" s="1374"/>
      <c r="AI70" s="1374"/>
      <c r="AJ70" s="1374"/>
      <c r="AK70" s="1374"/>
    </row>
    <row r="71" spans="1:37" s="1373" customFormat="1" ht="51">
      <c r="A71" s="2883" t="s">
        <v>2953</v>
      </c>
      <c r="B71" s="2887" t="str">
        <f>估价对象房地状况!C18</f>
        <v>估价对象周边道路状况、公共交通通达情况、停车便捷程度，综合评价交通便捷度较好</v>
      </c>
      <c r="C71" s="2775"/>
      <c r="D71" s="1289">
        <f t="shared" si="21"/>
        <v>0</v>
      </c>
      <c r="E71" s="826"/>
      <c r="F71" s="2507"/>
      <c r="G71" s="1287"/>
      <c r="H71" s="1291" t="str">
        <f t="shared" si="22"/>
        <v>——</v>
      </c>
      <c r="I71" s="820">
        <v>0.3</v>
      </c>
      <c r="J71" s="1288">
        <f t="shared" si="23"/>
        <v>0</v>
      </c>
      <c r="K71" s="1288">
        <f t="shared" si="24"/>
        <v>0</v>
      </c>
      <c r="L71" s="1288">
        <v>0</v>
      </c>
      <c r="M71" s="1288">
        <f t="shared" si="25"/>
        <v>0</v>
      </c>
      <c r="N71" s="1288">
        <f t="shared" si="25"/>
        <v>0</v>
      </c>
      <c r="AA71" s="1374"/>
      <c r="AB71" s="1374"/>
      <c r="AC71" s="1374"/>
      <c r="AD71" s="1374"/>
      <c r="AE71" s="1374"/>
      <c r="AF71" s="1374"/>
      <c r="AG71" s="1374"/>
      <c r="AH71" s="1374"/>
      <c r="AI71" s="1374"/>
      <c r="AJ71" s="1374"/>
      <c r="AK71" s="1374"/>
    </row>
    <row r="72" spans="1:37" s="1373" customFormat="1" ht="24">
      <c r="A72" s="2883" t="s">
        <v>2954</v>
      </c>
      <c r="B72" s="2887">
        <f>估价对象房地状况!C19</f>
        <v>0</v>
      </c>
      <c r="C72" s="2775"/>
      <c r="D72" s="1289">
        <f t="shared" si="21"/>
        <v>0</v>
      </c>
      <c r="E72" s="826"/>
      <c r="F72" s="2507"/>
      <c r="G72" s="1287"/>
      <c r="H72" s="1291" t="str">
        <f t="shared" si="22"/>
        <v>——</v>
      </c>
      <c r="I72" s="820">
        <v>0.08</v>
      </c>
      <c r="J72" s="1288">
        <f t="shared" si="23"/>
        <v>0</v>
      </c>
      <c r="K72" s="1288">
        <f t="shared" si="24"/>
        <v>0</v>
      </c>
      <c r="L72" s="1288">
        <v>0</v>
      </c>
      <c r="M72" s="1288">
        <f t="shared" si="25"/>
        <v>0</v>
      </c>
      <c r="N72" s="1288">
        <f t="shared" si="25"/>
        <v>0</v>
      </c>
      <c r="AA72" s="1374"/>
      <c r="AB72" s="1374"/>
      <c r="AC72" s="1374"/>
      <c r="AD72" s="1374"/>
      <c r="AE72" s="1374"/>
      <c r="AF72" s="1374"/>
      <c r="AG72" s="1374"/>
      <c r="AH72" s="1374"/>
      <c r="AI72" s="1374"/>
      <c r="AJ72" s="1374"/>
      <c r="AK72" s="1374"/>
    </row>
    <row r="73" spans="1:37" s="1373" customFormat="1" ht="14.25">
      <c r="A73" s="2883" t="s">
        <v>2968</v>
      </c>
      <c r="B73" s="2887">
        <f>估价对象房地状况!C24</f>
        <v>0</v>
      </c>
      <c r="C73" s="2775"/>
      <c r="D73" s="1289">
        <f t="shared" si="21"/>
        <v>0</v>
      </c>
      <c r="E73" s="826"/>
      <c r="F73" s="2507"/>
      <c r="G73" s="1287"/>
      <c r="H73" s="1291" t="str">
        <f t="shared" si="22"/>
        <v>——</v>
      </c>
      <c r="I73" s="820">
        <v>0.04</v>
      </c>
      <c r="J73" s="1288">
        <f t="shared" si="23"/>
        <v>0</v>
      </c>
      <c r="K73" s="1288">
        <f t="shared" si="24"/>
        <v>0</v>
      </c>
      <c r="L73" s="1288">
        <v>0</v>
      </c>
      <c r="M73" s="1288">
        <f t="shared" si="25"/>
        <v>0</v>
      </c>
      <c r="N73" s="1288">
        <f t="shared" si="25"/>
        <v>0</v>
      </c>
      <c r="AA73" s="1374"/>
      <c r="AB73" s="1374"/>
      <c r="AC73" s="1374"/>
      <c r="AD73" s="1374"/>
      <c r="AE73" s="1374"/>
      <c r="AF73" s="1374"/>
      <c r="AG73" s="1374"/>
      <c r="AH73" s="1374"/>
      <c r="AI73" s="1374"/>
      <c r="AJ73" s="1374"/>
      <c r="AK73" s="1374"/>
    </row>
    <row r="74" spans="1:37" s="1373" customFormat="1" ht="25.5">
      <c r="A74" s="2883" t="s">
        <v>2960</v>
      </c>
      <c r="B74" s="1728" t="str">
        <f>估价对象房地状况!C21</f>
        <v>估价对象所在区域公共配套设施齐备情况</v>
      </c>
      <c r="C74" s="2775"/>
      <c r="D74" s="1289">
        <f t="shared" si="21"/>
        <v>0</v>
      </c>
      <c r="E74" s="826"/>
      <c r="F74" s="2507"/>
      <c r="G74" s="1287"/>
      <c r="H74" s="1291" t="str">
        <f t="shared" si="22"/>
        <v>——</v>
      </c>
      <c r="I74" s="820">
        <v>0.08</v>
      </c>
      <c r="J74" s="1288">
        <f t="shared" si="23"/>
        <v>0</v>
      </c>
      <c r="K74" s="1288">
        <f t="shared" si="24"/>
        <v>0</v>
      </c>
      <c r="L74" s="1288">
        <v>0</v>
      </c>
      <c r="M74" s="1288">
        <f t="shared" si="25"/>
        <v>0</v>
      </c>
      <c r="N74" s="1288">
        <f t="shared" si="25"/>
        <v>0</v>
      </c>
      <c r="AA74" s="1374"/>
      <c r="AB74" s="1374"/>
      <c r="AC74" s="1374"/>
      <c r="AD74" s="1374"/>
      <c r="AE74" s="1374"/>
      <c r="AF74" s="1374"/>
      <c r="AG74" s="1374"/>
      <c r="AH74" s="1374"/>
      <c r="AI74" s="1374"/>
      <c r="AJ74" s="1374"/>
      <c r="AK74" s="1374"/>
    </row>
    <row r="75" spans="1:37" s="1373" customFormat="1" ht="25.5">
      <c r="A75" s="2883" t="s">
        <v>2961</v>
      </c>
      <c r="B75" s="1728" t="str">
        <f>估价对象房地状况!C22</f>
        <v>估价对象所在区域基础设施水平</v>
      </c>
      <c r="C75" s="2775"/>
      <c r="D75" s="1289">
        <f t="shared" si="21"/>
        <v>0</v>
      </c>
      <c r="E75" s="826"/>
      <c r="F75" s="2507"/>
      <c r="G75" s="1287"/>
      <c r="H75" s="1291" t="str">
        <f t="shared" si="22"/>
        <v>——</v>
      </c>
      <c r="I75" s="820">
        <v>0.12</v>
      </c>
      <c r="J75" s="1288">
        <f t="shared" si="23"/>
        <v>0</v>
      </c>
      <c r="K75" s="1288">
        <f t="shared" si="24"/>
        <v>0</v>
      </c>
      <c r="L75" s="1288">
        <v>0</v>
      </c>
      <c r="M75" s="1288">
        <f t="shared" si="25"/>
        <v>0</v>
      </c>
      <c r="N75" s="1288">
        <f t="shared" si="25"/>
        <v>0</v>
      </c>
      <c r="AA75" s="1374"/>
      <c r="AB75" s="1374"/>
      <c r="AC75" s="1374"/>
      <c r="AD75" s="1374"/>
      <c r="AE75" s="1374"/>
      <c r="AF75" s="1374"/>
      <c r="AG75" s="1374"/>
      <c r="AH75" s="1374"/>
      <c r="AI75" s="1374"/>
      <c r="AJ75" s="1374"/>
      <c r="AK75" s="1374"/>
    </row>
    <row r="76" spans="1:37" s="2725" customFormat="1" ht="24">
      <c r="A76" s="2883" t="s">
        <v>2958</v>
      </c>
      <c r="B76" s="2889" t="s">
        <v>2959</v>
      </c>
      <c r="C76" s="2775"/>
      <c r="D76" s="1289">
        <f t="shared" si="21"/>
        <v>0</v>
      </c>
      <c r="E76" s="826"/>
      <c r="F76" s="2507"/>
      <c r="G76" s="1287"/>
      <c r="H76" s="1291" t="str">
        <f t="shared" si="22"/>
        <v>——</v>
      </c>
      <c r="I76" s="820">
        <v>0.05</v>
      </c>
      <c r="J76" s="1288">
        <f t="shared" si="23"/>
        <v>0</v>
      </c>
      <c r="K76" s="1288">
        <f t="shared" si="24"/>
        <v>0</v>
      </c>
      <c r="L76" s="1288">
        <v>0</v>
      </c>
      <c r="M76" s="1288">
        <f t="shared" si="25"/>
        <v>0</v>
      </c>
      <c r="N76" s="1288">
        <f t="shared" si="25"/>
        <v>0</v>
      </c>
      <c r="AA76" s="2894"/>
      <c r="AB76" s="1374"/>
      <c r="AC76" s="1374"/>
      <c r="AD76" s="1374"/>
      <c r="AE76" s="1374"/>
      <c r="AF76" s="1374"/>
      <c r="AG76" s="1374"/>
      <c r="AH76" s="2894"/>
      <c r="AI76" s="2894"/>
      <c r="AJ76" s="2894"/>
      <c r="AK76" s="2894"/>
    </row>
    <row r="77" spans="1:37" ht="38.25">
      <c r="A77" s="2883" t="s">
        <v>2962</v>
      </c>
      <c r="B77" s="2886" t="str">
        <f>估价对象房地状况!C20</f>
        <v>区域自然环境：；人文环境；综合评价环境状况一般</v>
      </c>
      <c r="C77" s="2775"/>
      <c r="D77" s="1289">
        <f t="shared" si="21"/>
        <v>0</v>
      </c>
      <c r="E77" s="826"/>
      <c r="F77" s="2507"/>
      <c r="G77" s="1287"/>
      <c r="H77" s="1291" t="str">
        <f t="shared" si="22"/>
        <v>——</v>
      </c>
      <c r="I77" s="820">
        <v>0.15</v>
      </c>
      <c r="J77" s="1288">
        <f t="shared" si="23"/>
        <v>0</v>
      </c>
      <c r="K77" s="1288">
        <f t="shared" si="24"/>
        <v>0</v>
      </c>
      <c r="L77" s="1288">
        <v>0</v>
      </c>
      <c r="M77" s="1288">
        <f t="shared" si="25"/>
        <v>0</v>
      </c>
      <c r="N77" s="1288">
        <f t="shared" si="25"/>
        <v>0</v>
      </c>
      <c r="Z77" s="2726"/>
      <c r="AA77" s="2801"/>
      <c r="AG77" s="1375"/>
      <c r="AK77" s="2801"/>
    </row>
    <row r="78" spans="1:37" ht="24.75" thickBot="1">
      <c r="A78" s="2891" t="s">
        <v>2969</v>
      </c>
      <c r="B78" s="2895"/>
      <c r="C78" s="2775"/>
      <c r="D78" s="1289">
        <f t="shared" si="21"/>
        <v>0</v>
      </c>
      <c r="E78" s="827"/>
      <c r="F78" s="2507"/>
      <c r="G78" s="1287"/>
      <c r="H78" s="1291" t="str">
        <f t="shared" si="22"/>
        <v>——</v>
      </c>
      <c r="I78" s="824">
        <v>0.04</v>
      </c>
      <c r="J78" s="1288">
        <f t="shared" si="23"/>
        <v>0</v>
      </c>
      <c r="K78" s="1288">
        <f t="shared" si="24"/>
        <v>0</v>
      </c>
      <c r="L78" s="1288">
        <v>0</v>
      </c>
      <c r="M78" s="1288">
        <f t="shared" si="25"/>
        <v>0</v>
      </c>
      <c r="N78" s="1288">
        <f t="shared" si="25"/>
        <v>0</v>
      </c>
      <c r="Z78" s="2726"/>
      <c r="AA78" s="2801"/>
      <c r="AG78" s="1375"/>
      <c r="AK78" s="2801"/>
    </row>
    <row r="79" spans="1:37" ht="15">
      <c r="A79" s="2879" t="s">
        <v>2970</v>
      </c>
      <c r="B79" s="2880">
        <f>1+E81</f>
        <v>1</v>
      </c>
      <c r="C79" s="814"/>
      <c r="D79" s="814"/>
      <c r="E79" s="815"/>
      <c r="F79" s="2882"/>
      <c r="G79" s="6"/>
      <c r="H79" s="6"/>
      <c r="I79" s="6"/>
      <c r="J79" s="7"/>
      <c r="K79" s="7"/>
      <c r="L79" s="7"/>
      <c r="M79" s="7"/>
      <c r="N79" s="7"/>
      <c r="Z79" s="2726"/>
      <c r="AA79" s="2801"/>
      <c r="AG79" s="1375"/>
      <c r="AK79" s="2801"/>
    </row>
    <row r="80" spans="1:37" ht="13.5">
      <c r="A80" s="2883" t="s">
        <v>2944</v>
      </c>
      <c r="B80" s="1811"/>
      <c r="C80" s="1811" t="s">
        <v>2946</v>
      </c>
      <c r="D80" s="1811" t="s">
        <v>2947</v>
      </c>
      <c r="E80" s="819" t="s">
        <v>2948</v>
      </c>
      <c r="F80" s="2884" t="s">
        <v>2964</v>
      </c>
      <c r="G80" s="1811" t="s">
        <v>754</v>
      </c>
      <c r="H80" s="2885" t="s">
        <v>2950</v>
      </c>
      <c r="I80" s="1811" t="s">
        <v>2951</v>
      </c>
      <c r="J80" s="603" t="s">
        <v>2600</v>
      </c>
      <c r="K80" s="603" t="s">
        <v>2601</v>
      </c>
      <c r="L80" s="603" t="s">
        <v>2602</v>
      </c>
      <c r="M80" s="603" t="s">
        <v>2603</v>
      </c>
      <c r="N80" s="603" t="s">
        <v>2604</v>
      </c>
      <c r="Z80" s="2726"/>
      <c r="AA80" s="2801"/>
      <c r="AG80" s="1375"/>
      <c r="AK80" s="2801"/>
    </row>
    <row r="81" spans="1:37" ht="38.25">
      <c r="A81" s="2883" t="s">
        <v>2971</v>
      </c>
      <c r="B81" s="2887" t="str">
        <f>估价对象房地状况!G15</f>
        <v>估价对象位于XX开发区，园区建设成熟度XX，产业集聚程度XX</v>
      </c>
      <c r="C81" s="2775"/>
      <c r="D81" s="1289">
        <f t="shared" ref="D81:D88" si="26">SUMIF($J$80:$N$80,C81,J81:N81)</f>
        <v>0</v>
      </c>
      <c r="E81" s="821">
        <f>ROUND(SUM(D81:D88),4)</f>
        <v>0</v>
      </c>
      <c r="F81" s="2507"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6"/>
      <c r="AA81" s="2801"/>
      <c r="AG81" s="1375"/>
      <c r="AK81" s="2801"/>
    </row>
    <row r="82" spans="1:37" ht="51">
      <c r="A82" s="2883" t="s">
        <v>2953</v>
      </c>
      <c r="B82" s="2887" t="str">
        <f>估价对象房地状况!G16</f>
        <v>估价对象周边道路状况、公共交通通达情况、停车便捷程度，综合评价交通便捷度较好</v>
      </c>
      <c r="C82" s="2775"/>
      <c r="D82" s="1289">
        <f t="shared" si="26"/>
        <v>0</v>
      </c>
      <c r="E82" s="826"/>
      <c r="F82" s="2507"/>
      <c r="G82" s="1287"/>
      <c r="H82" s="1291" t="str">
        <f t="shared" si="27"/>
        <v>——</v>
      </c>
      <c r="I82" s="820">
        <v>0.33</v>
      </c>
      <c r="J82" s="1288">
        <f t="shared" si="28"/>
        <v>0</v>
      </c>
      <c r="K82" s="1288">
        <f t="shared" si="29"/>
        <v>0</v>
      </c>
      <c r="L82" s="1288">
        <v>0</v>
      </c>
      <c r="M82" s="1288">
        <f t="shared" si="30"/>
        <v>0</v>
      </c>
      <c r="N82" s="1288">
        <f t="shared" si="30"/>
        <v>0</v>
      </c>
      <c r="Z82" s="2726"/>
      <c r="AA82" s="2801"/>
      <c r="AG82" s="1375"/>
      <c r="AK82" s="2801"/>
    </row>
    <row r="83" spans="1:37" ht="24">
      <c r="A83" s="2883" t="s">
        <v>2954</v>
      </c>
      <c r="B83" s="2887">
        <f>估价对象房地状况!G17</f>
        <v>0</v>
      </c>
      <c r="C83" s="2775"/>
      <c r="D83" s="1289">
        <f t="shared" si="26"/>
        <v>0</v>
      </c>
      <c r="E83" s="826"/>
      <c r="F83" s="2507"/>
      <c r="G83" s="1287"/>
      <c r="H83" s="1291" t="str">
        <f t="shared" si="27"/>
        <v>——</v>
      </c>
      <c r="I83" s="820">
        <v>0.05</v>
      </c>
      <c r="J83" s="1288">
        <f t="shared" si="28"/>
        <v>0</v>
      </c>
      <c r="K83" s="1288">
        <f t="shared" si="29"/>
        <v>0</v>
      </c>
      <c r="L83" s="1288">
        <v>0</v>
      </c>
      <c r="M83" s="1288">
        <f t="shared" si="30"/>
        <v>0</v>
      </c>
      <c r="N83" s="1288">
        <f t="shared" si="30"/>
        <v>0</v>
      </c>
      <c r="Z83" s="2726"/>
      <c r="AA83" s="2801"/>
      <c r="AG83" s="1375"/>
      <c r="AK83" s="2801"/>
    </row>
    <row r="84" spans="1:37" ht="14.25">
      <c r="A84" s="2883" t="s">
        <v>2968</v>
      </c>
      <c r="B84" s="2887">
        <f>估价对象房地状况!G22</f>
        <v>0</v>
      </c>
      <c r="C84" s="2775"/>
      <c r="D84" s="1289">
        <f t="shared" si="26"/>
        <v>0</v>
      </c>
      <c r="E84" s="826"/>
      <c r="F84" s="2507"/>
      <c r="G84" s="1287"/>
      <c r="H84" s="1291" t="str">
        <f t="shared" si="27"/>
        <v>——</v>
      </c>
      <c r="I84" s="820">
        <v>0.04</v>
      </c>
      <c r="J84" s="1288">
        <f t="shared" si="28"/>
        <v>0</v>
      </c>
      <c r="K84" s="1288">
        <f t="shared" si="29"/>
        <v>0</v>
      </c>
      <c r="L84" s="1288">
        <v>0</v>
      </c>
      <c r="M84" s="1288">
        <f t="shared" si="30"/>
        <v>0</v>
      </c>
      <c r="N84" s="1288">
        <f t="shared" si="30"/>
        <v>0</v>
      </c>
      <c r="Z84" s="2726"/>
      <c r="AA84" s="2801"/>
      <c r="AG84" s="1375"/>
      <c r="AK84" s="2801"/>
    </row>
    <row r="85" spans="1:37" ht="25.5">
      <c r="A85" s="2883" t="s">
        <v>2960</v>
      </c>
      <c r="B85" s="1728" t="str">
        <f>估价对象房地状况!G19</f>
        <v>估价对象所在区域公共配套设施齐备情况</v>
      </c>
      <c r="C85" s="2775"/>
      <c r="D85" s="1289">
        <f t="shared" si="26"/>
        <v>0</v>
      </c>
      <c r="E85" s="826"/>
      <c r="F85" s="2507"/>
      <c r="G85" s="1287"/>
      <c r="H85" s="1291" t="str">
        <f t="shared" si="27"/>
        <v>——</v>
      </c>
      <c r="I85" s="820">
        <v>0.06</v>
      </c>
      <c r="J85" s="1288">
        <f t="shared" si="28"/>
        <v>0</v>
      </c>
      <c r="K85" s="1288">
        <f t="shared" si="29"/>
        <v>0</v>
      </c>
      <c r="L85" s="1288">
        <v>0</v>
      </c>
      <c r="M85" s="1288">
        <f t="shared" si="30"/>
        <v>0</v>
      </c>
      <c r="N85" s="1288">
        <f t="shared" si="30"/>
        <v>0</v>
      </c>
      <c r="Z85" s="2726"/>
      <c r="AA85" s="2801"/>
      <c r="AG85" s="1375"/>
      <c r="AK85" s="2801"/>
    </row>
    <row r="86" spans="1:37" ht="25.5">
      <c r="A86" s="2883" t="s">
        <v>2961</v>
      </c>
      <c r="B86" s="1728" t="str">
        <f>估价对象房地状况!G20</f>
        <v>估价对象所在区域基础设施水平</v>
      </c>
      <c r="C86" s="2775"/>
      <c r="D86" s="1289">
        <f t="shared" si="26"/>
        <v>0</v>
      </c>
      <c r="E86" s="826"/>
      <c r="F86" s="2507"/>
      <c r="G86" s="1287"/>
      <c r="H86" s="1291" t="str">
        <f t="shared" si="27"/>
        <v>——</v>
      </c>
      <c r="I86" s="820">
        <v>0.15</v>
      </c>
      <c r="J86" s="1288">
        <f t="shared" si="28"/>
        <v>0</v>
      </c>
      <c r="K86" s="1288">
        <f t="shared" si="29"/>
        <v>0</v>
      </c>
      <c r="L86" s="1288">
        <v>0</v>
      </c>
      <c r="M86" s="1288">
        <f t="shared" si="30"/>
        <v>0</v>
      </c>
      <c r="N86" s="1288">
        <f t="shared" si="30"/>
        <v>0</v>
      </c>
      <c r="Z86" s="2726"/>
      <c r="AA86" s="2801"/>
      <c r="AG86" s="1375"/>
      <c r="AK86" s="2801"/>
    </row>
    <row r="87" spans="1:37" ht="24">
      <c r="A87" s="2883" t="s">
        <v>2958</v>
      </c>
      <c r="B87" s="2889" t="s">
        <v>2972</v>
      </c>
      <c r="C87" s="2775"/>
      <c r="D87" s="1289">
        <f t="shared" si="26"/>
        <v>0</v>
      </c>
      <c r="E87" s="826"/>
      <c r="F87" s="2507"/>
      <c r="G87" s="1287"/>
      <c r="H87" s="1291" t="str">
        <f t="shared" si="27"/>
        <v>——</v>
      </c>
      <c r="I87" s="820">
        <v>0.05</v>
      </c>
      <c r="J87" s="1288">
        <f t="shared" si="28"/>
        <v>0</v>
      </c>
      <c r="K87" s="1288">
        <f t="shared" si="29"/>
        <v>0</v>
      </c>
      <c r="L87" s="1288">
        <v>0</v>
      </c>
      <c r="M87" s="1288">
        <f t="shared" si="30"/>
        <v>0</v>
      </c>
      <c r="N87" s="1288">
        <f t="shared" si="30"/>
        <v>0</v>
      </c>
      <c r="Z87" s="2726"/>
      <c r="AA87" s="2801"/>
      <c r="AG87" s="1375"/>
      <c r="AK87" s="2801"/>
    </row>
    <row r="88" spans="1:37" ht="39" thickBot="1">
      <c r="A88" s="2891" t="s">
        <v>2973</v>
      </c>
      <c r="B88" s="2896" t="str">
        <f>估价对象房地状况!G18</f>
        <v>该园区内是否有污染型企业，绿化情况，卫生条件，整体环境状况判断</v>
      </c>
      <c r="C88" s="2775"/>
      <c r="D88" s="1289">
        <f t="shared" si="26"/>
        <v>0</v>
      </c>
      <c r="E88" s="827"/>
      <c r="F88" s="2507"/>
      <c r="G88" s="1287"/>
      <c r="H88" s="1291" t="str">
        <f t="shared" si="27"/>
        <v>——</v>
      </c>
      <c r="I88" s="824">
        <v>0.06</v>
      </c>
      <c r="J88" s="1288">
        <f t="shared" si="28"/>
        <v>0</v>
      </c>
      <c r="K88" s="1288">
        <f t="shared" si="29"/>
        <v>0</v>
      </c>
      <c r="L88" s="1288">
        <v>0</v>
      </c>
      <c r="M88" s="1288">
        <f t="shared" si="30"/>
        <v>0</v>
      </c>
      <c r="N88" s="1288">
        <f t="shared" si="30"/>
        <v>0</v>
      </c>
      <c r="Z88" s="2726"/>
      <c r="AA88" s="2801"/>
      <c r="AG88" s="1375"/>
      <c r="AK88" s="2801"/>
    </row>
    <row r="90" spans="1:37">
      <c r="A90" s="3212" t="s">
        <v>2974</v>
      </c>
      <c r="B90" s="3212"/>
      <c r="C90" s="3212"/>
      <c r="D90" s="3212"/>
      <c r="E90" s="3212"/>
      <c r="F90" s="3212"/>
      <c r="G90" s="3212"/>
      <c r="H90" s="3212"/>
      <c r="I90" s="3212"/>
      <c r="J90" s="3212"/>
      <c r="K90" s="2897"/>
      <c r="L90" s="2897"/>
      <c r="M90" s="2897"/>
      <c r="N90" s="2897"/>
    </row>
    <row r="91" spans="1:37">
      <c r="A91" s="3214" t="s">
        <v>2975</v>
      </c>
      <c r="B91" s="3214" t="s">
        <v>2976</v>
      </c>
      <c r="C91" s="2851" t="s">
        <v>2977</v>
      </c>
      <c r="D91" s="2852"/>
      <c r="E91" s="2852"/>
      <c r="F91" s="2852"/>
      <c r="G91" s="2852"/>
      <c r="H91" s="2852"/>
      <c r="I91" s="2852"/>
      <c r="J91" s="2898"/>
      <c r="K91" s="2899"/>
      <c r="L91" s="2899"/>
      <c r="M91" s="2899"/>
      <c r="N91" s="2899"/>
    </row>
    <row r="92" spans="1:37">
      <c r="A92" s="3214"/>
      <c r="B92" s="3214"/>
      <c r="C92" s="945" t="s">
        <v>2843</v>
      </c>
      <c r="D92" s="945" t="s">
        <v>2844</v>
      </c>
      <c r="E92" s="945" t="s">
        <v>2845</v>
      </c>
      <c r="F92" s="945" t="s">
        <v>2846</v>
      </c>
      <c r="G92" s="945" t="s">
        <v>2847</v>
      </c>
      <c r="H92" s="945" t="s">
        <v>2848</v>
      </c>
      <c r="I92" s="945" t="s">
        <v>2849</v>
      </c>
      <c r="J92" s="945" t="s">
        <v>2850</v>
      </c>
      <c r="K92" s="945" t="s">
        <v>2851</v>
      </c>
      <c r="L92" s="945" t="s">
        <v>2852</v>
      </c>
      <c r="M92" s="945" t="s">
        <v>2853</v>
      </c>
      <c r="N92" s="945" t="s">
        <v>2854</v>
      </c>
    </row>
    <row r="93" spans="1:37">
      <c r="A93" s="3215" t="s">
        <v>2978</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16"/>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16"/>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16"/>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16"/>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16"/>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16"/>
      <c r="B99" s="2900" t="s">
        <v>2859</v>
      </c>
      <c r="C99" s="2902">
        <f>$I$3</f>
        <v>0</v>
      </c>
      <c r="D99" s="2902">
        <f t="shared" ref="D99:M99" si="31">$I$3</f>
        <v>0</v>
      </c>
      <c r="E99" s="2902">
        <f t="shared" si="31"/>
        <v>0</v>
      </c>
      <c r="F99" s="2902">
        <f t="shared" si="31"/>
        <v>0</v>
      </c>
      <c r="G99" s="2902">
        <f t="shared" si="31"/>
        <v>0</v>
      </c>
      <c r="H99" s="2902">
        <f t="shared" si="31"/>
        <v>0</v>
      </c>
      <c r="I99" s="2902">
        <f t="shared" si="31"/>
        <v>0</v>
      </c>
      <c r="J99" s="2902">
        <f t="shared" si="31"/>
        <v>0</v>
      </c>
      <c r="K99" s="2902">
        <f t="shared" si="31"/>
        <v>0</v>
      </c>
      <c r="L99" s="2902">
        <f t="shared" si="31"/>
        <v>0</v>
      </c>
      <c r="M99" s="2902">
        <f t="shared" si="31"/>
        <v>0</v>
      </c>
      <c r="N99" s="2902">
        <f>$I$3</f>
        <v>0</v>
      </c>
    </row>
    <row r="100" spans="1:14">
      <c r="A100" s="3217"/>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15" t="s">
        <v>2979</v>
      </c>
      <c r="B101" s="2904" t="s">
        <v>2980</v>
      </c>
      <c r="C101" s="2905">
        <f>$G$3</f>
        <v>2.93</v>
      </c>
      <c r="D101" s="2905">
        <f t="shared" ref="D101:N101" si="32">$G$3</f>
        <v>2.93</v>
      </c>
      <c r="E101" s="2905">
        <f t="shared" si="32"/>
        <v>2.93</v>
      </c>
      <c r="F101" s="2905">
        <f t="shared" si="32"/>
        <v>2.93</v>
      </c>
      <c r="G101" s="2905">
        <f t="shared" si="32"/>
        <v>2.93</v>
      </c>
      <c r="H101" s="2905">
        <f t="shared" si="32"/>
        <v>2.93</v>
      </c>
      <c r="I101" s="2905">
        <f t="shared" si="32"/>
        <v>2.93</v>
      </c>
      <c r="J101" s="2905">
        <f t="shared" si="32"/>
        <v>2.93</v>
      </c>
      <c r="K101" s="2905">
        <f t="shared" si="32"/>
        <v>2.93</v>
      </c>
      <c r="L101" s="2905">
        <f t="shared" si="32"/>
        <v>2.93</v>
      </c>
      <c r="M101" s="2905">
        <f t="shared" si="32"/>
        <v>2.93</v>
      </c>
      <c r="N101" s="2905">
        <f t="shared" si="32"/>
        <v>2.93</v>
      </c>
    </row>
    <row r="102" spans="1:14">
      <c r="A102" s="3216"/>
      <c r="B102" s="2900">
        <v>1</v>
      </c>
      <c r="C102" s="2901">
        <f>1.9362/C101</f>
        <v>0.66081911262798632</v>
      </c>
      <c r="D102" s="2901">
        <f>1.9362/D101</f>
        <v>0.66081911262798632</v>
      </c>
      <c r="E102" s="2901">
        <f>1.8629/E101</f>
        <v>0.6358020477815699</v>
      </c>
      <c r="F102" s="2901">
        <f>1.8629/F101</f>
        <v>0.6358020477815699</v>
      </c>
      <c r="G102" s="2901">
        <f>1.8629/G101</f>
        <v>0.6358020477815699</v>
      </c>
      <c r="H102" s="2901">
        <f>1.8629/H101</f>
        <v>0.6358020477815699</v>
      </c>
      <c r="I102" s="2901">
        <f>1.8629/I101</f>
        <v>0.6358020477815699</v>
      </c>
      <c r="J102" s="2901">
        <f>1.942/J101</f>
        <v>0.66279863481228662</v>
      </c>
      <c r="K102" s="2901">
        <f>1.942/K101</f>
        <v>0.66279863481228662</v>
      </c>
      <c r="L102" s="2901">
        <f>1.942/L101</f>
        <v>0.66279863481228662</v>
      </c>
      <c r="M102" s="2901">
        <f>1.942/M101</f>
        <v>0.66279863481228662</v>
      </c>
      <c r="N102" s="2901">
        <f>1.942/N101</f>
        <v>0.66279863481228662</v>
      </c>
    </row>
    <row r="103" spans="1:14">
      <c r="A103" s="3216"/>
      <c r="B103" s="2900">
        <v>2</v>
      </c>
      <c r="C103" s="2901">
        <f>1.4198/C101</f>
        <v>0.4845733788395904</v>
      </c>
      <c r="D103" s="2901">
        <f>1.4198/D101</f>
        <v>0.4845733788395904</v>
      </c>
      <c r="E103" s="2901">
        <f>1.3372/E101</f>
        <v>0.45638225255972692</v>
      </c>
      <c r="F103" s="2901">
        <f>1.3372/F101</f>
        <v>0.45638225255972692</v>
      </c>
      <c r="G103" s="2901">
        <f>1.3372/G101</f>
        <v>0.45638225255972692</v>
      </c>
      <c r="H103" s="2901">
        <f>1.3372/H101</f>
        <v>0.45638225255972692</v>
      </c>
      <c r="I103" s="2901">
        <f>1.3372/I101</f>
        <v>0.45638225255972692</v>
      </c>
      <c r="J103" s="2901">
        <f>1.2799/J101</f>
        <v>0.43682593856655288</v>
      </c>
      <c r="K103" s="2901">
        <f>1.2799/K101</f>
        <v>0.43682593856655288</v>
      </c>
      <c r="L103" s="2901">
        <f>1.2799/L101</f>
        <v>0.43682593856655288</v>
      </c>
      <c r="M103" s="2901">
        <f>1.2799/M101</f>
        <v>0.43682593856655288</v>
      </c>
      <c r="N103" s="2901">
        <f>1.2799/N101</f>
        <v>0.43682593856655288</v>
      </c>
    </row>
    <row r="104" spans="1:14">
      <c r="A104" s="3216"/>
      <c r="B104" s="2900">
        <v>3</v>
      </c>
      <c r="C104" s="2901">
        <f>1.1594/C101</f>
        <v>0.39569965870307167</v>
      </c>
      <c r="D104" s="2901">
        <f>1.1594/D101</f>
        <v>0.39569965870307167</v>
      </c>
      <c r="E104" s="2901">
        <f>1.0788/E101</f>
        <v>0.36819112627986345</v>
      </c>
      <c r="F104" s="2901">
        <f>1.0788/F101</f>
        <v>0.36819112627986345</v>
      </c>
      <c r="G104" s="2901">
        <f>1.0788/G101</f>
        <v>0.36819112627986345</v>
      </c>
      <c r="H104" s="2901">
        <f>1.0788/H101</f>
        <v>0.36819112627986345</v>
      </c>
      <c r="I104" s="2901">
        <f>1.0788/I101</f>
        <v>0.36819112627986345</v>
      </c>
      <c r="J104" s="2901">
        <f>1.0072/J101</f>
        <v>0.3437542662116041</v>
      </c>
      <c r="K104" s="2901">
        <f>1.0072/K101</f>
        <v>0.3437542662116041</v>
      </c>
      <c r="L104" s="2901">
        <f>1.0072/L101</f>
        <v>0.3437542662116041</v>
      </c>
      <c r="M104" s="2901">
        <f>1.0072/M101</f>
        <v>0.3437542662116041</v>
      </c>
      <c r="N104" s="2901">
        <f>1.0072/N101</f>
        <v>0.3437542662116041</v>
      </c>
    </row>
    <row r="105" spans="1:14">
      <c r="A105" s="3216"/>
      <c r="B105" s="2900">
        <v>4</v>
      </c>
      <c r="C105" s="2901">
        <f>0.9622/C101</f>
        <v>0.32839590443686006</v>
      </c>
      <c r="D105" s="2901">
        <f>0.9622/D101</f>
        <v>0.32839590443686006</v>
      </c>
      <c r="E105" s="2901">
        <f>0.8656/E101</f>
        <v>0.29542662116040957</v>
      </c>
      <c r="F105" s="2901">
        <f>0.8656/F101</f>
        <v>0.29542662116040957</v>
      </c>
      <c r="G105" s="2901">
        <f>0.8656/G101</f>
        <v>0.29542662116040957</v>
      </c>
      <c r="H105" s="2901">
        <f>0.8656/H101</f>
        <v>0.29542662116040957</v>
      </c>
      <c r="I105" s="2901">
        <f>0.8656/I101</f>
        <v>0.29542662116040957</v>
      </c>
      <c r="J105" s="2901">
        <f>0.7525/J101</f>
        <v>0.25682593856655289</v>
      </c>
      <c r="K105" s="2901">
        <f>0.7525/K101</f>
        <v>0.25682593856655289</v>
      </c>
      <c r="L105" s="2901">
        <f>0.7525/L101</f>
        <v>0.25682593856655289</v>
      </c>
      <c r="M105" s="2901">
        <f>0.7525/M101</f>
        <v>0.25682593856655289</v>
      </c>
      <c r="N105" s="2901">
        <f>0.7525/N101</f>
        <v>0.25682593856655289</v>
      </c>
    </row>
    <row r="106" spans="1:14">
      <c r="A106" s="3216"/>
      <c r="B106" s="2900">
        <v>5</v>
      </c>
      <c r="C106" s="2901">
        <f>0.8417/C101</f>
        <v>0.28726962457337885</v>
      </c>
      <c r="D106" s="2901">
        <f>0.8417/D101</f>
        <v>0.28726962457337885</v>
      </c>
      <c r="E106" s="2901">
        <f>0.7371/E101</f>
        <v>0.25156996587030717</v>
      </c>
      <c r="F106" s="2901">
        <f>0.7371/F101</f>
        <v>0.25156996587030717</v>
      </c>
      <c r="G106" s="2901">
        <f>0.7371/G101</f>
        <v>0.25156996587030717</v>
      </c>
      <c r="H106" s="2901">
        <f>0.7371/H101</f>
        <v>0.25156996587030717</v>
      </c>
      <c r="I106" s="2901">
        <f>0.7371/I101</f>
        <v>0.25156996587030717</v>
      </c>
      <c r="J106" s="2901">
        <f>0.5659/J101</f>
        <v>0.19313993174061431</v>
      </c>
      <c r="K106" s="2901">
        <f>0.5659/K101</f>
        <v>0.19313993174061431</v>
      </c>
      <c r="L106" s="2901">
        <f>0.5659/L101</f>
        <v>0.19313993174061431</v>
      </c>
      <c r="M106" s="2901">
        <f>0.5659/M101</f>
        <v>0.19313993174061431</v>
      </c>
      <c r="N106" s="2901">
        <f>0.5659/N101</f>
        <v>0.19313993174061431</v>
      </c>
    </row>
    <row r="107" spans="1:14">
      <c r="A107" s="3216"/>
      <c r="B107" s="2900">
        <v>6</v>
      </c>
      <c r="C107" s="2901">
        <f>0.7608/C101</f>
        <v>0.25965870307167233</v>
      </c>
      <c r="D107" s="2901">
        <f>0.7608/D101</f>
        <v>0.25965870307167233</v>
      </c>
      <c r="E107" s="2901">
        <f>0.6482/E101</f>
        <v>0.22122866894197951</v>
      </c>
      <c r="F107" s="2901">
        <f>0.6482/F101</f>
        <v>0.22122866894197951</v>
      </c>
      <c r="G107" s="2901">
        <f>0.6482/G101</f>
        <v>0.22122866894197951</v>
      </c>
      <c r="H107" s="2901">
        <f>0.6482/H101</f>
        <v>0.22122866894197951</v>
      </c>
      <c r="I107" s="2901">
        <f>0.6482/I101</f>
        <v>0.22122866894197951</v>
      </c>
      <c r="J107" s="2901">
        <f>0.4525/J101</f>
        <v>0.15443686006825938</v>
      </c>
      <c r="K107" s="2901">
        <f>0.4525/K101</f>
        <v>0.15443686006825938</v>
      </c>
      <c r="L107" s="2901">
        <f>0.4525/L101</f>
        <v>0.15443686006825938</v>
      </c>
      <c r="M107" s="2901">
        <f>0.4525/M101</f>
        <v>0.15443686006825938</v>
      </c>
      <c r="N107" s="2901">
        <f>0.4525/N101</f>
        <v>0.15443686006825938</v>
      </c>
    </row>
    <row r="108" spans="1:14">
      <c r="A108" s="3216"/>
      <c r="B108" s="3171" t="s">
        <v>2981</v>
      </c>
      <c r="C108" s="2902">
        <f>C99</f>
        <v>0</v>
      </c>
      <c r="D108" s="2902">
        <f t="shared" ref="D108:N108" si="33">D99</f>
        <v>0</v>
      </c>
      <c r="E108" s="2902">
        <f t="shared" si="33"/>
        <v>0</v>
      </c>
      <c r="F108" s="2902">
        <f t="shared" si="33"/>
        <v>0</v>
      </c>
      <c r="G108" s="2902">
        <f t="shared" si="33"/>
        <v>0</v>
      </c>
      <c r="H108" s="2902">
        <f t="shared" si="33"/>
        <v>0</v>
      </c>
      <c r="I108" s="2902">
        <f t="shared" si="33"/>
        <v>0</v>
      </c>
      <c r="J108" s="2902">
        <f t="shared" si="33"/>
        <v>0</v>
      </c>
      <c r="K108" s="2902">
        <f t="shared" si="33"/>
        <v>0</v>
      </c>
      <c r="L108" s="2902">
        <f t="shared" si="33"/>
        <v>0</v>
      </c>
      <c r="M108" s="2902">
        <f t="shared" si="33"/>
        <v>0</v>
      </c>
      <c r="N108" s="2902">
        <f t="shared" si="33"/>
        <v>0</v>
      </c>
    </row>
    <row r="109" spans="1:14">
      <c r="A109" s="3217"/>
      <c r="B109" s="3172"/>
      <c r="C109" s="2903">
        <f>(-0.163*(C108^2)-0.59*C108+7617)*(10^(-4))/C101</f>
        <v>0.25996587030716722</v>
      </c>
      <c r="D109" s="2903">
        <f>(-0.163*(D108^2)-0.59*D108+7617)*(10^(-4))/D101</f>
        <v>0.25996587030716722</v>
      </c>
      <c r="E109" s="2903">
        <f>(-0.161*(E108^2)-7.509*E108+6533)*(10^(-4))/E101</f>
        <v>0.22296928327645049</v>
      </c>
      <c r="F109" s="2903">
        <f>(-0.161*(F108^2)-7.509*F108+6533)*(10^(-4))/F101</f>
        <v>0.22296928327645049</v>
      </c>
      <c r="G109" s="2903">
        <f>(-0.161*(G108^2)-7.509*G108+6533)*(10^(-4))/G101</f>
        <v>0.22296928327645049</v>
      </c>
      <c r="H109" s="2903">
        <f>(-0.161*(H108^2)-7.509*H108+6533)*(10^(-4))/H101</f>
        <v>0.22296928327645049</v>
      </c>
      <c r="I109" s="2903">
        <f>(-0.161*(I108^2)-7.509*I108+6533)*(10^(-4))/I101</f>
        <v>0.22296928327645049</v>
      </c>
      <c r="J109" s="2903">
        <f>(-0.214*(J108^2)-21.991*J108+4665)*(10^(-4))/J101</f>
        <v>0.15921501706484642</v>
      </c>
      <c r="K109" s="2903">
        <f>(-0.214*(K108^2)-21.991*K108+4665)*(10^(-4))/K101</f>
        <v>0.15921501706484642</v>
      </c>
      <c r="L109" s="2903">
        <f>(-0.214*(L108^2)-21.991*L108+4665)*(10^(-4))/L101</f>
        <v>0.15921501706484642</v>
      </c>
      <c r="M109" s="2903">
        <f>(-0.214*(M108^2)-21.991*M108+4665)*(10^(-4))/M101</f>
        <v>0.15921501706484642</v>
      </c>
      <c r="N109" s="2903">
        <f>(-0.214*(N108^2)-21.991*N108+4665)*(10^(-4))/N101</f>
        <v>0.15921501706484642</v>
      </c>
    </row>
    <row r="110" spans="1:14">
      <c r="A110" s="3213" t="s">
        <v>2982</v>
      </c>
      <c r="B110" s="3213"/>
      <c r="C110" s="3213"/>
      <c r="D110" s="3213"/>
      <c r="E110" s="3213"/>
      <c r="F110" s="3213"/>
      <c r="G110" s="3213"/>
      <c r="H110" s="3213"/>
      <c r="I110" s="3213"/>
      <c r="J110" s="3213"/>
      <c r="K110" s="2906"/>
      <c r="L110" s="2906"/>
      <c r="M110" s="2906"/>
      <c r="N110" s="2906"/>
    </row>
    <row r="112" spans="1:14" ht="13.5" thickBot="1"/>
    <row r="113" spans="1:13" ht="25.5" thickBot="1">
      <c r="A113" s="903" t="s">
        <v>2983</v>
      </c>
      <c r="B113" s="1290">
        <f>G3</f>
        <v>2.93</v>
      </c>
      <c r="C113" s="904" t="s">
        <v>2984</v>
      </c>
      <c r="D113" s="905">
        <f>SUMPRODUCT((A115:A118=F113)*(B114:M114=H113)*B115:M118)</f>
        <v>0.90600000000000003</v>
      </c>
      <c r="E113" s="2730" t="s">
        <v>2817</v>
      </c>
      <c r="F113" s="2908" t="str">
        <f>E2</f>
        <v>商业</v>
      </c>
      <c r="G113" s="2730" t="s">
        <v>2818</v>
      </c>
      <c r="H113" s="2908" t="str">
        <f>G2</f>
        <v>二级</v>
      </c>
      <c r="I113" s="2730"/>
      <c r="J113" s="2909"/>
      <c r="K113" s="2909"/>
      <c r="L113" s="2909"/>
      <c r="M113" s="2909"/>
    </row>
    <row r="114" spans="1:13">
      <c r="A114" s="908"/>
      <c r="B114" s="2910" t="s">
        <v>2985</v>
      </c>
      <c r="C114" s="2910" t="s">
        <v>2986</v>
      </c>
      <c r="D114" s="2910" t="s">
        <v>2987</v>
      </c>
      <c r="E114" s="2911" t="s">
        <v>2988</v>
      </c>
      <c r="F114" s="2911" t="s">
        <v>2989</v>
      </c>
      <c r="G114" s="2911" t="s">
        <v>2990</v>
      </c>
      <c r="H114" s="2912" t="s">
        <v>2991</v>
      </c>
      <c r="I114" s="2912" t="s">
        <v>2992</v>
      </c>
      <c r="J114" s="2913" t="s">
        <v>2993</v>
      </c>
      <c r="K114" s="2913" t="s">
        <v>2994</v>
      </c>
      <c r="L114" s="2913" t="s">
        <v>2995</v>
      </c>
      <c r="M114" s="2914" t="s">
        <v>2996</v>
      </c>
    </row>
    <row r="115" spans="1:13">
      <c r="A115" s="909" t="s">
        <v>2881</v>
      </c>
      <c r="B115" s="910">
        <f>ROUND(0.9335-0.0094*B113,4)</f>
        <v>0.90600000000000003</v>
      </c>
      <c r="C115" s="910">
        <f>B115</f>
        <v>0.90600000000000003</v>
      </c>
      <c r="D115" s="910">
        <f>ROUND(0.8331-0.0109*B113,4)</f>
        <v>0.80120000000000002</v>
      </c>
      <c r="E115" s="910">
        <f>D115</f>
        <v>0.80120000000000002</v>
      </c>
      <c r="F115" s="910">
        <f>E115</f>
        <v>0.80120000000000002</v>
      </c>
      <c r="G115" s="910">
        <f>F115</f>
        <v>0.80120000000000002</v>
      </c>
      <c r="H115" s="910">
        <f>G115</f>
        <v>0.80120000000000002</v>
      </c>
      <c r="I115" s="910">
        <f>ROUND(0.689-0.0155*B113,4)</f>
        <v>0.64359999999999995</v>
      </c>
      <c r="J115" s="910">
        <f t="shared" ref="J115:M118" si="34">I115</f>
        <v>0.64359999999999995</v>
      </c>
      <c r="K115" s="910">
        <f t="shared" si="34"/>
        <v>0.64359999999999995</v>
      </c>
      <c r="L115" s="910">
        <f t="shared" si="34"/>
        <v>0.64359999999999995</v>
      </c>
      <c r="M115" s="911">
        <f t="shared" si="34"/>
        <v>0.64359999999999995</v>
      </c>
    </row>
    <row r="116" spans="1:13">
      <c r="A116" s="909" t="s">
        <v>2882</v>
      </c>
      <c r="B116" s="910">
        <f>ROUND(0.949-0.012*B113,4)</f>
        <v>0.91379999999999995</v>
      </c>
      <c r="C116" s="910">
        <f>B116</f>
        <v>0.91379999999999995</v>
      </c>
      <c r="D116" s="910">
        <f>ROUND(0.8567-0.013*B113,4)</f>
        <v>0.81859999999999999</v>
      </c>
      <c r="E116" s="910">
        <f t="shared" ref="E116:H117" si="35">D116</f>
        <v>0.81859999999999999</v>
      </c>
      <c r="F116" s="910">
        <f t="shared" si="35"/>
        <v>0.81859999999999999</v>
      </c>
      <c r="G116" s="910">
        <f t="shared" si="35"/>
        <v>0.81859999999999999</v>
      </c>
      <c r="H116" s="910">
        <f t="shared" si="35"/>
        <v>0.81859999999999999</v>
      </c>
      <c r="I116" s="910">
        <f>ROUND(0.7694-0.014*B113,4)</f>
        <v>0.72840000000000005</v>
      </c>
      <c r="J116" s="910">
        <f t="shared" si="34"/>
        <v>0.72840000000000005</v>
      </c>
      <c r="K116" s="910">
        <f t="shared" si="34"/>
        <v>0.72840000000000005</v>
      </c>
      <c r="L116" s="910">
        <f t="shared" si="34"/>
        <v>0.72840000000000005</v>
      </c>
      <c r="M116" s="911">
        <f t="shared" si="34"/>
        <v>0.72840000000000005</v>
      </c>
    </row>
    <row r="117" spans="1:13">
      <c r="A117" s="909" t="s">
        <v>2883</v>
      </c>
      <c r="B117" s="910">
        <f>ROUND(0.8808-0.006*B113,4)</f>
        <v>0.86319999999999997</v>
      </c>
      <c r="C117" s="910">
        <f>B117</f>
        <v>0.86319999999999997</v>
      </c>
      <c r="D117" s="910">
        <f>ROUND(0.8748-0.008*B113,4)</f>
        <v>0.85140000000000005</v>
      </c>
      <c r="E117" s="910">
        <f t="shared" si="35"/>
        <v>0.85140000000000005</v>
      </c>
      <c r="F117" s="910">
        <f t="shared" si="35"/>
        <v>0.85140000000000005</v>
      </c>
      <c r="G117" s="910">
        <f t="shared" si="35"/>
        <v>0.85140000000000005</v>
      </c>
      <c r="H117" s="910">
        <f t="shared" si="35"/>
        <v>0.85140000000000005</v>
      </c>
      <c r="I117" s="910">
        <f>ROUND(0.7412-0.0095*B113,4)</f>
        <v>0.71340000000000003</v>
      </c>
      <c r="J117" s="910">
        <f t="shared" si="34"/>
        <v>0.71340000000000003</v>
      </c>
      <c r="K117" s="910">
        <f t="shared" si="34"/>
        <v>0.71340000000000003</v>
      </c>
      <c r="L117" s="910">
        <f t="shared" si="34"/>
        <v>0.71340000000000003</v>
      </c>
      <c r="M117" s="911">
        <f t="shared" si="34"/>
        <v>0.71340000000000003</v>
      </c>
    </row>
    <row r="118" spans="1:13" ht="13.5" thickBot="1">
      <c r="A118" s="714" t="s">
        <v>2884</v>
      </c>
      <c r="B118" s="912">
        <f>ROUND(0.7275-0.01*B113,4)</f>
        <v>0.69820000000000004</v>
      </c>
      <c r="C118" s="912">
        <f>B118</f>
        <v>0.69820000000000004</v>
      </c>
      <c r="D118" s="912">
        <f>ROUND(0.7043-0.012*B113,4)</f>
        <v>0.66910000000000003</v>
      </c>
      <c r="E118" s="912">
        <f>D118</f>
        <v>0.66910000000000003</v>
      </c>
      <c r="F118" s="912">
        <f>E118</f>
        <v>0.66910000000000003</v>
      </c>
      <c r="G118" s="912">
        <f>ROUND(0.6299-0.0122*B113,4)</f>
        <v>0.59419999999999995</v>
      </c>
      <c r="H118" s="912">
        <f>G118</f>
        <v>0.59419999999999995</v>
      </c>
      <c r="I118" s="912">
        <f>ROUND(0.5667-0.0136*B113,4)</f>
        <v>0.52690000000000003</v>
      </c>
      <c r="J118" s="912">
        <f t="shared" si="34"/>
        <v>0.52690000000000003</v>
      </c>
      <c r="K118" s="912">
        <f t="shared" si="34"/>
        <v>0.52690000000000003</v>
      </c>
      <c r="L118" s="912">
        <f t="shared" si="34"/>
        <v>0.52690000000000003</v>
      </c>
      <c r="M118" s="913">
        <f t="shared" si="34"/>
        <v>0.52690000000000003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14" sqref="E14"/>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2465</v>
      </c>
      <c r="B1" s="1584"/>
      <c r="C1" s="1585"/>
      <c r="D1" s="1583"/>
      <c r="E1" s="320"/>
      <c r="F1" s="320"/>
      <c r="G1" s="1584"/>
      <c r="H1" s="320"/>
      <c r="I1" s="320"/>
      <c r="J1" s="320"/>
      <c r="K1" s="320">
        <f>MATCH(C1,'数据-取费表'!A6:A16,0)+5</f>
        <v>7</v>
      </c>
    </row>
    <row r="2" spans="1:33" ht="18" customHeight="1">
      <c r="A2" s="245" t="s">
        <v>2333</v>
      </c>
      <c r="B2" s="248">
        <f ca="1">C32</f>
        <v>145210</v>
      </c>
      <c r="C2" s="320" t="s">
        <v>2466</v>
      </c>
      <c r="D2" s="320"/>
      <c r="E2" s="320"/>
      <c r="F2" s="320"/>
      <c r="G2" s="320"/>
      <c r="H2" s="320"/>
      <c r="I2" s="320"/>
      <c r="J2" s="320"/>
      <c r="K2" s="320"/>
    </row>
    <row r="3" spans="1:33" ht="18" customHeight="1" thickBot="1">
      <c r="A3" s="247" t="s">
        <v>2335</v>
      </c>
      <c r="B3" s="248">
        <f ca="1">ROUND(B2*10000/IF(C1="",'数据-汇总表'!E3,INDIRECT("'数据-取费表'!K"&amp;$K$1)),0)</f>
        <v>34909</v>
      </c>
      <c r="C3" s="320" t="s">
        <v>2467</v>
      </c>
      <c r="D3" s="320"/>
      <c r="E3" s="320"/>
      <c r="F3" s="320"/>
      <c r="G3" s="320"/>
      <c r="H3" s="320"/>
      <c r="I3" s="320"/>
      <c r="J3" s="320"/>
      <c r="K3" s="320"/>
    </row>
    <row r="4" spans="1:33" s="959" customFormat="1" ht="16.5" customHeight="1">
      <c r="A4" s="956" t="s">
        <v>2468</v>
      </c>
      <c r="B4" s="957"/>
      <c r="C4" s="999">
        <f ca="1">SUM(C8:K8)</f>
        <v>181272</v>
      </c>
      <c r="D4" s="957"/>
      <c r="E4" s="957"/>
      <c r="F4" s="957"/>
      <c r="G4" s="957"/>
      <c r="H4" s="957"/>
      <c r="I4" s="957"/>
      <c r="J4" s="957"/>
      <c r="K4" s="958"/>
    </row>
    <row r="5" spans="1:33" s="963" customFormat="1" ht="15">
      <c r="A5" s="960" t="s">
        <v>2469</v>
      </c>
      <c r="B5" s="961" t="s">
        <v>2470</v>
      </c>
      <c r="C5" s="2560" t="s">
        <v>3239</v>
      </c>
      <c r="D5" s="2560"/>
      <c r="E5" s="2560"/>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2471</v>
      </c>
      <c r="C6" s="965">
        <f ca="1">收益法!B3</f>
        <v>43578</v>
      </c>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2472</v>
      </c>
      <c r="B7" s="140" t="s">
        <v>2473</v>
      </c>
      <c r="C7" s="321">
        <f>SUMIF('数据-汇总表'!$C19:$C33,假设开发法!C5,'数据-汇总表'!$E19:$E33)</f>
        <v>41596.89</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2474</v>
      </c>
      <c r="B8" s="177" t="s">
        <v>2475</v>
      </c>
      <c r="C8" s="1000">
        <f ca="1">收益法!B2</f>
        <v>181272</v>
      </c>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2476</v>
      </c>
      <c r="B9" s="957"/>
      <c r="C9" s="957"/>
      <c r="D9" s="957"/>
      <c r="E9" s="957"/>
      <c r="F9" s="957"/>
      <c r="G9" s="957"/>
      <c r="H9" s="957"/>
      <c r="I9" s="957"/>
      <c r="J9" s="957"/>
      <c r="K9" s="958"/>
    </row>
    <row r="10" spans="1:33" s="973" customFormat="1" ht="13.5" customHeight="1">
      <c r="A10" s="960" t="s">
        <v>2477</v>
      </c>
      <c r="B10" s="8" t="s">
        <v>2478</v>
      </c>
      <c r="C10" s="969" t="s">
        <v>2479</v>
      </c>
      <c r="D10" s="970" t="s">
        <v>2480</v>
      </c>
      <c r="E10" s="970" t="s">
        <v>2481</v>
      </c>
      <c r="F10" s="970" t="s">
        <v>2482</v>
      </c>
      <c r="G10" s="8"/>
      <c r="H10" s="971"/>
      <c r="I10" s="971"/>
      <c r="J10" s="971"/>
      <c r="K10" s="972"/>
    </row>
    <row r="11" spans="1:33" s="978" customFormat="1" ht="13.5" customHeight="1">
      <c r="A11" s="974" t="s">
        <v>1334</v>
      </c>
      <c r="B11" s="975" t="s">
        <v>2483</v>
      </c>
      <c r="C11" s="323">
        <f ca="1">IF(C1="",'数据-取费表'!P16,INDIRECT("'数据-取费表'!p"&amp;$K$1)+INDIRECT("'数据-取费表'!ar"&amp;$K$1))</f>
        <v>6656</v>
      </c>
      <c r="D11" s="976"/>
      <c r="E11" s="375"/>
      <c r="F11" s="977">
        <f ca="1">1-IF('数据-取费表'!B24=0,1,IF(C1="",'数据-取费表'!N16,INDIRECT("'数据-取费表'!n"&amp;$K$1)))</f>
        <v>0.4</v>
      </c>
      <c r="G11" s="8"/>
      <c r="H11" s="971"/>
      <c r="I11" s="971"/>
      <c r="J11" s="971"/>
      <c r="K11" s="972"/>
    </row>
    <row r="12" spans="1:33" s="978" customFormat="1" ht="13.5" customHeight="1">
      <c r="A12" s="974" t="s">
        <v>1335</v>
      </c>
      <c r="B12" s="975" t="s">
        <v>2484</v>
      </c>
      <c r="C12" s="24">
        <f ca="1">ROUND(C11*F12,0)</f>
        <v>200</v>
      </c>
      <c r="D12" s="976"/>
      <c r="E12" s="375"/>
      <c r="F12" s="979">
        <f>'数据-取费表'!B33</f>
        <v>0.03</v>
      </c>
      <c r="G12" s="8" t="s">
        <v>2485</v>
      </c>
      <c r="H12" s="971"/>
      <c r="I12" s="971"/>
      <c r="J12" s="971"/>
      <c r="K12" s="972"/>
    </row>
    <row r="13" spans="1:33" s="978" customFormat="1" ht="13.5" customHeight="1">
      <c r="A13" s="974" t="s">
        <v>1336</v>
      </c>
      <c r="B13" s="975" t="s">
        <v>2486</v>
      </c>
      <c r="C13" s="24">
        <f ca="1">ROUND(IF(C1="",SUMIF('数据-取费表'!C:C,"住宅",'数据-取费表'!P:P)*F13,IF(INDIRECT("'数据-取费表'!c"&amp;$K$1)="住宅",INDIRECT("'数据-取费表'!P"&amp;$K$1)*F13,0)),0)</f>
        <v>0</v>
      </c>
      <c r="D13" s="1036"/>
      <c r="E13" s="375"/>
      <c r="F13" s="979">
        <f>'数据-取费表'!B34</f>
        <v>0</v>
      </c>
      <c r="G13" s="8" t="s">
        <v>2487</v>
      </c>
      <c r="H13" s="971"/>
      <c r="I13" s="971"/>
      <c r="J13" s="971"/>
      <c r="K13" s="972"/>
    </row>
    <row r="14" spans="1:33" s="980" customFormat="1" ht="13.5" customHeight="1">
      <c r="A14" s="974" t="s">
        <v>1337</v>
      </c>
      <c r="B14" s="975" t="s">
        <v>2488</v>
      </c>
      <c r="C14" s="2957">
        <v>0</v>
      </c>
      <c r="D14" s="2958">
        <f ca="1">IF(C1="",'数据-汇总表'!E3,INDIRECT("'数据-取费表'!K"&amp;$K$1)+INDIRECT("'数据-取费表'!S"&amp;$K$1))</f>
        <v>41596.89</v>
      </c>
      <c r="E14" s="2957">
        <f>'数据-取费表'!B35</f>
        <v>200</v>
      </c>
      <c r="F14" s="979"/>
      <c r="G14" s="8" t="s">
        <v>2489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2490</v>
      </c>
      <c r="C15" s="986">
        <f ca="1">ROUND(C11*F15,0)</f>
        <v>100</v>
      </c>
      <c r="D15" s="981"/>
      <c r="E15" s="986"/>
      <c r="F15" s="987">
        <f>'数据-取费表'!B36</f>
        <v>1.4999999999999999E-2</v>
      </c>
      <c r="G15" s="140" t="s">
        <v>2491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2492</v>
      </c>
      <c r="C16" s="986">
        <f ca="1">SUM(C11:C15)</f>
        <v>6956</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2493</v>
      </c>
      <c r="C17" s="24">
        <f ca="1">ROUND(D17*E17/10000,0)</f>
        <v>0</v>
      </c>
      <c r="D17" s="1036">
        <f ca="1">D14</f>
        <v>41596.89</v>
      </c>
      <c r="E17" s="24">
        <f>'数据-取费表'!B32</f>
        <v>0</v>
      </c>
      <c r="F17" s="981"/>
      <c r="G17" s="140" t="s">
        <v>2494</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2495</v>
      </c>
      <c r="C18" s="24">
        <f ca="1">C19+C20-IF(C1="",'数据-取费表'!B29,IF(G18="已全部缴纳",C19+C20,H18))</f>
        <v>0</v>
      </c>
      <c r="D18" s="1036"/>
      <c r="E18" s="24"/>
      <c r="F18" s="979"/>
      <c r="G18" s="2562" t="s">
        <v>3287</v>
      </c>
      <c r="H18" s="1580"/>
      <c r="I18" s="2563" t="s">
        <v>2496</v>
      </c>
      <c r="J18" s="982"/>
      <c r="K18" s="983"/>
    </row>
    <row r="19" spans="1:33" s="978" customFormat="1" ht="13.5" customHeight="1">
      <c r="A19" s="974" t="s">
        <v>805</v>
      </c>
      <c r="B19" s="975" t="s">
        <v>2497</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2498</v>
      </c>
      <c r="C20" s="24">
        <f ca="1">ROUND(D20*E20/10000,0)</f>
        <v>832</v>
      </c>
      <c r="D20" s="1036">
        <f ca="1">IF(C1="",'数据-汇总表'!E6,IF(INDIRECT("'数据-取费表'!c"&amp;$K$1)="住宅",INDIRECT("'数据-取费表'!s"&amp;$K$1),INDIRECT("'数据-取费表'!k"&amp;$K$1)+INDIRECT("'数据-取费表'!s"&amp;$K$1)))</f>
        <v>41596.89</v>
      </c>
      <c r="E20" s="24">
        <f>'数据-取费表'!B28</f>
        <v>200</v>
      </c>
      <c r="F20" s="979"/>
      <c r="G20" s="15"/>
      <c r="H20" s="984"/>
      <c r="I20" s="984"/>
      <c r="J20" s="984"/>
      <c r="K20" s="985"/>
    </row>
    <row r="21" spans="1:33" s="978" customFormat="1" ht="13.5" customHeight="1">
      <c r="A21" s="964" t="s">
        <v>802</v>
      </c>
      <c r="B21" s="988" t="s">
        <v>2499</v>
      </c>
      <c r="C21" s="989">
        <f ca="1">C16+C17+C18</f>
        <v>6956</v>
      </c>
      <c r="D21" s="990"/>
      <c r="E21" s="325"/>
      <c r="F21" s="325"/>
      <c r="G21" s="140" t="s">
        <v>2500</v>
      </c>
      <c r="H21" s="982"/>
      <c r="I21" s="982"/>
      <c r="J21" s="982"/>
      <c r="K21" s="983"/>
    </row>
    <row r="22" spans="1:33" s="978" customFormat="1" ht="13.5" customHeight="1">
      <c r="A22" s="964" t="s">
        <v>2472</v>
      </c>
      <c r="B22" s="988" t="s">
        <v>2501</v>
      </c>
      <c r="C22" s="989">
        <f ca="1">ROUND(C21*F22,0)</f>
        <v>104</v>
      </c>
      <c r="D22" s="325"/>
      <c r="E22" s="325"/>
      <c r="F22" s="991">
        <f>'数据-取费表'!B37</f>
        <v>1.4999999999999999E-2</v>
      </c>
      <c r="G22" s="8" t="s">
        <v>2502</v>
      </c>
      <c r="H22" s="971"/>
      <c r="I22" s="971"/>
      <c r="J22" s="971"/>
      <c r="K22" s="972"/>
    </row>
    <row r="23" spans="1:33" s="978" customFormat="1" ht="13.5" customHeight="1">
      <c r="A23" s="964" t="s">
        <v>2474</v>
      </c>
      <c r="B23" s="988" t="s">
        <v>2503</v>
      </c>
      <c r="C23" s="989">
        <f ca="1">ROUND(C4*F23*F11,0)</f>
        <v>2175</v>
      </c>
      <c r="D23" s="325"/>
      <c r="E23" s="325"/>
      <c r="F23" s="991">
        <f>'数据-取费表'!B38</f>
        <v>0.03</v>
      </c>
      <c r="G23" s="8" t="s">
        <v>2504</v>
      </c>
      <c r="H23" s="971"/>
      <c r="I23" s="971"/>
      <c r="J23" s="971"/>
      <c r="K23" s="972"/>
    </row>
    <row r="24" spans="1:33" s="978" customFormat="1" ht="13.5" customHeight="1">
      <c r="A24" s="964" t="s">
        <v>2505</v>
      </c>
      <c r="B24" s="988" t="s">
        <v>2506</v>
      </c>
      <c r="C24" s="324">
        <f>ROUND(F24/(1+'数据-取费表'!C42),4)</f>
        <v>2.9000000000000001E-2</v>
      </c>
      <c r="D24" s="325" t="s">
        <v>15</v>
      </c>
      <c r="E24" s="325"/>
      <c r="F24" s="991">
        <f>'数据-取费表'!B48+'数据-取费表'!B49</f>
        <v>3.0499999999999999E-2</v>
      </c>
      <c r="G24" s="8" t="s">
        <v>2507</v>
      </c>
      <c r="H24" s="993"/>
      <c r="I24" s="993"/>
      <c r="J24" s="993"/>
      <c r="K24" s="994"/>
    </row>
    <row r="25" spans="1:33" s="978" customFormat="1" ht="13.5" customHeight="1">
      <c r="A25" s="964" t="s">
        <v>2508</v>
      </c>
      <c r="B25" s="990" t="s">
        <v>2509</v>
      </c>
      <c r="C25" s="1359">
        <f ca="1">C27</f>
        <v>108</v>
      </c>
      <c r="D25" s="324">
        <f ca="1">C26</f>
        <v>2.4199999999999999E-2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2510</v>
      </c>
      <c r="C26" s="1360">
        <f ca="1">ROUND(IF('数据-取费表'!B22&lt;=1,(1+C24)*F25*'数据-取费表'!B24,(1+C24)*(POWER((1+F25),'数据-取费表'!B24)-1)),4)</f>
        <v>2.4199999999999999E-2</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2511</v>
      </c>
      <c r="C27" s="1361">
        <f ca="1">ROUND(IF('数据-取费表'!B22&lt;=1,(C21+C22+C23)*F25*'数据-取费表'!B24/2,(C21+C22+C23)*(POWER((1+F25),'数据-取费表'!B24/2)-1)),0)</f>
        <v>108</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2512</v>
      </c>
      <c r="B28" s="2565" t="s">
        <v>2513</v>
      </c>
      <c r="C28" s="331">
        <f ca="1">C30</f>
        <v>1847</v>
      </c>
      <c r="D28" s="324">
        <f ca="1">C29</f>
        <v>5.1499999999999997E-2</v>
      </c>
      <c r="E28" s="326" t="s">
        <v>15</v>
      </c>
      <c r="F28" s="332">
        <f ca="1">IF(C1="",'数据-取费表'!Q16,INDIRECT("'数据-取费表'!q"&amp;$K$1))</f>
        <v>0.2</v>
      </c>
      <c r="G28" s="992"/>
      <c r="H28" s="993"/>
      <c r="I28" s="993"/>
      <c r="J28" s="993"/>
      <c r="K28" s="994"/>
    </row>
    <row r="29" spans="1:33" s="335" customFormat="1" ht="13.5" customHeight="1">
      <c r="A29" s="974" t="s">
        <v>803</v>
      </c>
      <c r="B29" s="997" t="s">
        <v>2514</v>
      </c>
      <c r="C29" s="328">
        <f ca="1">ROUND((1+C24)*F28*'数据-取费表'!B24/'数据-取费表'!B20,4)</f>
        <v>5.1499999999999997E-2</v>
      </c>
      <c r="D29" s="328"/>
      <c r="E29" s="329"/>
      <c r="F29" s="334"/>
      <c r="G29" s="140" t="s">
        <v>2515</v>
      </c>
      <c r="H29" s="982"/>
      <c r="I29" s="982"/>
      <c r="J29" s="982"/>
      <c r="K29" s="983"/>
    </row>
    <row r="30" spans="1:33" s="335" customFormat="1" ht="13.5" customHeight="1">
      <c r="A30" s="974" t="s">
        <v>804</v>
      </c>
      <c r="B30" s="997" t="s">
        <v>2516</v>
      </c>
      <c r="C30" s="336">
        <f ca="1">ROUND((C21+C22+C23)*F28,0)</f>
        <v>1847</v>
      </c>
      <c r="D30" s="328"/>
      <c r="E30" s="329"/>
      <c r="F30" s="334"/>
      <c r="G30" s="140"/>
      <c r="H30" s="982"/>
      <c r="I30" s="982"/>
      <c r="J30" s="982"/>
      <c r="K30" s="983"/>
    </row>
    <row r="31" spans="1:33" s="978" customFormat="1" ht="13.5" customHeight="1" thickBot="1">
      <c r="A31" s="2566" t="s">
        <v>2517</v>
      </c>
      <c r="B31" s="1008" t="s">
        <v>2518</v>
      </c>
      <c r="C31" s="1009">
        <f ca="1">ROUND(C4*F31/(1+'数据-取费表'!C42),0)</f>
        <v>9668</v>
      </c>
      <c r="D31" s="1010"/>
      <c r="E31" s="1011"/>
      <c r="F31" s="1012">
        <f>'数据-取费表'!B41</f>
        <v>5.6000000000000001E-2</v>
      </c>
      <c r="G31" s="1013" t="s">
        <v>2519</v>
      </c>
      <c r="H31" s="1014"/>
      <c r="I31" s="1014"/>
      <c r="J31" s="1014"/>
      <c r="K31" s="1015"/>
    </row>
    <row r="32" spans="1:33" s="973" customFormat="1" ht="13.5" customHeight="1" thickBot="1">
      <c r="A32" s="1003" t="s">
        <v>2520</v>
      </c>
      <c r="B32" s="1004"/>
      <c r="C32" s="1005">
        <f ca="1">ROUND((C4-C21-C22-C23-C25-C28-C31)/(1+C24+D25+D28),0)</f>
        <v>145210</v>
      </c>
      <c r="D32" s="1004"/>
      <c r="E32" s="1004"/>
      <c r="F32" s="1004"/>
      <c r="G32" s="1006" t="s">
        <v>2521</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35" sqref="D3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t="s">
        <v>3239</v>
      </c>
      <c r="D1" s="1822" t="s">
        <v>3263</v>
      </c>
      <c r="E1" s="1823" t="s">
        <v>1387</v>
      </c>
      <c r="F1" s="1286">
        <f ca="1">J53</f>
        <v>38.35</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1516</v>
      </c>
      <c r="B2" s="1846">
        <f ca="1">C40+J29+L46</f>
        <v>181272</v>
      </c>
      <c r="C2" s="1847" t="s">
        <v>1517</v>
      </c>
      <c r="D2" s="1847"/>
      <c r="E2" s="1848"/>
      <c r="F2" s="1849"/>
      <c r="G2" s="1850"/>
      <c r="H2" s="1842"/>
      <c r="I2" s="1842"/>
      <c r="J2" s="1842"/>
      <c r="K2" s="1843"/>
      <c r="L2" s="1842"/>
      <c r="M2" s="1842"/>
    </row>
    <row r="3" spans="1:37" ht="18" customHeight="1" thickBot="1">
      <c r="A3" s="1851" t="s">
        <v>1518</v>
      </c>
      <c r="B3" s="1852">
        <f ca="1">IF(ISERROR(B2*10000/F43),0,ROUND(B2*10000/F43,0))</f>
        <v>43578</v>
      </c>
      <c r="C3" s="1847" t="s">
        <v>1519</v>
      </c>
      <c r="D3" s="1847"/>
      <c r="E3" s="1848"/>
      <c r="F3" s="1849"/>
      <c r="G3" s="1850"/>
      <c r="H3" s="744" t="s">
        <v>1589</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10494</v>
      </c>
      <c r="D5" s="1824" t="s">
        <v>1402</v>
      </c>
      <c r="E5" s="1296"/>
      <c r="F5" s="1297"/>
      <c r="G5" s="1853"/>
      <c r="H5" s="344">
        <v>1</v>
      </c>
      <c r="I5" s="345" t="s">
        <v>1401</v>
      </c>
      <c r="J5" s="1295">
        <f ca="1">J6+J10+J12</f>
        <v>0</v>
      </c>
      <c r="K5" s="1824" t="s">
        <v>1402</v>
      </c>
      <c r="L5" s="1296"/>
      <c r="M5" s="1297"/>
    </row>
    <row r="6" spans="1:37" ht="18" customHeight="1">
      <c r="A6" s="1294" t="s">
        <v>1035</v>
      </c>
      <c r="B6" s="3223" t="s">
        <v>1403</v>
      </c>
      <c r="C6" s="1299">
        <f ca="1">ROUND(F6*F8*F7*(1-F9)/10000,0)</f>
        <v>10494</v>
      </c>
      <c r="D6" s="164" t="s">
        <v>3036</v>
      </c>
      <c r="E6" s="347" t="s">
        <v>1405</v>
      </c>
      <c r="F6" s="348">
        <f ca="1">INDIRECT("'数据-取费表'!u"&amp;$G$1)</f>
        <v>7.68</v>
      </c>
      <c r="G6" s="1853"/>
      <c r="H6" s="1294" t="s">
        <v>1035</v>
      </c>
      <c r="I6" s="3223" t="s">
        <v>1403</v>
      </c>
      <c r="J6" s="346">
        <f ca="1">ROUND(M6*M8*M7*(1-M9)/10000,0)</f>
        <v>0</v>
      </c>
      <c r="K6" s="164" t="s">
        <v>3035</v>
      </c>
      <c r="L6" s="347" t="s">
        <v>1405</v>
      </c>
      <c r="M6" s="348">
        <f ca="1">INDIRECT("'数据-取费表'!z"&amp;$G$1)</f>
        <v>0</v>
      </c>
    </row>
    <row r="7" spans="1:37" ht="18" customHeight="1">
      <c r="A7" s="1298"/>
      <c r="B7" s="3224"/>
      <c r="C7" s="1300"/>
      <c r="D7" s="352"/>
      <c r="E7" s="1301" t="s">
        <v>1406</v>
      </c>
      <c r="F7" s="348">
        <f ca="1">IF(INDIRECT("'数据-取费表'!ah"&amp;$G$1)="",INDIRECT("'数据-取费表'!k"&amp;$G$1),INDIRECT("'数据-取费表'!ah"&amp;$G$1))</f>
        <v>41596.89</v>
      </c>
      <c r="G7" s="1853"/>
      <c r="H7" s="349"/>
      <c r="I7" s="3224"/>
      <c r="J7" s="351"/>
      <c r="K7" s="352"/>
      <c r="L7" s="347" t="s">
        <v>1406</v>
      </c>
      <c r="M7" s="348">
        <f ca="1">F7</f>
        <v>41596.89</v>
      </c>
    </row>
    <row r="8" spans="1:37" ht="18" customHeight="1">
      <c r="A8" s="349"/>
      <c r="B8" s="3224"/>
      <c r="C8" s="351"/>
      <c r="D8" s="352"/>
      <c r="E8" s="347" t="s">
        <v>1407</v>
      </c>
      <c r="F8" s="348">
        <f ca="1">INDIRECT("'数据-取费表'!ai"&amp;$G$1)</f>
        <v>365</v>
      </c>
      <c r="G8" s="1853"/>
      <c r="H8" s="349"/>
      <c r="I8" s="3224"/>
      <c r="J8" s="351"/>
      <c r="K8" s="352"/>
      <c r="L8" s="347" t="s">
        <v>1407</v>
      </c>
      <c r="M8" s="348">
        <f ca="1">INDIRECT("'数据-取费表'!ai"&amp;$G$1)</f>
        <v>365</v>
      </c>
    </row>
    <row r="9" spans="1:37" ht="18" customHeight="1">
      <c r="A9" s="349"/>
      <c r="B9" s="3225"/>
      <c r="C9" s="351"/>
      <c r="D9" s="352"/>
      <c r="E9" s="347" t="s">
        <v>1408</v>
      </c>
      <c r="F9" s="357">
        <f ca="1">INDIRECT("'数据-取费表'!w"&amp;$G$1)</f>
        <v>0.1</v>
      </c>
      <c r="G9" s="1853"/>
      <c r="H9" s="349"/>
      <c r="I9" s="3225"/>
      <c r="J9" s="351"/>
      <c r="K9" s="352"/>
      <c r="L9" s="358" t="s">
        <v>1408</v>
      </c>
      <c r="M9" s="359">
        <f ca="1">INDIRECT("'数据-取费表'!ab"&amp;$G$1)</f>
        <v>0</v>
      </c>
    </row>
    <row r="10" spans="1:37" ht="18" customHeight="1">
      <c r="A10" s="1294" t="s">
        <v>1039</v>
      </c>
      <c r="B10" s="1825" t="s">
        <v>1409</v>
      </c>
      <c r="C10" s="361">
        <f ca="1">ROUND(IF(F10="押一",F6*F8*F7/12*F11,IF(F10="押二",F6*F8*F7/12*2*F11,IF(F10="押三",F6*F8*F7/12*3*F11,C11*F11)))/10000,0)</f>
        <v>0</v>
      </c>
      <c r="D10" s="1826" t="s">
        <v>3037</v>
      </c>
      <c r="E10" s="358" t="s">
        <v>1411</v>
      </c>
      <c r="F10" s="1369" t="s">
        <v>3264</v>
      </c>
      <c r="G10" s="1853"/>
      <c r="H10" s="1294" t="s">
        <v>1039</v>
      </c>
      <c r="I10" s="1825" t="s">
        <v>1409</v>
      </c>
      <c r="J10" s="346">
        <f ca="1">ROUND(IF(M10="押一",M6*M8*M7/12*M11,IF(M10="押二",M6*M8*M7/12*2*M11,IF(M10="押三",M6*M8*M7/12*3*M11,J11*M11)))/10000,0)</f>
        <v>0</v>
      </c>
      <c r="K10" s="1826" t="s">
        <v>3038</v>
      </c>
      <c r="L10" s="358" t="s">
        <v>1411</v>
      </c>
      <c r="M10" s="1369" t="s">
        <v>1412</v>
      </c>
    </row>
    <row r="11" spans="1:37" ht="18" customHeight="1">
      <c r="A11" s="353"/>
      <c r="B11" s="1827" t="s">
        <v>1388</v>
      </c>
      <c r="C11" s="1181"/>
      <c r="D11" s="1828"/>
      <c r="E11" s="358" t="s">
        <v>1413</v>
      </c>
      <c r="F11" s="359">
        <f ca="1">'数据-取费表'!B39</f>
        <v>1.4999999999999999E-2</v>
      </c>
      <c r="G11" s="1853"/>
      <c r="H11" s="1302"/>
      <c r="I11" s="1827" t="s">
        <v>1388</v>
      </c>
      <c r="J11" s="1181"/>
      <c r="K11" s="748"/>
      <c r="L11" s="358" t="s">
        <v>1413</v>
      </c>
      <c r="M11" s="1059">
        <f ca="1">'数据-取费表'!B39</f>
        <v>1.4999999999999999E-2</v>
      </c>
    </row>
    <row r="12" spans="1:37" ht="18" customHeight="1" thickBot="1">
      <c r="A12" s="1336" t="s">
        <v>1075</v>
      </c>
      <c r="B12" s="1829" t="s">
        <v>1414</v>
      </c>
      <c r="C12" s="1337"/>
      <c r="D12" s="1338"/>
      <c r="E12" s="1343"/>
      <c r="F12" s="1339"/>
      <c r="G12" s="1853"/>
      <c r="H12" s="1336" t="s">
        <v>1075</v>
      </c>
      <c r="I12" s="1829" t="s">
        <v>1414</v>
      </c>
      <c r="J12" s="1337"/>
      <c r="K12" s="1351"/>
      <c r="L12" s="1343"/>
      <c r="M12" s="1352"/>
    </row>
    <row r="13" spans="1:37" ht="18" customHeight="1" thickTop="1">
      <c r="A13" s="1332">
        <v>2</v>
      </c>
      <c r="B13" s="1333" t="s">
        <v>1415</v>
      </c>
      <c r="C13" s="355">
        <f ca="1">ROUND(C29*F13,0)</f>
        <v>25371</v>
      </c>
      <c r="D13" s="1334" t="s">
        <v>1416</v>
      </c>
      <c r="E13" s="1334" t="s">
        <v>1417</v>
      </c>
      <c r="F13" s="1335">
        <f ca="1">INDIRECT("'数据-取费表'!y"&amp;$G$1)</f>
        <v>1</v>
      </c>
      <c r="G13" s="1853"/>
      <c r="H13" s="1332">
        <v>2</v>
      </c>
      <c r="I13" s="1333" t="s">
        <v>1415</v>
      </c>
      <c r="J13" s="1293">
        <f ca="1">ROUND(J14*J15,0)</f>
        <v>0</v>
      </c>
      <c r="K13" s="1340" t="s">
        <v>1416</v>
      </c>
      <c r="L13" s="1854"/>
      <c r="M13" s="1855"/>
    </row>
    <row r="14" spans="1:37" ht="18" customHeight="1">
      <c r="A14" s="1204" t="s">
        <v>1034</v>
      </c>
      <c r="B14" s="347" t="s">
        <v>1418</v>
      </c>
      <c r="C14" s="363">
        <f ca="1">INDIRECT("'数据-取费表'!m"&amp;$G$1)+INDIRECT("'数据-取费表'!t"&amp;$G$1)</f>
        <v>16639</v>
      </c>
      <c r="D14" s="1802" t="s">
        <v>1419</v>
      </c>
      <c r="E14" s="1796"/>
      <c r="F14" s="364"/>
      <c r="G14" s="1853"/>
      <c r="H14" s="1204" t="s">
        <v>1035</v>
      </c>
      <c r="I14" s="347" t="s">
        <v>1420</v>
      </c>
      <c r="J14" s="24">
        <f ca="1">C29</f>
        <v>25371</v>
      </c>
      <c r="K14" s="15"/>
      <c r="L14" s="982"/>
      <c r="M14" s="983"/>
    </row>
    <row r="15" spans="1:37" s="1860" customFormat="1" ht="18" customHeight="1" thickBot="1">
      <c r="A15" s="1204" t="s">
        <v>1036</v>
      </c>
      <c r="B15" s="347" t="s">
        <v>1421</v>
      </c>
      <c r="C15" s="24">
        <f ca="1">ROUND(C14*F15,0)</f>
        <v>499</v>
      </c>
      <c r="D15" s="365" t="s">
        <v>1422</v>
      </c>
      <c r="E15" s="365" t="s">
        <v>1423</v>
      </c>
      <c r="F15" s="366">
        <f>'数据-取费表'!B33</f>
        <v>0.03</v>
      </c>
      <c r="G15" s="1856"/>
      <c r="H15" s="1342" t="s">
        <v>1039</v>
      </c>
      <c r="I15" s="1343" t="s">
        <v>1417</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1424</v>
      </c>
      <c r="C16" s="24">
        <f ca="1">ROUND(INDIRECT("'数据-取费表'!m"&amp;$G$1)*F16,0)</f>
        <v>0</v>
      </c>
      <c r="D16" s="347" t="s">
        <v>1422</v>
      </c>
      <c r="E16" s="347" t="s">
        <v>1423</v>
      </c>
      <c r="F16" s="367">
        <f ca="1">IF(INDIRECT("'数据-取费表'!c"&amp;$G$1)="住宅",'数据-取费表'!B34,0)</f>
        <v>0</v>
      </c>
      <c r="G16" s="1853"/>
      <c r="H16" s="1332" t="s">
        <v>1030</v>
      </c>
      <c r="I16" s="1333" t="s">
        <v>1425</v>
      </c>
      <c r="J16" s="355">
        <f ca="1">ROUND(J17+J22+J23+J24,0)</f>
        <v>619</v>
      </c>
      <c r="K16" s="1340" t="s">
        <v>1426</v>
      </c>
      <c r="L16" s="1341"/>
      <c r="M16" s="1297"/>
    </row>
    <row r="17" spans="1:37" s="1860" customFormat="1" ht="18" customHeight="1">
      <c r="A17" s="1204" t="s">
        <v>1390</v>
      </c>
      <c r="B17" s="347" t="s">
        <v>1427</v>
      </c>
      <c r="C17" s="24">
        <f ca="1">ROUND(F17*(F43+INDIRECT("'数据-取费表'!S"&amp;$G$1))/10000,0)</f>
        <v>832</v>
      </c>
      <c r="D17" s="347" t="s">
        <v>1428</v>
      </c>
      <c r="E17" s="347" t="s">
        <v>1429</v>
      </c>
      <c r="F17" s="26">
        <f>'数据-取费表'!B35</f>
        <v>200</v>
      </c>
      <c r="G17" s="1856"/>
      <c r="H17" s="1204" t="s">
        <v>1035</v>
      </c>
      <c r="I17" s="347" t="s">
        <v>1430</v>
      </c>
      <c r="J17" s="24">
        <f ca="1">ROUND(IF(项目基本情况!B11="自然人",J5*M17,J18+J19+J20),1)</f>
        <v>238.5</v>
      </c>
      <c r="K17" s="1802" t="s">
        <v>1431</v>
      </c>
      <c r="L17" s="1800"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1433</v>
      </c>
      <c r="C18" s="24">
        <f ca="1">ROUND(C14*F18,0)</f>
        <v>250</v>
      </c>
      <c r="D18" s="347" t="s">
        <v>1422</v>
      </c>
      <c r="E18" s="347" t="s">
        <v>1423</v>
      </c>
      <c r="F18" s="367">
        <f>'数据-取费表'!B36</f>
        <v>1.4999999999999999E-2</v>
      </c>
      <c r="G18" s="1856"/>
      <c r="H18" s="1204" t="s">
        <v>1034</v>
      </c>
      <c r="I18" s="347" t="s">
        <v>1434</v>
      </c>
      <c r="J18" s="24">
        <f ca="1">ROUND(J5*M18/(1+'数据-取费表'!C42),2)</f>
        <v>0</v>
      </c>
      <c r="K18" s="1800" t="s">
        <v>1435</v>
      </c>
      <c r="L18" s="347" t="s">
        <v>1423</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1436</v>
      </c>
      <c r="C19" s="24">
        <f ca="1">SUM(C14:C18)</f>
        <v>18220</v>
      </c>
      <c r="D19" s="140" t="s">
        <v>1437</v>
      </c>
      <c r="E19" s="1820"/>
      <c r="F19" s="26"/>
      <c r="G19" s="1853"/>
      <c r="H19" s="1204" t="s">
        <v>1036</v>
      </c>
      <c r="I19" s="347" t="s">
        <v>1438</v>
      </c>
      <c r="J19" s="24">
        <f ca="1">IF(K19="按租金收入计税",ROUND(J5*M19,2),ROUND(C29*M19*0.7,2))</f>
        <v>213.12</v>
      </c>
      <c r="K19" s="1830" t="s">
        <v>1439</v>
      </c>
      <c r="L19" s="347" t="s">
        <v>1423</v>
      </c>
      <c r="M19" s="367">
        <f>IF(K19="按租金收入计税",'数据-取费表'!B51,'数据-取费表'!B50)</f>
        <v>1.2E-2</v>
      </c>
    </row>
    <row r="20" spans="1:37" s="1860" customFormat="1" ht="18" customHeight="1">
      <c r="A20" s="1204" t="s">
        <v>1039</v>
      </c>
      <c r="B20" s="347" t="s">
        <v>1440</v>
      </c>
      <c r="C20" s="24">
        <f ca="1">ROUND(C19*F20,0)</f>
        <v>273</v>
      </c>
      <c r="D20" s="369" t="s">
        <v>1441</v>
      </c>
      <c r="E20" s="347" t="s">
        <v>1423</v>
      </c>
      <c r="F20" s="367">
        <f>'数据-取费表'!B37</f>
        <v>1.4999999999999999E-2</v>
      </c>
      <c r="G20" s="1856"/>
      <c r="H20" s="1204" t="s">
        <v>1389</v>
      </c>
      <c r="I20" s="164" t="s">
        <v>1442</v>
      </c>
      <c r="J20" s="25">
        <f ca="1">ROUND(M20*M21/10000,2)</f>
        <v>25.36</v>
      </c>
      <c r="K20" s="370" t="s">
        <v>1443</v>
      </c>
      <c r="L20" s="347" t="s">
        <v>1444</v>
      </c>
      <c r="M20" s="371">
        <f>'数据-取费表'!B52</f>
        <v>30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1445</v>
      </c>
      <c r="C21" s="24" t="s">
        <v>18</v>
      </c>
      <c r="D21" s="369" t="s">
        <v>1446</v>
      </c>
      <c r="E21" s="347" t="s">
        <v>1447</v>
      </c>
      <c r="F21" s="367">
        <f>'数据-取费表'!B38</f>
        <v>0.03</v>
      </c>
      <c r="G21" s="1856"/>
      <c r="H21" s="372"/>
      <c r="I21" s="356"/>
      <c r="J21" s="29"/>
      <c r="K21" s="373"/>
      <c r="L21" s="347" t="s">
        <v>1448</v>
      </c>
      <c r="M21" s="348">
        <f ca="1">INDIRECT("'数据-取费表'!r"&amp;$G$1)</f>
        <v>8452.18</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0"/>
      <c r="F22" s="26"/>
      <c r="G22" s="1853"/>
      <c r="H22" s="1204" t="s">
        <v>1039</v>
      </c>
      <c r="I22" s="347" t="s">
        <v>1450</v>
      </c>
      <c r="J22" s="24">
        <f ca="1">ROUND(J14*M22,1)</f>
        <v>380.6</v>
      </c>
      <c r="K22" s="1800" t="s">
        <v>1451</v>
      </c>
      <c r="L22" s="347" t="s">
        <v>1423</v>
      </c>
      <c r="M22" s="374">
        <f ca="1">INDIRECT("'数据-取费表'!Ak"&amp;$G$1)</f>
        <v>1.4999999999999999E-2</v>
      </c>
    </row>
    <row r="23" spans="1:37" s="1860" customFormat="1" ht="18" customHeight="1">
      <c r="A23" s="1204" t="s">
        <v>1034</v>
      </c>
      <c r="B23" s="347" t="s">
        <v>1452</v>
      </c>
      <c r="C23" s="24">
        <f ca="1">IF('数据-取费表'!B22&lt;=1,ROUND(C19*F24*F23/2,0)+ROUND(C20*F24*F23/2,0),ROUND(C19*(POWER((1+F24),F23/2)-1),0)+ROUND(C20*(POWER((1+F24),F23/2)-1),0))</f>
        <v>878</v>
      </c>
      <c r="D23" s="375" t="str">
        <f>IF(F23&lt;=1,"(建造成本+管理费用)×利率×(建设周期÷2)","(建造成本+管理费用)×((1+利率)^(建设周期÷2)-1)")</f>
        <v>(建造成本+管理费用)×((1+利率)^(建设周期÷2)-1)</v>
      </c>
      <c r="E23" s="347" t="s">
        <v>1453</v>
      </c>
      <c r="F23" s="371">
        <f>'数据-取费表'!B20</f>
        <v>2</v>
      </c>
      <c r="G23" s="1856"/>
      <c r="H23" s="1204" t="s">
        <v>1075</v>
      </c>
      <c r="I23" s="347" t="s">
        <v>1454</v>
      </c>
      <c r="J23" s="24">
        <f ca="1">ROUND(J13*M23,1)</f>
        <v>0</v>
      </c>
      <c r="K23" s="1800" t="s">
        <v>1455</v>
      </c>
      <c r="L23" s="347" t="s">
        <v>1456</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1457</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6"/>
      <c r="H24" s="1342" t="s">
        <v>1393</v>
      </c>
      <c r="I24" s="1343" t="s">
        <v>1440</v>
      </c>
      <c r="J24" s="1344">
        <f ca="1">ROUND(J5*M24,1)</f>
        <v>0</v>
      </c>
      <c r="K24" s="1345" t="s">
        <v>1460</v>
      </c>
      <c r="L24" s="1343" t="s">
        <v>1456</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1461</v>
      </c>
      <c r="B25" s="347" t="s">
        <v>1462</v>
      </c>
      <c r="C25" s="24"/>
      <c r="D25" s="140" t="s">
        <v>1463</v>
      </c>
      <c r="E25" s="1820"/>
      <c r="F25" s="26"/>
      <c r="G25" s="1853"/>
      <c r="H25" s="1332" t="s">
        <v>1031</v>
      </c>
      <c r="I25" s="1347" t="s">
        <v>1464</v>
      </c>
      <c r="J25" s="355">
        <f ca="1">J5-J16</f>
        <v>-619</v>
      </c>
      <c r="K25" s="1348" t="s">
        <v>1465</v>
      </c>
      <c r="L25" s="1349"/>
      <c r="M25" s="1350"/>
    </row>
    <row r="26" spans="1:37">
      <c r="A26" s="1204" t="s">
        <v>1034</v>
      </c>
      <c r="B26" s="347" t="s">
        <v>1466</v>
      </c>
      <c r="C26" s="24">
        <f ca="1">ROUND((C19+C20)*F26,0)</f>
        <v>3699</v>
      </c>
      <c r="D26" s="369" t="s">
        <v>1467</v>
      </c>
      <c r="E26" s="358" t="s">
        <v>1468</v>
      </c>
      <c r="F26" s="357">
        <f ca="1">INDIRECT("'数据-取费表'!q"&amp;$G$1)</f>
        <v>0.2</v>
      </c>
      <c r="G26" s="1853"/>
      <c r="H26" s="344" t="s">
        <v>1032</v>
      </c>
      <c r="I26" s="345" t="s">
        <v>1469</v>
      </c>
      <c r="J26" s="346">
        <f ca="1">IF(J5&lt;&gt;0,ROUND(J25*(1-((1+M28)/(1+M26))^M27)/(M26-M28),0),0)</f>
        <v>0</v>
      </c>
      <c r="K26" s="370" t="s">
        <v>1470</v>
      </c>
      <c r="L26" s="347" t="s">
        <v>1471</v>
      </c>
      <c r="M26" s="357">
        <f ca="1">INDIRECT("'数据-取费表'!I"&amp;$G$1)</f>
        <v>5.5E-2</v>
      </c>
    </row>
    <row r="27" spans="1:37" ht="18" customHeight="1">
      <c r="A27" s="1204" t="s">
        <v>1036</v>
      </c>
      <c r="B27" s="347" t="s">
        <v>1472</v>
      </c>
      <c r="C27" s="24">
        <f ca="1">ROUND(F21*F26,4)</f>
        <v>6.0000000000000001E-3</v>
      </c>
      <c r="D27" s="369" t="s">
        <v>1473</v>
      </c>
      <c r="E27" s="365"/>
      <c r="F27" s="366"/>
      <c r="G27" s="1853"/>
      <c r="H27" s="349"/>
      <c r="I27" s="350"/>
      <c r="J27" s="351"/>
      <c r="K27" s="378" t="s">
        <v>1474</v>
      </c>
      <c r="L27" s="347" t="s">
        <v>1475</v>
      </c>
      <c r="M27" s="379">
        <f ca="1">INDIRECT("'数据-取费表'!ag"&amp;$G$1)</f>
        <v>0</v>
      </c>
    </row>
    <row r="28" spans="1:37" s="1860" customFormat="1" ht="18" customHeight="1">
      <c r="A28" s="1204" t="s">
        <v>1037</v>
      </c>
      <c r="B28" s="347" t="s">
        <v>1476</v>
      </c>
      <c r="C28" s="24">
        <f>ROUND(F28/(1+'数据-取费表'!C42),4)</f>
        <v>5.33E-2</v>
      </c>
      <c r="D28" s="369" t="s">
        <v>1477</v>
      </c>
      <c r="E28" s="347" t="s">
        <v>1423</v>
      </c>
      <c r="F28" s="367">
        <f>'数据-取费表'!B41</f>
        <v>5.6000000000000001E-2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1479</v>
      </c>
      <c r="C29" s="1344">
        <f ca="1">ROUND((C19+C20+C23+C26)/(1-F21-C24-C27-C28),0)</f>
        <v>25371</v>
      </c>
      <c r="D29" s="1345"/>
      <c r="E29" s="1343"/>
      <c r="F29" s="1346"/>
      <c r="G29" s="1856"/>
      <c r="H29" s="380" t="s">
        <v>1033</v>
      </c>
      <c r="I29" s="381" t="s">
        <v>1480</v>
      </c>
      <c r="J29" s="382">
        <f ca="1">ROUND(J26/(1+F40)^F41,0)</f>
        <v>0</v>
      </c>
      <c r="K29" s="383" t="s">
        <v>1481</v>
      </c>
      <c r="L29" s="384"/>
      <c r="M29" s="385">
        <f ca="1">INDIRECT("'数据-取费表'!k"&amp;$G$1)</f>
        <v>41596.89</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1425</v>
      </c>
      <c r="C30" s="355">
        <f ca="1">ROUND(C31+C36+C37+C38,0)</f>
        <v>2368</v>
      </c>
      <c r="D30" s="1340" t="s">
        <v>1426</v>
      </c>
      <c r="E30" s="1341"/>
      <c r="F30" s="1297"/>
      <c r="G30" s="1853"/>
      <c r="H30" s="745"/>
      <c r="I30" s="746"/>
      <c r="J30" s="747"/>
      <c r="K30" s="748"/>
      <c r="L30" s="749"/>
      <c r="M30" s="750"/>
    </row>
    <row r="31" spans="1:37" ht="18" customHeight="1">
      <c r="A31" s="1204" t="s">
        <v>1035</v>
      </c>
      <c r="B31" s="347" t="s">
        <v>1430</v>
      </c>
      <c r="C31" s="24">
        <f ca="1">ROUND(IF(项目基本情况!B11="自然人",C5*F31,C32+C33+C34),1)</f>
        <v>1844.3</v>
      </c>
      <c r="D31" s="1802" t="s">
        <v>1431</v>
      </c>
      <c r="E31" s="1800"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1434</v>
      </c>
      <c r="C32" s="24">
        <f ca="1">IF(项目基本情况!B11="自然人","——",ROUND(C5*F32/(1+'数据-取费表'!C42),2))</f>
        <v>559.67999999999995</v>
      </c>
      <c r="D32" s="1800" t="s">
        <v>1435</v>
      </c>
      <c r="E32" s="347" t="s">
        <v>1423</v>
      </c>
      <c r="F32" s="377">
        <f>'数据-取费表'!B41</f>
        <v>5.6000000000000001E-2</v>
      </c>
      <c r="G32" s="1853"/>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1259.28</v>
      </c>
      <c r="D33" s="1830" t="s">
        <v>3265</v>
      </c>
      <c r="E33" s="347" t="s">
        <v>1423</v>
      </c>
      <c r="F33" s="367">
        <f>IF(D33="按票据","——",IF(D33="按租金收入计税",'数据-取费表'!B51,'数据-取费表'!B50))</f>
        <v>0.12</v>
      </c>
      <c r="G33" s="1853"/>
      <c r="H33" s="1861"/>
      <c r="I33" s="1862"/>
      <c r="J33" s="1863"/>
      <c r="K33" s="1864"/>
      <c r="L33" s="1861"/>
      <c r="M33" s="1861"/>
    </row>
    <row r="34" spans="1:18" ht="18" customHeight="1">
      <c r="A34" s="1294" t="s">
        <v>1389</v>
      </c>
      <c r="B34" s="164" t="s">
        <v>1442</v>
      </c>
      <c r="C34" s="25">
        <f ca="1">IF(项目基本情况!B11="自然人","——",ROUND(F34*F35/10000,2))</f>
        <v>25.36</v>
      </c>
      <c r="D34" s="370" t="s">
        <v>1443</v>
      </c>
      <c r="E34" s="347" t="s">
        <v>1444</v>
      </c>
      <c r="F34" s="371">
        <f>'数据-取费表'!B52</f>
        <v>30</v>
      </c>
      <c r="G34" s="1853"/>
      <c r="H34" s="745"/>
      <c r="I34" s="1862"/>
      <c r="J34" s="1863"/>
      <c r="K34" s="1865"/>
      <c r="L34" s="1866"/>
      <c r="M34" s="1866"/>
    </row>
    <row r="35" spans="1:18" ht="18" customHeight="1">
      <c r="A35" s="1356"/>
      <c r="B35" s="1354"/>
      <c r="C35" s="29"/>
      <c r="D35" s="373"/>
      <c r="E35" s="347" t="s">
        <v>1448</v>
      </c>
      <c r="F35" s="348">
        <f ca="1">INDIRECT("'数据-取费表'!r"&amp;$G$1)</f>
        <v>8452.18</v>
      </c>
      <c r="G35" s="1853"/>
      <c r="H35" s="745"/>
      <c r="I35" s="1862"/>
      <c r="J35" s="1863"/>
      <c r="K35" s="1864"/>
      <c r="L35" s="1861"/>
      <c r="M35" s="1861"/>
    </row>
    <row r="36" spans="1:18" ht="18" customHeight="1">
      <c r="A36" s="1355" t="s">
        <v>1039</v>
      </c>
      <c r="B36" s="347" t="s">
        <v>1450</v>
      </c>
      <c r="C36" s="24">
        <f ca="1">ROUND(C29*F36,1)</f>
        <v>380.6</v>
      </c>
      <c r="D36" s="1800" t="s">
        <v>1483</v>
      </c>
      <c r="E36" s="347" t="s">
        <v>1423</v>
      </c>
      <c r="F36" s="374">
        <f ca="1">INDIRECT("'数据-取费表'!Ak"&amp;$G$1)</f>
        <v>1.4999999999999999E-2</v>
      </c>
      <c r="G36" s="1853"/>
      <c r="H36" s="1861"/>
      <c r="I36" s="1862"/>
      <c r="J36" s="1863"/>
      <c r="K36" s="751"/>
      <c r="L36" s="1861"/>
      <c r="M36" s="1861"/>
    </row>
    <row r="37" spans="1:18" ht="18" customHeight="1">
      <c r="A37" s="1204" t="s">
        <v>1075</v>
      </c>
      <c r="B37" s="347" t="s">
        <v>1454</v>
      </c>
      <c r="C37" s="24">
        <f ca="1">ROUND(C13*F37,1)</f>
        <v>38.1</v>
      </c>
      <c r="D37" s="1800" t="s">
        <v>1455</v>
      </c>
      <c r="E37" s="347" t="s">
        <v>1456</v>
      </c>
      <c r="F37" s="376">
        <f ca="1">INDIRECT("'数据-取费表'!Al"&amp;$G$1)</f>
        <v>1.5E-3</v>
      </c>
      <c r="G37" s="1853"/>
      <c r="H37" s="1861"/>
      <c r="I37" s="1862"/>
      <c r="J37" s="1863"/>
      <c r="K37" s="751"/>
      <c r="L37" s="1861"/>
      <c r="M37" s="1861"/>
    </row>
    <row r="38" spans="1:18" ht="18" customHeight="1" thickBot="1">
      <c r="A38" s="1342" t="s">
        <v>1393</v>
      </c>
      <c r="B38" s="1343" t="s">
        <v>1440</v>
      </c>
      <c r="C38" s="1344">
        <f ca="1">ROUND(C5*F38,1)</f>
        <v>104.9</v>
      </c>
      <c r="D38" s="1345" t="s">
        <v>1460</v>
      </c>
      <c r="E38" s="1343" t="s">
        <v>1456</v>
      </c>
      <c r="F38" s="1339">
        <f ca="1">INDIRECT("'数据-取费表'!Am"&amp;$G$1)</f>
        <v>0.01</v>
      </c>
      <c r="G38" s="1853"/>
      <c r="H38" s="1861"/>
      <c r="I38" s="1862"/>
      <c r="J38" s="1863"/>
      <c r="K38" s="1867"/>
      <c r="L38" s="1861"/>
      <c r="M38" s="1861"/>
    </row>
    <row r="39" spans="1:18" ht="24.6" customHeight="1" thickTop="1">
      <c r="A39" s="1332" t="s">
        <v>1031</v>
      </c>
      <c r="B39" s="1347" t="s">
        <v>1484</v>
      </c>
      <c r="C39" s="355">
        <f ca="1">C5-C30</f>
        <v>8126</v>
      </c>
      <c r="D39" s="1348" t="s">
        <v>1485</v>
      </c>
      <c r="E39" s="1349"/>
      <c r="F39" s="1350"/>
      <c r="G39" s="1853"/>
      <c r="H39" s="1861"/>
      <c r="I39" s="1862"/>
      <c r="J39" s="1863"/>
      <c r="K39" s="1867"/>
      <c r="L39" s="1861"/>
      <c r="M39" s="1861"/>
    </row>
    <row r="40" spans="1:18" ht="18" customHeight="1">
      <c r="A40" s="344" t="s">
        <v>1032</v>
      </c>
      <c r="B40" s="345" t="s">
        <v>1486</v>
      </c>
      <c r="C40" s="346">
        <f ca="1">ROUND(C39*(1-((1+F42)/(1+F40))^F41)/(F40-F42),0)</f>
        <v>181272</v>
      </c>
      <c r="D40" s="370" t="s">
        <v>1470</v>
      </c>
      <c r="E40" s="347" t="s">
        <v>1471</v>
      </c>
      <c r="F40" s="357">
        <f ca="1">INDIRECT("'数据-取费表'!I"&amp;$G$1)</f>
        <v>5.5E-2</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38.35</v>
      </c>
      <c r="G41" s="1853"/>
      <c r="H41" s="732"/>
      <c r="I41" s="1862"/>
      <c r="J41" s="1863"/>
      <c r="K41" s="751"/>
      <c r="L41" s="732"/>
      <c r="M41" s="732"/>
    </row>
    <row r="42" spans="1:18" ht="18" customHeight="1">
      <c r="A42" s="353"/>
      <c r="B42" s="354"/>
      <c r="C42" s="355"/>
      <c r="D42" s="373"/>
      <c r="E42" s="347" t="s">
        <v>1478</v>
      </c>
      <c r="F42" s="357">
        <f ca="1">INDIRECT("'数据-取费表'!v"&amp;$G$1)</f>
        <v>2.5000000000000001E-2</v>
      </c>
      <c r="G42" s="1853"/>
      <c r="H42" s="732"/>
      <c r="I42" s="1862"/>
      <c r="J42" s="1863"/>
      <c r="K42" s="751"/>
      <c r="L42" s="732"/>
      <c r="M42" s="732"/>
    </row>
    <row r="43" spans="1:18" ht="18" customHeight="1" thickBot="1">
      <c r="A43" s="380" t="s">
        <v>1033</v>
      </c>
      <c r="B43" s="381" t="s">
        <v>1488</v>
      </c>
      <c r="C43" s="382">
        <f ca="1">ROUND(C40*10000/F43,0)</f>
        <v>43578</v>
      </c>
      <c r="D43" s="383" t="s">
        <v>1489</v>
      </c>
      <c r="E43" s="384" t="s">
        <v>1490</v>
      </c>
      <c r="F43" s="385">
        <f ca="1">INDIRECT("'数据-取费表'!k"&amp;$G$1)</f>
        <v>41596.89</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1520</v>
      </c>
      <c r="P45" s="1841"/>
      <c r="Q45" s="1841"/>
      <c r="R45" s="1841"/>
    </row>
    <row r="46" spans="1:18" s="1844" customFormat="1" ht="13.5" thickBot="1">
      <c r="A46" s="1872" t="s">
        <v>1521</v>
      </c>
      <c r="C46" s="1873">
        <f ca="1">C68-C40</f>
        <v>-222083</v>
      </c>
      <c r="D46" s="1874" t="str">
        <f>C2</f>
        <v>万元</v>
      </c>
      <c r="E46" s="1868"/>
      <c r="F46" s="1868"/>
      <c r="I46" s="1875" t="s">
        <v>1522</v>
      </c>
      <c r="J46" s="1876"/>
      <c r="K46" s="1877"/>
      <c r="L46" s="1878" t="str">
        <f ca="1">IF(M47="住宅",0,IF(L48&gt;J51,L60,J60))</f>
        <v>0</v>
      </c>
      <c r="O46" s="1879" t="s">
        <v>1523</v>
      </c>
      <c r="P46" s="1880" t="s">
        <v>1524</v>
      </c>
      <c r="Q46" s="1881" t="s">
        <v>1525</v>
      </c>
      <c r="R46" s="1881" t="s">
        <v>1526</v>
      </c>
    </row>
    <row r="47" spans="1:18" s="1844" customFormat="1" ht="13.5" thickBot="1">
      <c r="A47" s="1168" t="s">
        <v>1396</v>
      </c>
      <c r="B47" s="1200" t="s">
        <v>1397</v>
      </c>
      <c r="C47" s="1370" t="s">
        <v>1398</v>
      </c>
      <c r="D47" s="1200" t="s">
        <v>1399</v>
      </c>
      <c r="E47" s="1282" t="s">
        <v>1400</v>
      </c>
      <c r="F47" s="1283"/>
      <c r="G47" s="792"/>
      <c r="I47" s="1882" t="s">
        <v>1527</v>
      </c>
      <c r="J47" s="1883" t="s">
        <v>3266</v>
      </c>
      <c r="K47" s="1884" t="s">
        <v>1528</v>
      </c>
      <c r="L47" s="1885">
        <f ca="1">INDIRECT("'数据-取费表'!d"&amp;$G$1)</f>
        <v>40</v>
      </c>
      <c r="M47" s="1840" t="str">
        <f>IF(ISNUMBER(FIND("住宅",C1)),"住宅","非住宅")</f>
        <v>非住宅</v>
      </c>
      <c r="O47" s="1886" t="s">
        <v>1040</v>
      </c>
      <c r="P47" s="1887" t="s">
        <v>1529</v>
      </c>
      <c r="Q47" s="1888">
        <f ca="1">C40+J29</f>
        <v>181272</v>
      </c>
      <c r="R47" s="1888" t="s">
        <v>1530</v>
      </c>
    </row>
    <row r="48" spans="1:18" s="1844" customFormat="1" ht="28.5" thickBot="1">
      <c r="A48" s="1363" t="s">
        <v>1135</v>
      </c>
      <c r="B48" s="345" t="s">
        <v>1401</v>
      </c>
      <c r="C48" s="1819">
        <f ca="1">C49+C53+C55</f>
        <v>0</v>
      </c>
      <c r="D48" s="1365"/>
      <c r="E48" s="1366"/>
      <c r="F48" s="1184"/>
      <c r="G48" s="792"/>
      <c r="H48" s="793"/>
      <c r="I48" s="1889" t="s">
        <v>1531</v>
      </c>
      <c r="J48" s="1890" t="s">
        <v>3267</v>
      </c>
      <c r="K48" s="1891" t="s">
        <v>1532</v>
      </c>
      <c r="L48" s="1892">
        <f ca="1">INDIRECT("'数据-取费表'!f"&amp;$G$1)</f>
        <v>38.85</v>
      </c>
      <c r="O48" s="1886" t="s">
        <v>1041</v>
      </c>
      <c r="P48" s="1887" t="s">
        <v>1533</v>
      </c>
      <c r="Q48" s="1888" t="str">
        <f ca="1">J60</f>
        <v>0</v>
      </c>
      <c r="R48" s="1888" t="s">
        <v>1534</v>
      </c>
    </row>
    <row r="49" spans="1:18" s="1844" customFormat="1" ht="13.5" thickBot="1">
      <c r="A49" s="1197" t="s">
        <v>1136</v>
      </c>
      <c r="B49" s="1831" t="s">
        <v>1491</v>
      </c>
      <c r="C49" s="1367">
        <f ca="1">ROUND(F49*F51*F50*(1-F52)/10000,0)</f>
        <v>0</v>
      </c>
      <c r="D49" s="1279" t="s">
        <v>3039</v>
      </c>
      <c r="E49" s="1832" t="s">
        <v>1492</v>
      </c>
      <c r="F49" s="1284"/>
      <c r="G49" s="1893"/>
      <c r="H49" s="793"/>
      <c r="I49" s="1889" t="s">
        <v>1535</v>
      </c>
      <c r="J49" s="1894"/>
      <c r="K49" s="1891" t="s">
        <v>1536</v>
      </c>
      <c r="L49" s="1895"/>
      <c r="O49" s="1896" t="s">
        <v>1042</v>
      </c>
      <c r="P49" s="1887" t="s">
        <v>1537</v>
      </c>
      <c r="Q49" s="1888">
        <f ca="1">C29</f>
        <v>25371</v>
      </c>
      <c r="R49" s="1888" t="s">
        <v>1530</v>
      </c>
    </row>
    <row r="50" spans="1:18" s="1844" customFormat="1" ht="13.5" thickBot="1">
      <c r="A50" s="1198"/>
      <c r="B50" s="1201"/>
      <c r="C50" s="1371"/>
      <c r="D50" s="1175"/>
      <c r="E50" s="1280" t="s">
        <v>1406</v>
      </c>
      <c r="F50" s="1281">
        <f ca="1">F7</f>
        <v>41596.89</v>
      </c>
      <c r="H50" s="793"/>
      <c r="I50" s="1889" t="s">
        <v>1538</v>
      </c>
      <c r="J50" s="1897">
        <f>SUMPRODUCT((I63:I65=J47)*(J62:L62=J48)*(J63:L65))</f>
        <v>60</v>
      </c>
      <c r="K50" s="1891" t="s">
        <v>1539</v>
      </c>
      <c r="L50" s="1895"/>
      <c r="M50" s="1898"/>
      <c r="O50" s="1896" t="s">
        <v>1043</v>
      </c>
      <c r="P50" s="1887" t="s">
        <v>1540</v>
      </c>
      <c r="Q50" s="1899" t="e">
        <f ca="1">J58</f>
        <v>#VALUE!</v>
      </c>
      <c r="R50" s="1888"/>
    </row>
    <row r="51" spans="1:18" s="1844" customFormat="1" ht="13.5" thickBot="1">
      <c r="A51" s="1199"/>
      <c r="B51" s="1201"/>
      <c r="C51" s="1202"/>
      <c r="D51" s="1175"/>
      <c r="E51" s="1203" t="s">
        <v>1407</v>
      </c>
      <c r="F51" s="348">
        <f ca="1">F8</f>
        <v>365</v>
      </c>
      <c r="I51" s="1900" t="s">
        <v>1541</v>
      </c>
      <c r="J51" s="1901">
        <f>IF(J49="",J50,J49+J50-YEAR('数据-取费表'!B2))</f>
        <v>60</v>
      </c>
      <c r="K51" s="1902" t="s">
        <v>1542</v>
      </c>
      <c r="L51" s="1903">
        <f ca="1">ROUND(-PV(INDIRECT("'数据-取费表'!h"&amp;$G$1),L48,(C39-C13*C76),0),0)</f>
        <v>101452</v>
      </c>
      <c r="M51" s="1904"/>
      <c r="O51" s="1896" t="s">
        <v>1044</v>
      </c>
      <c r="P51" s="1887" t="s">
        <v>1543</v>
      </c>
      <c r="Q51" s="1899">
        <f>J52</f>
        <v>0.09</v>
      </c>
      <c r="R51" s="1888"/>
    </row>
    <row r="52" spans="1:18" s="1844" customFormat="1" ht="13.5" thickBot="1">
      <c r="A52" s="1199"/>
      <c r="B52" s="1201"/>
      <c r="C52" s="1202"/>
      <c r="D52" s="1175"/>
      <c r="E52" s="1203" t="s">
        <v>1408</v>
      </c>
      <c r="F52" s="1278"/>
      <c r="I52" s="1905" t="s">
        <v>1544</v>
      </c>
      <c r="J52" s="1906">
        <v>0.09</v>
      </c>
      <c r="K52" s="1905" t="s">
        <v>1545</v>
      </c>
      <c r="L52" s="1906"/>
      <c r="O52" s="1896" t="s">
        <v>1045</v>
      </c>
      <c r="P52" s="1887" t="s">
        <v>1546</v>
      </c>
      <c r="Q52" s="1888">
        <f ca="1">J53</f>
        <v>38.35</v>
      </c>
      <c r="R52" s="1888" t="s">
        <v>1547</v>
      </c>
    </row>
    <row r="53" spans="1:18" s="1844" customFormat="1" ht="24.75" thickBot="1">
      <c r="A53" s="1408" t="s">
        <v>1137</v>
      </c>
      <c r="B53" s="1833" t="s">
        <v>1409</v>
      </c>
      <c r="C53" s="361">
        <f ca="1">ROUND(IF(F53="押一",F49*F51*F50/12*F11,IF(F53="押二",F49*F51*F50/12*2*F11,IF(F53="押三",F49*F51*F50/12*3*F11,C54*F11)))/10000,0)</f>
        <v>0</v>
      </c>
      <c r="D53" s="1826" t="s">
        <v>3037</v>
      </c>
      <c r="E53" s="358" t="s">
        <v>1411</v>
      </c>
      <c r="F53" s="1369"/>
      <c r="I53" s="1907" t="s">
        <v>1548</v>
      </c>
      <c r="J53" s="1908">
        <f ca="1">IF(M47="住宅",J51,IF(D1="——",MIN(J51,L48),IF(D1="在建（套用方法）",MIN(J51,L48-'数据-取费表'!B24),IF(D1="土地（套用方法）",MIN(J51,L48-'数据-取费表'!B20)))))</f>
        <v>38.35</v>
      </c>
      <c r="K53" s="3221" t="s">
        <v>1549</v>
      </c>
      <c r="L53" s="3222"/>
      <c r="O53" s="1886" t="s">
        <v>1046</v>
      </c>
      <c r="P53" s="1887" t="s">
        <v>1550</v>
      </c>
      <c r="Q53" s="1888">
        <f ca="1">Q47+Q48</f>
        <v>181272</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1551</v>
      </c>
      <c r="P54" s="1841"/>
      <c r="Q54" s="1841"/>
      <c r="R54" s="1841"/>
    </row>
    <row r="55" spans="1:18" s="1844" customFormat="1" ht="13.5" thickBot="1">
      <c r="A55" s="1336" t="s">
        <v>1075</v>
      </c>
      <c r="B55" s="1829" t="s">
        <v>1414</v>
      </c>
      <c r="C55" s="1337"/>
      <c r="D55" s="1826"/>
      <c r="E55" s="1834"/>
      <c r="F55" s="1909"/>
      <c r="I55" s="1912" t="s">
        <v>1552</v>
      </c>
      <c r="J55" s="1913" t="e">
        <f ca="1">ROUND(IF(J47="钢混",J57/J50,1-(1-2%)*(J50-J57)/J50),3)</f>
        <v>#VALUE!</v>
      </c>
      <c r="K55" s="1914" t="s">
        <v>1553</v>
      </c>
      <c r="L55" s="1915" t="s">
        <v>1554</v>
      </c>
      <c r="O55" s="1879" t="s">
        <v>1523</v>
      </c>
      <c r="P55" s="1880" t="s">
        <v>1524</v>
      </c>
      <c r="Q55" s="1881" t="s">
        <v>1525</v>
      </c>
      <c r="R55" s="1881" t="s">
        <v>1526</v>
      </c>
    </row>
    <row r="56" spans="1:18" s="1844" customFormat="1" ht="25.5" thickTop="1" thickBot="1">
      <c r="A56" s="1179">
        <v>2</v>
      </c>
      <c r="B56" s="1180" t="s">
        <v>1415</v>
      </c>
      <c r="C56" s="276">
        <f ca="1">C13</f>
        <v>25371</v>
      </c>
      <c r="D56" s="1916"/>
      <c r="E56" s="1917"/>
      <c r="F56" s="1909"/>
      <c r="I56" s="1918" t="s">
        <v>1555</v>
      </c>
      <c r="J56" s="1919" t="s">
        <v>3241</v>
      </c>
      <c r="K56" s="1889" t="s">
        <v>1556</v>
      </c>
      <c r="L56" s="1892" t="str">
        <f ca="1">IF(L48&lt;J51,"——",L48-J53)</f>
        <v>——</v>
      </c>
      <c r="O56" s="1886" t="s">
        <v>1040</v>
      </c>
      <c r="P56" s="1887" t="s">
        <v>1529</v>
      </c>
      <c r="Q56" s="1888">
        <f ca="1">C40+J29</f>
        <v>181272</v>
      </c>
      <c r="R56" s="1888" t="s">
        <v>1530</v>
      </c>
    </row>
    <row r="57" spans="1:18" s="1844" customFormat="1" ht="24.75" thickBot="1">
      <c r="A57" s="1920"/>
      <c r="B57" s="1172" t="s">
        <v>1479</v>
      </c>
      <c r="C57" s="282">
        <f ca="1">C29</f>
        <v>25371</v>
      </c>
      <c r="D57" s="1921"/>
      <c r="E57" s="1922"/>
      <c r="F57" s="1923"/>
      <c r="I57" s="1924" t="s">
        <v>1557</v>
      </c>
      <c r="J57" s="1925" t="str">
        <f ca="1">IF(OR(M47="住宅",J51&lt;L48,J56="是"),"——",J51-L48)</f>
        <v>——</v>
      </c>
      <c r="K57" s="1889" t="s">
        <v>1558</v>
      </c>
      <c r="L57" s="1892" t="str">
        <f ca="1">IF(L48&lt;J51,"——",IF(L55="比较法",L49,IF(L55="基准地价",L50,L51)))</f>
        <v>——</v>
      </c>
      <c r="O57" s="1886" t="s">
        <v>1041</v>
      </c>
      <c r="P57" s="1887" t="s">
        <v>1559</v>
      </c>
      <c r="Q57" s="1888">
        <f ca="1">L60</f>
        <v>0</v>
      </c>
      <c r="R57" s="1888" t="s">
        <v>1560</v>
      </c>
    </row>
    <row r="58" spans="1:18" s="1844" customFormat="1" ht="24.75" thickBot="1">
      <c r="A58" s="360" t="s">
        <v>1030</v>
      </c>
      <c r="B58" s="1180" t="s">
        <v>1425</v>
      </c>
      <c r="C58" s="361">
        <f ca="1">ROUND(C59+C64+C65+C66,0)</f>
        <v>2575</v>
      </c>
      <c r="D58" s="1182" t="s">
        <v>1426</v>
      </c>
      <c r="E58" s="1183"/>
      <c r="F58" s="1184"/>
      <c r="I58" s="1924" t="s">
        <v>1561</v>
      </c>
      <c r="J58" s="1926" t="e">
        <f ca="1">IF(J55&lt;0.4,0.4,J55)</f>
        <v>#VALUE!</v>
      </c>
      <c r="K58" s="1902" t="s">
        <v>1562</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4" t="s">
        <v>1035</v>
      </c>
      <c r="B59" s="1172" t="s">
        <v>1430</v>
      </c>
      <c r="C59" s="24">
        <f ca="1">ROUND(IF(项目基本情况!B11="自然人",C48*F59,C60+C61+C62),1)</f>
        <v>2156.5</v>
      </c>
      <c r="D59" s="1185" t="s">
        <v>1431</v>
      </c>
      <c r="E59" s="1186" t="s">
        <v>1432</v>
      </c>
      <c r="F59" s="368" t="str">
        <f ca="1">IF(项目基本情况!B11="企业","",IF(INDIRECT("'数据-取费表'!c"&amp;$G$1)="住宅",5%,IF(F49*F50*F51/12/(1+'数据-取费表'!C42)&gt;20000,12%,7%)))</f>
        <v/>
      </c>
      <c r="I59" s="1924" t="s">
        <v>1564</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1565</v>
      </c>
      <c r="Q59" s="1899">
        <f>L52</f>
        <v>0</v>
      </c>
      <c r="R59" s="1888"/>
    </row>
    <row r="60" spans="1:18" s="1844" customFormat="1" ht="16.5" thickBot="1">
      <c r="A60" s="1204" t="s">
        <v>1034</v>
      </c>
      <c r="B60" s="1172" t="s">
        <v>1434</v>
      </c>
      <c r="C60" s="24">
        <f ca="1">IF(项目基本情况!B11="自然人","——",ROUND(C48*F60/(1+'数据-取费表'!C42),2))</f>
        <v>0</v>
      </c>
      <c r="D60" s="1186" t="s">
        <v>1435</v>
      </c>
      <c r="E60" s="1172" t="s">
        <v>1423</v>
      </c>
      <c r="F60" s="377">
        <f t="shared" ref="F60:F66" si="0">F32</f>
        <v>5.6000000000000001E-2</v>
      </c>
      <c r="I60" s="1927" t="s">
        <v>1566</v>
      </c>
      <c r="J60" s="1928" t="str">
        <f ca="1">IF(OR(M47="住宅",J51&lt;L48,J56="是"),"0",ROUND(J59/(1+J52)^J53,0))</f>
        <v>0</v>
      </c>
      <c r="K60" s="1929" t="s">
        <v>1567</v>
      </c>
      <c r="L60" s="1928">
        <f ca="1">IF(OR(M47="住宅",L48&lt;J51),0,ROUND(L57*(L58/L59-1),0))</f>
        <v>0</v>
      </c>
      <c r="O60" s="1896" t="s">
        <v>1044</v>
      </c>
      <c r="P60" s="1887" t="s">
        <v>1568</v>
      </c>
      <c r="Q60" s="1888" t="e">
        <f ca="1">L58</f>
        <v>#DIV/0!</v>
      </c>
      <c r="R60" s="1888" t="s">
        <v>1569</v>
      </c>
    </row>
    <row r="61" spans="1:18" s="1844" customFormat="1" ht="13.5" thickBot="1">
      <c r="A61" s="1204" t="s">
        <v>1493</v>
      </c>
      <c r="B61" s="1172" t="s">
        <v>1494</v>
      </c>
      <c r="C61" s="24">
        <f ca="1">IF(项目基本情况!B11="自然人","——",IF(D61="按租金收入计税",ROUND(C48*F61,2),IF(D61="按房产原值计税",ROUND(C57*F61*0.7,2),INDIRECT("'数据-取费表'!Aj"&amp;$G$1))))</f>
        <v>2131.16</v>
      </c>
      <c r="D61" s="1830" t="s">
        <v>1439</v>
      </c>
      <c r="E61" s="1172" t="s">
        <v>1495</v>
      </c>
      <c r="F61" s="367">
        <f t="shared" si="0"/>
        <v>0.12</v>
      </c>
      <c r="I61" s="1930"/>
      <c r="J61" s="1930"/>
      <c r="K61" s="1930"/>
      <c r="L61" s="1930"/>
      <c r="O61" s="1896" t="s">
        <v>1045</v>
      </c>
      <c r="P61" s="1887" t="str">
        <f>K59</f>
        <v>续建工期及建筑物耐用年限下的土地年期修正系数Kn</v>
      </c>
      <c r="Q61" s="1888" t="e">
        <f ca="1">L59</f>
        <v>#DIV/0!</v>
      </c>
      <c r="R61" s="1888" t="s">
        <v>1570</v>
      </c>
    </row>
    <row r="62" spans="1:18" s="1844" customFormat="1" ht="13.5" thickBot="1">
      <c r="A62" s="1204" t="s">
        <v>1496</v>
      </c>
      <c r="B62" s="1171" t="s">
        <v>1497</v>
      </c>
      <c r="C62" s="25">
        <f ca="1">IF(项目基本情况!B11="自然人","——",ROUND(F62*F63/10000,2))</f>
        <v>25.36</v>
      </c>
      <c r="D62" s="1187" t="s">
        <v>1498</v>
      </c>
      <c r="E62" s="1172" t="s">
        <v>1499</v>
      </c>
      <c r="F62" s="371">
        <f t="shared" si="0"/>
        <v>30</v>
      </c>
      <c r="I62" s="1931" t="s">
        <v>1571</v>
      </c>
      <c r="J62" s="1932" t="s">
        <v>1572</v>
      </c>
      <c r="K62" s="1932" t="s">
        <v>1573</v>
      </c>
      <c r="L62" s="1932" t="s">
        <v>1574</v>
      </c>
      <c r="M62" s="1933" t="s">
        <v>1575</v>
      </c>
      <c r="O62" s="1886" t="s">
        <v>1046</v>
      </c>
      <c r="P62" s="1887" t="s">
        <v>1576</v>
      </c>
      <c r="Q62" s="1888">
        <f ca="1">Q56+Q57</f>
        <v>181272</v>
      </c>
      <c r="R62" s="1888" t="s">
        <v>1047</v>
      </c>
    </row>
    <row r="63" spans="1:18" s="1844" customFormat="1" ht="13.5" thickBot="1">
      <c r="A63" s="372"/>
      <c r="B63" s="1178"/>
      <c r="C63" s="29"/>
      <c r="D63" s="1188"/>
      <c r="E63" s="1172" t="s">
        <v>1500</v>
      </c>
      <c r="F63" s="348">
        <f t="shared" ca="1" si="0"/>
        <v>8452.18</v>
      </c>
      <c r="I63" s="1931" t="s">
        <v>1577</v>
      </c>
      <c r="J63" s="1932">
        <v>70</v>
      </c>
      <c r="K63" s="1932">
        <v>50</v>
      </c>
      <c r="L63" s="1932">
        <v>80</v>
      </c>
      <c r="M63" s="1934">
        <v>0.02</v>
      </c>
      <c r="O63" s="1871" t="s">
        <v>1578</v>
      </c>
      <c r="P63" s="1841"/>
      <c r="Q63" s="1841"/>
      <c r="R63" s="1841"/>
    </row>
    <row r="64" spans="1:18" s="1844" customFormat="1" ht="13.5" thickBot="1">
      <c r="A64" s="1204" t="s">
        <v>1501</v>
      </c>
      <c r="B64" s="1172" t="s">
        <v>1502</v>
      </c>
      <c r="C64" s="24">
        <f ca="1">ROUND(C57*F64,1)</f>
        <v>380.6</v>
      </c>
      <c r="D64" s="1186" t="s">
        <v>1503</v>
      </c>
      <c r="E64" s="1172" t="s">
        <v>1495</v>
      </c>
      <c r="F64" s="374">
        <f t="shared" ca="1" si="0"/>
        <v>1.4999999999999999E-2</v>
      </c>
      <c r="I64" s="1931" t="s">
        <v>1579</v>
      </c>
      <c r="J64" s="1932">
        <v>50</v>
      </c>
      <c r="K64" s="1932">
        <v>35</v>
      </c>
      <c r="L64" s="1932">
        <v>60</v>
      </c>
      <c r="M64" s="1933">
        <v>0</v>
      </c>
      <c r="O64" s="1879" t="s">
        <v>1523</v>
      </c>
      <c r="P64" s="1880" t="s">
        <v>1524</v>
      </c>
      <c r="Q64" s="1881" t="s">
        <v>1525</v>
      </c>
      <c r="R64" s="1881" t="s">
        <v>1526</v>
      </c>
    </row>
    <row r="65" spans="1:18" s="1844" customFormat="1" ht="13.5" thickBot="1">
      <c r="A65" s="1204" t="s">
        <v>1504</v>
      </c>
      <c r="B65" s="1172" t="s">
        <v>1454</v>
      </c>
      <c r="C65" s="24">
        <f ca="1">ROUND(C56*F65,1)</f>
        <v>38.1</v>
      </c>
      <c r="D65" s="1186" t="s">
        <v>1455</v>
      </c>
      <c r="E65" s="1172" t="s">
        <v>1456</v>
      </c>
      <c r="F65" s="376">
        <f t="shared" ca="1" si="0"/>
        <v>1.5E-3</v>
      </c>
      <c r="I65" s="1931" t="s">
        <v>1580</v>
      </c>
      <c r="J65" s="1932">
        <v>40</v>
      </c>
      <c r="K65" s="1932">
        <v>30</v>
      </c>
      <c r="L65" s="1932">
        <v>50</v>
      </c>
      <c r="M65" s="1934">
        <v>0.02</v>
      </c>
      <c r="O65" s="1886" t="s">
        <v>1040</v>
      </c>
      <c r="P65" s="1887" t="s">
        <v>1581</v>
      </c>
      <c r="Q65" s="1888">
        <f ca="1">C40+J29</f>
        <v>181272</v>
      </c>
      <c r="R65" s="1888" t="s">
        <v>1530</v>
      </c>
    </row>
    <row r="66" spans="1:18" s="1844" customFormat="1" ht="16.5" thickBot="1">
      <c r="A66" s="1204" t="s">
        <v>1505</v>
      </c>
      <c r="B66" s="1172" t="s">
        <v>1440</v>
      </c>
      <c r="C66" s="24">
        <f ca="1">ROUND(C48*F66,1)</f>
        <v>0</v>
      </c>
      <c r="D66" s="1186" t="s">
        <v>1506</v>
      </c>
      <c r="E66" s="1172" t="s">
        <v>1423</v>
      </c>
      <c r="F66" s="357">
        <f t="shared" ca="1" si="0"/>
        <v>0.01</v>
      </c>
      <c r="O66" s="1886" t="s">
        <v>1041</v>
      </c>
      <c r="P66" s="1887" t="s">
        <v>1559</v>
      </c>
      <c r="Q66" s="1888">
        <f ca="1">L60</f>
        <v>0</v>
      </c>
      <c r="R66" s="1888" t="s">
        <v>1582</v>
      </c>
    </row>
    <row r="67" spans="1:18" s="1844" customFormat="1" ht="16.5" thickBot="1">
      <c r="A67" s="1179" t="s">
        <v>1031</v>
      </c>
      <c r="B67" s="1189" t="s">
        <v>1464</v>
      </c>
      <c r="C67" s="361">
        <f ca="1">C48-C58</f>
        <v>-2575</v>
      </c>
      <c r="D67" s="1185" t="s">
        <v>1465</v>
      </c>
      <c r="E67" s="1190"/>
      <c r="F67" s="1191"/>
      <c r="O67" s="1896" t="s">
        <v>1042</v>
      </c>
      <c r="P67" s="1887" t="s">
        <v>1563</v>
      </c>
      <c r="Q67" s="1935">
        <f ca="1">L51</f>
        <v>101452</v>
      </c>
      <c r="R67" s="1888" t="s">
        <v>1583</v>
      </c>
    </row>
    <row r="68" spans="1:18" s="1844" customFormat="1" ht="16.5" thickBot="1">
      <c r="A68" s="1169" t="s">
        <v>1032</v>
      </c>
      <c r="B68" s="1170" t="s">
        <v>1486</v>
      </c>
      <c r="C68" s="346">
        <f ca="1">ROUND(C67*(1-((1+F70)/(1+F68))^F69)/(F68-F70),0)</f>
        <v>-40811</v>
      </c>
      <c r="D68" s="1187" t="s">
        <v>1470</v>
      </c>
      <c r="E68" s="1172" t="s">
        <v>1471</v>
      </c>
      <c r="F68" s="357">
        <f ca="1">F40</f>
        <v>5.5E-2</v>
      </c>
      <c r="O68" s="1896" t="s">
        <v>1043</v>
      </c>
      <c r="P68" s="1936" t="s">
        <v>1584</v>
      </c>
      <c r="Q68" s="1888">
        <f ca="1">ROUND(Q69-Q70*Q71,0)</f>
        <v>5969</v>
      </c>
      <c r="R68" s="1888" t="s">
        <v>1051</v>
      </c>
    </row>
    <row r="69" spans="1:18" s="1844" customFormat="1" ht="13.5" thickBot="1">
      <c r="A69" s="1173"/>
      <c r="B69" s="1174"/>
      <c r="C69" s="351"/>
      <c r="D69" s="1192" t="s">
        <v>1474</v>
      </c>
      <c r="E69" s="1172" t="s">
        <v>1475</v>
      </c>
      <c r="F69" s="379">
        <f ca="1">F41</f>
        <v>38.35</v>
      </c>
      <c r="O69" s="1896" t="s">
        <v>1048</v>
      </c>
      <c r="P69" s="1936" t="s">
        <v>1585</v>
      </c>
      <c r="Q69" s="1888">
        <f ca="1">C39</f>
        <v>8126</v>
      </c>
      <c r="R69" s="1888" t="s">
        <v>1530</v>
      </c>
    </row>
    <row r="70" spans="1:18" s="1844" customFormat="1" ht="13.5" thickBot="1">
      <c r="A70" s="1176"/>
      <c r="B70" s="1177"/>
      <c r="C70" s="355"/>
      <c r="D70" s="1188"/>
      <c r="E70" s="1172" t="s">
        <v>1478</v>
      </c>
      <c r="F70" s="1278"/>
      <c r="O70" s="1896" t="s">
        <v>1049</v>
      </c>
      <c r="P70" s="1936" t="s">
        <v>1586</v>
      </c>
      <c r="Q70" s="1888">
        <f ca="1">C13</f>
        <v>25371</v>
      </c>
      <c r="R70" s="1888" t="s">
        <v>1530</v>
      </c>
    </row>
    <row r="71" spans="1:18" s="1844" customFormat="1" ht="13.5" thickBot="1">
      <c r="A71" s="1193" t="s">
        <v>1033</v>
      </c>
      <c r="B71" s="1194" t="s">
        <v>1488</v>
      </c>
      <c r="C71" s="382">
        <f ca="1">ROUND(C68*10000/F71,0)</f>
        <v>-9811</v>
      </c>
      <c r="D71" s="1195" t="s">
        <v>1489</v>
      </c>
      <c r="E71" s="1196" t="s">
        <v>1490</v>
      </c>
      <c r="F71" s="385">
        <f ca="1">F43</f>
        <v>41596.89</v>
      </c>
      <c r="O71" s="1896" t="s">
        <v>1050</v>
      </c>
      <c r="P71" s="1936" t="s">
        <v>1587</v>
      </c>
      <c r="Q71" s="1899">
        <f ca="1">C76</f>
        <v>8.5000000000000006E-2</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续建工期及建筑物耐用年限下的土地年期修正系数Kn</v>
      </c>
      <c r="Q74" s="1888" t="e">
        <f ca="1">L59</f>
        <v>#DIV/0!</v>
      </c>
      <c r="R74" s="1888" t="s">
        <v>1570</v>
      </c>
    </row>
    <row r="75" spans="1:18" ht="13.5" thickBot="1">
      <c r="A75" s="1844"/>
      <c r="B75" s="386" t="s">
        <v>1507</v>
      </c>
      <c r="C75" s="387">
        <f ca="1">ROUND(C13*C76,0)</f>
        <v>2157</v>
      </c>
      <c r="D75" s="1844"/>
      <c r="E75" s="1844"/>
      <c r="F75" s="1844"/>
      <c r="K75" s="1870"/>
      <c r="L75" s="1844"/>
      <c r="O75" s="1886" t="s">
        <v>1046</v>
      </c>
      <c r="P75" s="1887" t="s">
        <v>1550</v>
      </c>
      <c r="Q75" s="1888">
        <f ca="1">Q65+Q66</f>
        <v>181272</v>
      </c>
      <c r="R75" s="1888" t="s">
        <v>1047</v>
      </c>
    </row>
    <row r="76" spans="1:18">
      <c r="B76" s="388" t="s">
        <v>1508</v>
      </c>
      <c r="C76" s="389">
        <f ca="1">INDIRECT("'数据-取费表'!j"&amp;$G$1)</f>
        <v>8.5000000000000006E-2</v>
      </c>
      <c r="I76" s="1844"/>
      <c r="J76" s="1844"/>
      <c r="K76" s="1870"/>
      <c r="L76" s="1844"/>
    </row>
    <row r="77" spans="1:18">
      <c r="B77" s="390" t="s">
        <v>1509</v>
      </c>
      <c r="C77" s="391"/>
      <c r="I77" s="1844"/>
      <c r="J77" s="1844"/>
      <c r="K77" s="1870"/>
      <c r="L77" s="1844"/>
    </row>
    <row r="78" spans="1:18">
      <c r="B78" s="314" t="s">
        <v>1510</v>
      </c>
      <c r="C78" s="392"/>
    </row>
    <row r="79" spans="1:18">
      <c r="B79" s="386" t="s">
        <v>1511</v>
      </c>
      <c r="C79" s="318">
        <f ca="1">1-C80</f>
        <v>0.73499999999999999</v>
      </c>
    </row>
    <row r="80" spans="1:18">
      <c r="B80" s="386" t="s">
        <v>1512</v>
      </c>
      <c r="C80" s="318">
        <f ca="1">ROUND(C75/C39,3)</f>
        <v>0.26500000000000001</v>
      </c>
    </row>
    <row r="81" spans="2:3">
      <c r="B81" s="314" t="s">
        <v>1513</v>
      </c>
      <c r="C81" s="282"/>
    </row>
    <row r="82" spans="2:3">
      <c r="B82" s="317" t="s">
        <v>1514</v>
      </c>
      <c r="C82" s="319">
        <f ca="1">1-C83</f>
        <v>0.86</v>
      </c>
    </row>
    <row r="83" spans="2:3">
      <c r="B83" s="317" t="s">
        <v>1515</v>
      </c>
      <c r="C83" s="318">
        <f ca="1">ROUND(C13/C40,3)</f>
        <v>0.14000000000000001</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c r="D1" s="1822"/>
      <c r="E1" s="1823" t="s">
        <v>1387</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1591</v>
      </c>
      <c r="B2" s="1846" t="e">
        <f ca="1">ROUND(D2/10000,0)</f>
        <v>#DIV/0!</v>
      </c>
      <c r="C2" s="1847" t="s">
        <v>1592</v>
      </c>
      <c r="D2" s="1940" t="e">
        <f ca="1">C40+J29+L46</f>
        <v>#DIV/0!</v>
      </c>
      <c r="E2" s="1848" t="s">
        <v>1593</v>
      </c>
      <c r="F2" s="1849"/>
      <c r="G2" s="1850"/>
      <c r="H2" s="1842"/>
      <c r="I2" s="1842"/>
      <c r="J2" s="1842"/>
      <c r="K2" s="1843"/>
      <c r="L2" s="1842"/>
      <c r="M2" s="1842"/>
    </row>
    <row r="3" spans="1:37" ht="18" customHeight="1" thickBot="1">
      <c r="A3" s="1851" t="s">
        <v>1594</v>
      </c>
      <c r="B3" s="1852">
        <f ca="1">IF(ISERROR(D2/F43),0,ROUND(D2/F43,0))</f>
        <v>0</v>
      </c>
      <c r="C3" s="1847" t="s">
        <v>1595</v>
      </c>
      <c r="D3" s="1847"/>
      <c r="E3" s="1848"/>
      <c r="F3" s="1849"/>
      <c r="G3" s="1850"/>
      <c r="H3" s="744" t="s">
        <v>1589</v>
      </c>
      <c r="I3" s="1842"/>
      <c r="J3" s="1842"/>
      <c r="K3" s="1843"/>
      <c r="L3" s="1842"/>
      <c r="M3" s="1842"/>
    </row>
    <row r="4" spans="1:37" ht="18" customHeight="1">
      <c r="A4" s="340" t="s">
        <v>1596</v>
      </c>
      <c r="B4" s="341" t="s">
        <v>1597</v>
      </c>
      <c r="C4" s="341" t="s">
        <v>1598</v>
      </c>
      <c r="D4" s="341" t="s">
        <v>1599</v>
      </c>
      <c r="E4" s="342" t="s">
        <v>1600</v>
      </c>
      <c r="F4" s="343"/>
      <c r="G4" s="1853"/>
      <c r="H4" s="340" t="s">
        <v>1596</v>
      </c>
      <c r="I4" s="341" t="s">
        <v>1597</v>
      </c>
      <c r="J4" s="341" t="s">
        <v>1598</v>
      </c>
      <c r="K4" s="341" t="s">
        <v>1599</v>
      </c>
      <c r="L4" s="342" t="s">
        <v>1600</v>
      </c>
      <c r="M4" s="343"/>
    </row>
    <row r="5" spans="1:37" ht="18" customHeight="1">
      <c r="A5" s="344">
        <v>1</v>
      </c>
      <c r="B5" s="345" t="s">
        <v>1601</v>
      </c>
      <c r="C5" s="1295">
        <f ca="1">C6+C10+C12</f>
        <v>0</v>
      </c>
      <c r="D5" s="1824" t="s">
        <v>1602</v>
      </c>
      <c r="E5" s="1296"/>
      <c r="F5" s="1297"/>
      <c r="G5" s="1853"/>
      <c r="H5" s="344">
        <v>1</v>
      </c>
      <c r="I5" s="345" t="s">
        <v>1601</v>
      </c>
      <c r="J5" s="1295">
        <f ca="1">J6+J10+J12</f>
        <v>0</v>
      </c>
      <c r="K5" s="1824" t="s">
        <v>1602</v>
      </c>
      <c r="L5" s="1296"/>
      <c r="M5" s="1297"/>
    </row>
    <row r="6" spans="1:37" ht="18" customHeight="1">
      <c r="A6" s="1294" t="s">
        <v>1035</v>
      </c>
      <c r="B6" s="3223" t="s">
        <v>1403</v>
      </c>
      <c r="C6" s="1299">
        <f ca="1">ROUND(F6*F8*F7*(1-F9),0)</f>
        <v>0</v>
      </c>
      <c r="D6" s="164" t="s">
        <v>3031</v>
      </c>
      <c r="E6" s="347" t="s">
        <v>1405</v>
      </c>
      <c r="F6" s="348">
        <f ca="1">INDIRECT("'数据-取费表'!u"&amp;$G$1)</f>
        <v>0</v>
      </c>
      <c r="G6" s="1853"/>
      <c r="H6" s="1294" t="s">
        <v>1035</v>
      </c>
      <c r="I6" s="3223" t="s">
        <v>1403</v>
      </c>
      <c r="J6" s="346">
        <f ca="1">ROUND(M6*M8*M7*(1-M9),0)</f>
        <v>0</v>
      </c>
      <c r="K6" s="1836" t="s">
        <v>3034</v>
      </c>
      <c r="L6" s="347" t="s">
        <v>1405</v>
      </c>
      <c r="M6" s="348">
        <f ca="1">INDIRECT("'数据-取费表'!z"&amp;$G$1)</f>
        <v>0</v>
      </c>
    </row>
    <row r="7" spans="1:37" ht="18" customHeight="1">
      <c r="A7" s="1298"/>
      <c r="B7" s="3224"/>
      <c r="C7" s="1300"/>
      <c r="D7" s="352"/>
      <c r="E7" s="1301" t="s">
        <v>1406</v>
      </c>
      <c r="F7" s="348">
        <f ca="1">IF(INDIRECT("'数据-取费表'!ah"&amp;$G$1)="",INDIRECT("'数据-取费表'!k"&amp;$G$1),INDIRECT("'数据-取费表'!ah"&amp;$G$1))</f>
        <v>0</v>
      </c>
      <c r="G7" s="1853"/>
      <c r="H7" s="349"/>
      <c r="I7" s="3224"/>
      <c r="J7" s="351"/>
      <c r="K7" s="352"/>
      <c r="L7" s="347" t="s">
        <v>1406</v>
      </c>
      <c r="M7" s="348">
        <f ca="1">F7</f>
        <v>0</v>
      </c>
    </row>
    <row r="8" spans="1:37" ht="18" customHeight="1">
      <c r="A8" s="349"/>
      <c r="B8" s="3224"/>
      <c r="C8" s="351"/>
      <c r="D8" s="352"/>
      <c r="E8" s="347" t="s">
        <v>1407</v>
      </c>
      <c r="F8" s="348">
        <f ca="1">INDIRECT("'数据-取费表'!ai"&amp;$G$1)</f>
        <v>0</v>
      </c>
      <c r="G8" s="1853"/>
      <c r="H8" s="349"/>
      <c r="I8" s="3224"/>
      <c r="J8" s="351"/>
      <c r="K8" s="352"/>
      <c r="L8" s="347" t="s">
        <v>1407</v>
      </c>
      <c r="M8" s="348">
        <f ca="1">INDIRECT("'数据-取费表'!ai"&amp;$G$1)</f>
        <v>0</v>
      </c>
    </row>
    <row r="9" spans="1:37" ht="18" customHeight="1">
      <c r="A9" s="349"/>
      <c r="B9" s="3225"/>
      <c r="C9" s="351"/>
      <c r="D9" s="352"/>
      <c r="E9" s="347" t="s">
        <v>1408</v>
      </c>
      <c r="F9" s="357">
        <f ca="1">INDIRECT("'数据-取费表'!w"&amp;$G$1)</f>
        <v>0</v>
      </c>
      <c r="G9" s="1853"/>
      <c r="H9" s="349"/>
      <c r="I9" s="3225"/>
      <c r="J9" s="351"/>
      <c r="K9" s="352"/>
      <c r="L9" s="358" t="s">
        <v>1408</v>
      </c>
      <c r="M9" s="359">
        <f ca="1">INDIRECT("'数据-取费表'!ab"&amp;$G$1)</f>
        <v>0</v>
      </c>
    </row>
    <row r="10" spans="1:37" ht="18" customHeight="1">
      <c r="A10" s="1294" t="s">
        <v>1039</v>
      </c>
      <c r="B10" s="1825" t="s">
        <v>1409</v>
      </c>
      <c r="C10" s="361">
        <f ca="1">ROUND(IF(F10="押一",F6*F8*F7/12*F11,IF(F10="押二",F6*F8*F7/12*2*F11,IF(F10="押三",F6*F8*F7/12*3*F11,C11*F11))),0)</f>
        <v>0</v>
      </c>
      <c r="D10" s="1826" t="s">
        <v>3032</v>
      </c>
      <c r="E10" s="358" t="s">
        <v>1411</v>
      </c>
      <c r="F10" s="1369"/>
      <c r="G10" s="1853"/>
      <c r="H10" s="1294" t="s">
        <v>1039</v>
      </c>
      <c r="I10" s="1825" t="s">
        <v>1409</v>
      </c>
      <c r="J10" s="346">
        <f ca="1">ROUND(IF(M10="押一",M6*M8*M7/12*M11,IF(M10="押二",M6*M8*M7/12*2*M11,IF(M10="押三",M6*M8*M7/12*3*M11,J11*M11))),0)</f>
        <v>0</v>
      </c>
      <c r="K10" s="1837" t="s">
        <v>3033</v>
      </c>
      <c r="L10" s="358" t="s">
        <v>1411</v>
      </c>
      <c r="M10" s="1369"/>
    </row>
    <row r="11" spans="1:37" ht="18" customHeight="1">
      <c r="A11" s="353"/>
      <c r="B11" s="1827" t="s">
        <v>1603</v>
      </c>
      <c r="C11" s="1181"/>
      <c r="D11" s="352"/>
      <c r="E11" s="358" t="s">
        <v>1413</v>
      </c>
      <c r="F11" s="359">
        <f ca="1">'数据-取费表'!B39</f>
        <v>1.4999999999999999E-2</v>
      </c>
      <c r="G11" s="1853"/>
      <c r="H11" s="1302"/>
      <c r="I11" s="1827" t="s">
        <v>1604</v>
      </c>
      <c r="J11" s="1181"/>
      <c r="K11" s="748"/>
      <c r="L11" s="358" t="s">
        <v>1413</v>
      </c>
      <c r="M11" s="1059">
        <f ca="1">'数据-取费表'!B39</f>
        <v>1.4999999999999999E-2</v>
      </c>
    </row>
    <row r="12" spans="1:37" ht="18" customHeight="1" thickBot="1">
      <c r="A12" s="1336" t="s">
        <v>1075</v>
      </c>
      <c r="B12" s="1829" t="s">
        <v>1414</v>
      </c>
      <c r="C12" s="1337"/>
      <c r="D12" s="1338"/>
      <c r="E12" s="1343"/>
      <c r="F12" s="1339"/>
      <c r="G12" s="1853"/>
      <c r="H12" s="1336" t="s">
        <v>1075</v>
      </c>
      <c r="I12" s="1829" t="s">
        <v>1414</v>
      </c>
      <c r="J12" s="1337"/>
      <c r="K12" s="1351"/>
      <c r="L12" s="1343"/>
      <c r="M12" s="1352"/>
    </row>
    <row r="13" spans="1:37" ht="18" customHeight="1" thickTop="1">
      <c r="A13" s="1332">
        <v>2</v>
      </c>
      <c r="B13" s="1333" t="s">
        <v>1415</v>
      </c>
      <c r="C13" s="355">
        <f ca="1">ROUND(C29*F13,0)</f>
        <v>0</v>
      </c>
      <c r="D13" s="1334" t="s">
        <v>1416</v>
      </c>
      <c r="E13" s="1334" t="s">
        <v>1417</v>
      </c>
      <c r="F13" s="1335">
        <f ca="1">INDIRECT("'数据-取费表'!y"&amp;$G$1)</f>
        <v>0</v>
      </c>
      <c r="G13" s="1853"/>
      <c r="H13" s="1332">
        <v>2</v>
      </c>
      <c r="I13" s="1333" t="s">
        <v>1415</v>
      </c>
      <c r="J13" s="1293">
        <f ca="1">ROUND(J14*J15,0)</f>
        <v>0</v>
      </c>
      <c r="K13" s="1340" t="s">
        <v>1416</v>
      </c>
      <c r="L13" s="1854"/>
      <c r="M13" s="1855"/>
    </row>
    <row r="14" spans="1:37" ht="18" customHeight="1">
      <c r="A14" s="1204" t="s">
        <v>1034</v>
      </c>
      <c r="B14" s="347" t="s">
        <v>1418</v>
      </c>
      <c r="C14" s="363">
        <f ca="1">ROUND(INDIRECT("'数据-取费表'!l"&amp;$G$1)*F43+'数据-取费表'!L14*INDIRECT("'数据-取费表'!S"&amp;$G$1),0)</f>
        <v>0</v>
      </c>
      <c r="D14" s="1802" t="s">
        <v>1419</v>
      </c>
      <c r="E14" s="1796"/>
      <c r="F14" s="364"/>
      <c r="G14" s="1853"/>
      <c r="H14" s="1204" t="s">
        <v>1035</v>
      </c>
      <c r="I14" s="347" t="s">
        <v>1420</v>
      </c>
      <c r="J14" s="24">
        <f ca="1">C29</f>
        <v>0</v>
      </c>
      <c r="K14" s="15"/>
      <c r="L14" s="982"/>
      <c r="M14" s="983"/>
    </row>
    <row r="15" spans="1:37" s="1860" customFormat="1" ht="18" customHeight="1" thickBot="1">
      <c r="A15" s="1204" t="s">
        <v>1036</v>
      </c>
      <c r="B15" s="347" t="s">
        <v>1421</v>
      </c>
      <c r="C15" s="24">
        <f ca="1">ROUND(C14*F15,0)</f>
        <v>0</v>
      </c>
      <c r="D15" s="365" t="s">
        <v>1422</v>
      </c>
      <c r="E15" s="365" t="s">
        <v>1423</v>
      </c>
      <c r="F15" s="366">
        <f>'数据-取费表'!B33</f>
        <v>0.03</v>
      </c>
      <c r="G15" s="1856"/>
      <c r="H15" s="1342" t="s">
        <v>1039</v>
      </c>
      <c r="I15" s="1343" t="s">
        <v>1417</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1424</v>
      </c>
      <c r="C16" s="24">
        <f ca="1">ROUND(INDIRECT("'数据-取费表'!l"&amp;$G$1)*F43*F16,0)</f>
        <v>0</v>
      </c>
      <c r="D16" s="347" t="s">
        <v>1422</v>
      </c>
      <c r="E16" s="347" t="s">
        <v>1423</v>
      </c>
      <c r="F16" s="367">
        <f ca="1">IF(INDIRECT("'数据-取费表'!c"&amp;$G$1)="住宅",'数据-取费表'!B34,0)</f>
        <v>0</v>
      </c>
      <c r="G16" s="1853"/>
      <c r="H16" s="1332" t="s">
        <v>1030</v>
      </c>
      <c r="I16" s="1333" t="s">
        <v>1425</v>
      </c>
      <c r="J16" s="355">
        <f ca="1">ROUND(J17+J22+J23+J24,0)</f>
        <v>0</v>
      </c>
      <c r="K16" s="1340" t="s">
        <v>1426</v>
      </c>
      <c r="L16" s="1341"/>
      <c r="M16" s="1297"/>
    </row>
    <row r="17" spans="1:37" s="1860" customFormat="1" ht="18" customHeight="1">
      <c r="A17" s="1204" t="s">
        <v>1390</v>
      </c>
      <c r="B17" s="347" t="s">
        <v>1427</v>
      </c>
      <c r="C17" s="24">
        <f ca="1">ROUND(F17*(F43+INDIRECT("'数据-取费表'!S"&amp;$G$1)),0)</f>
        <v>0</v>
      </c>
      <c r="D17" s="347" t="s">
        <v>1428</v>
      </c>
      <c r="E17" s="347" t="s">
        <v>1429</v>
      </c>
      <c r="F17" s="26">
        <f>'数据-取费表'!B35</f>
        <v>200</v>
      </c>
      <c r="G17" s="1856"/>
      <c r="H17" s="1204" t="s">
        <v>1035</v>
      </c>
      <c r="I17" s="347" t="s">
        <v>1430</v>
      </c>
      <c r="J17" s="24">
        <f ca="1">ROUND(IF(项目基本情况!B11="自然人",J5*M17,J18+J19+J20),0)</f>
        <v>0</v>
      </c>
      <c r="K17" s="1802" t="s">
        <v>1431</v>
      </c>
      <c r="L17" s="1800"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1433</v>
      </c>
      <c r="C18" s="24">
        <f ca="1">ROUND(C14*F18,0)</f>
        <v>0</v>
      </c>
      <c r="D18" s="347" t="s">
        <v>1422</v>
      </c>
      <c r="E18" s="347" t="s">
        <v>1423</v>
      </c>
      <c r="F18" s="367">
        <f>'数据-取费表'!B36</f>
        <v>1.4999999999999999E-2</v>
      </c>
      <c r="G18" s="1856"/>
      <c r="H18" s="1204" t="s">
        <v>1034</v>
      </c>
      <c r="I18" s="347" t="s">
        <v>1434</v>
      </c>
      <c r="J18" s="24">
        <f ca="1">ROUND(J5*M18/(1+'数据-取费表'!C42),0)</f>
        <v>0</v>
      </c>
      <c r="K18" s="1800" t="s">
        <v>1435</v>
      </c>
      <c r="L18" s="347" t="s">
        <v>1423</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1436</v>
      </c>
      <c r="C19" s="24">
        <f ca="1">SUM(C14:C18)</f>
        <v>0</v>
      </c>
      <c r="D19" s="140" t="s">
        <v>1437</v>
      </c>
      <c r="E19" s="1820"/>
      <c r="F19" s="26"/>
      <c r="G19" s="1853"/>
      <c r="H19" s="1204" t="s">
        <v>1036</v>
      </c>
      <c r="I19" s="347" t="s">
        <v>1438</v>
      </c>
      <c r="J19" s="24">
        <f ca="1">IF(K19="按租金收入计税",ROUND(J5*M19,0),ROUND(C29*M19*0.7,0))</f>
        <v>0</v>
      </c>
      <c r="K19" s="1830" t="s">
        <v>1439</v>
      </c>
      <c r="L19" s="347" t="s">
        <v>1423</v>
      </c>
      <c r="M19" s="367">
        <f>IF(K19="按租金收入计税",'数据-取费表'!B51,'数据-取费表'!B50)</f>
        <v>1.2E-2</v>
      </c>
    </row>
    <row r="20" spans="1:37" s="1860" customFormat="1" ht="18" customHeight="1">
      <c r="A20" s="1204" t="s">
        <v>1039</v>
      </c>
      <c r="B20" s="347" t="s">
        <v>1440</v>
      </c>
      <c r="C20" s="24">
        <f ca="1">ROUND(C19*F20,0)</f>
        <v>0</v>
      </c>
      <c r="D20" s="369" t="s">
        <v>1441</v>
      </c>
      <c r="E20" s="347" t="s">
        <v>1423</v>
      </c>
      <c r="F20" s="367">
        <f>'数据-取费表'!B37</f>
        <v>1.4999999999999999E-2</v>
      </c>
      <c r="G20" s="1856"/>
      <c r="H20" s="1204" t="s">
        <v>1389</v>
      </c>
      <c r="I20" s="164" t="s">
        <v>1442</v>
      </c>
      <c r="J20" s="25">
        <f ca="1">ROUND(M20*M21,0)</f>
        <v>0</v>
      </c>
      <c r="K20" s="370" t="s">
        <v>1443</v>
      </c>
      <c r="L20" s="347" t="s">
        <v>1444</v>
      </c>
      <c r="M20" s="371">
        <f>'数据-取费表'!B52</f>
        <v>30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1445</v>
      </c>
      <c r="C21" s="24" t="s">
        <v>1</v>
      </c>
      <c r="D21" s="369" t="s">
        <v>1446</v>
      </c>
      <c r="E21" s="347" t="s">
        <v>1447</v>
      </c>
      <c r="F21" s="367">
        <f>'数据-取费表'!B38</f>
        <v>0.03</v>
      </c>
      <c r="G21" s="1856"/>
      <c r="H21" s="372"/>
      <c r="I21" s="356"/>
      <c r="J21" s="29"/>
      <c r="K21" s="373"/>
      <c r="L21" s="347" t="s">
        <v>1448</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0"/>
      <c r="F22" s="26"/>
      <c r="G22" s="1853"/>
      <c r="H22" s="1204" t="s">
        <v>1039</v>
      </c>
      <c r="I22" s="347" t="s">
        <v>1450</v>
      </c>
      <c r="J22" s="24">
        <f ca="1">ROUND(J14*M22,0)</f>
        <v>0</v>
      </c>
      <c r="K22" s="1800" t="s">
        <v>1451</v>
      </c>
      <c r="L22" s="347" t="s">
        <v>1423</v>
      </c>
      <c r="M22" s="374">
        <f ca="1">INDIRECT("'数据-取费表'!Ak"&amp;$G$1)</f>
        <v>0</v>
      </c>
    </row>
    <row r="23" spans="1:37" s="1860" customFormat="1" ht="18" customHeight="1">
      <c r="A23" s="1204"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2</v>
      </c>
      <c r="G23" s="1856"/>
      <c r="H23" s="1204" t="s">
        <v>1075</v>
      </c>
      <c r="I23" s="347" t="s">
        <v>1454</v>
      </c>
      <c r="J23" s="24">
        <f ca="1">ROUND(J13*M23,0)</f>
        <v>0</v>
      </c>
      <c r="K23" s="1800" t="s">
        <v>1455</v>
      </c>
      <c r="L23" s="347" t="s">
        <v>1456</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1457</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6"/>
      <c r="H24" s="1342" t="s">
        <v>1393</v>
      </c>
      <c r="I24" s="1343" t="s">
        <v>1440</v>
      </c>
      <c r="J24" s="1344">
        <f ca="1">ROUND(J5*M24,0)</f>
        <v>0</v>
      </c>
      <c r="K24" s="1345" t="s">
        <v>1460</v>
      </c>
      <c r="L24" s="1343" t="s">
        <v>1456</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1461</v>
      </c>
      <c r="B25" s="347" t="s">
        <v>1462</v>
      </c>
      <c r="C25" s="24"/>
      <c r="D25" s="140" t="s">
        <v>1463</v>
      </c>
      <c r="E25" s="1820"/>
      <c r="F25" s="26"/>
      <c r="G25" s="1853"/>
      <c r="H25" s="1332" t="s">
        <v>1031</v>
      </c>
      <c r="I25" s="1347" t="s">
        <v>1464</v>
      </c>
      <c r="J25" s="355">
        <f ca="1">J5-J16</f>
        <v>0</v>
      </c>
      <c r="K25" s="1348" t="s">
        <v>1465</v>
      </c>
      <c r="L25" s="1349"/>
      <c r="M25" s="1350"/>
    </row>
    <row r="26" spans="1:37" ht="18" customHeight="1">
      <c r="A26" s="1204" t="s">
        <v>1034</v>
      </c>
      <c r="B26" s="347" t="s">
        <v>1466</v>
      </c>
      <c r="C26" s="24">
        <f ca="1">ROUND((C19+C20)*F26,0)</f>
        <v>0</v>
      </c>
      <c r="D26" s="369" t="s">
        <v>1467</v>
      </c>
      <c r="E26" s="358" t="s">
        <v>1468</v>
      </c>
      <c r="F26" s="357">
        <f ca="1">INDIRECT("'数据-取费表'!q"&amp;$G$1)</f>
        <v>0</v>
      </c>
      <c r="G26" s="1853"/>
      <c r="H26" s="344" t="s">
        <v>1032</v>
      </c>
      <c r="I26" s="345" t="s">
        <v>1469</v>
      </c>
      <c r="J26" s="346">
        <f ca="1">IF(J5&lt;&gt;0,ROUND(J25*(1-((1+M28)/(1+M26))^M27)/(M26-M28),0),0)</f>
        <v>0</v>
      </c>
      <c r="K26" s="370" t="s">
        <v>1470</v>
      </c>
      <c r="L26" s="347" t="s">
        <v>1471</v>
      </c>
      <c r="M26" s="357">
        <f ca="1">INDIRECT("'数据-取费表'!I"&amp;$G$1)</f>
        <v>0</v>
      </c>
    </row>
    <row r="27" spans="1:37" ht="18" customHeight="1">
      <c r="A27" s="1204" t="s">
        <v>1036</v>
      </c>
      <c r="B27" s="347" t="s">
        <v>1472</v>
      </c>
      <c r="C27" s="24">
        <f ca="1">ROUND(F21*F26,4)</f>
        <v>0</v>
      </c>
      <c r="D27" s="369" t="s">
        <v>1473</v>
      </c>
      <c r="E27" s="365"/>
      <c r="F27" s="366"/>
      <c r="G27" s="1853"/>
      <c r="H27" s="349"/>
      <c r="I27" s="350"/>
      <c r="J27" s="351"/>
      <c r="K27" s="378" t="s">
        <v>1474</v>
      </c>
      <c r="L27" s="347" t="s">
        <v>1475</v>
      </c>
      <c r="M27" s="379">
        <f ca="1">INDIRECT("'数据-取费表'!ag"&amp;$G$1)</f>
        <v>0</v>
      </c>
    </row>
    <row r="28" spans="1:37" s="1860" customFormat="1" ht="18" customHeight="1">
      <c r="A28" s="1204" t="s">
        <v>1037</v>
      </c>
      <c r="B28" s="347" t="s">
        <v>1476</v>
      </c>
      <c r="C28" s="24">
        <f>ROUND(F28/(1+'数据-取费表'!C42),4)</f>
        <v>5.33E-2</v>
      </c>
      <c r="D28" s="369" t="s">
        <v>1477</v>
      </c>
      <c r="E28" s="347" t="s">
        <v>1423</v>
      </c>
      <c r="F28" s="367">
        <f>'数据-取费表'!B41</f>
        <v>5.6000000000000001E-2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1479</v>
      </c>
      <c r="C29" s="1344">
        <f ca="1">ROUND((C19+C20+C23+C26)/(1-F21-C24-C27-C28),0)</f>
        <v>0</v>
      </c>
      <c r="D29" s="1345"/>
      <c r="E29" s="1343"/>
      <c r="F29" s="1346"/>
      <c r="G29" s="1856"/>
      <c r="H29" s="380" t="s">
        <v>1033</v>
      </c>
      <c r="I29" s="381" t="s">
        <v>1480</v>
      </c>
      <c r="J29" s="382">
        <f ca="1">ROUND(J26/(1+F40)^F41,0)</f>
        <v>0</v>
      </c>
      <c r="K29" s="383" t="s">
        <v>1481</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1425</v>
      </c>
      <c r="C30" s="355">
        <f ca="1">ROUND(C31+C36+C37+C38,0)</f>
        <v>0</v>
      </c>
      <c r="D30" s="1340" t="s">
        <v>1426</v>
      </c>
      <c r="E30" s="1341"/>
      <c r="F30" s="1297"/>
      <c r="G30" s="1853"/>
      <c r="H30" s="745"/>
      <c r="I30" s="746"/>
      <c r="J30" s="747"/>
      <c r="K30" s="748"/>
      <c r="L30" s="749"/>
      <c r="M30" s="750"/>
    </row>
    <row r="31" spans="1:37" ht="18" customHeight="1">
      <c r="A31" s="1204" t="s">
        <v>1035</v>
      </c>
      <c r="B31" s="347" t="s">
        <v>1430</v>
      </c>
      <c r="C31" s="24">
        <f ca="1">ROUND(IF(项目基本情况!B11="自然人",C5*F31,C32+C33+C34),0)</f>
        <v>0</v>
      </c>
      <c r="D31" s="1802" t="s">
        <v>1431</v>
      </c>
      <c r="E31" s="1800"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1434</v>
      </c>
      <c r="C32" s="24">
        <f ca="1">IF(项目基本情况!B11="自然人","——",ROUND(C5*F32/(1+'数据-取费表'!C42),0))</f>
        <v>0</v>
      </c>
      <c r="D32" s="1800" t="s">
        <v>1435</v>
      </c>
      <c r="E32" s="347" t="s">
        <v>1423</v>
      </c>
      <c r="F32" s="377">
        <f>'数据-取费表'!B41</f>
        <v>5.6000000000000001E-2</v>
      </c>
      <c r="G32" s="1853"/>
      <c r="H32" s="745"/>
      <c r="I32" s="746"/>
      <c r="J32" s="747"/>
      <c r="K32" s="748"/>
      <c r="L32" s="749"/>
      <c r="M32" s="750"/>
    </row>
    <row r="33" spans="1:18" ht="18" customHeight="1">
      <c r="A33" s="1204" t="s">
        <v>1036</v>
      </c>
      <c r="B33" s="347" t="s">
        <v>1438</v>
      </c>
      <c r="C33" s="24">
        <f ca="1">IF(项目基本情况!B11="自然人","——",IF(D33="按租金收入计税",ROUND(C5*F33,0),IF(D33="按房产原值计税",ROUND(C29*F33*0.7,0),INDIRECT("'数据-取费表'!Aj"&amp;$G$1))))</f>
        <v>0</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4" t="s">
        <v>1389</v>
      </c>
      <c r="B34" s="164" t="s">
        <v>1442</v>
      </c>
      <c r="C34" s="25">
        <f ca="1">IF(项目基本情况!B11="自然人","——",ROUND(F34*F35,))</f>
        <v>0</v>
      </c>
      <c r="D34" s="370" t="s">
        <v>1443</v>
      </c>
      <c r="E34" s="347" t="s">
        <v>1444</v>
      </c>
      <c r="F34" s="371">
        <f>'数据-取费表'!B52</f>
        <v>30</v>
      </c>
      <c r="G34" s="1853"/>
      <c r="H34" s="745"/>
      <c r="I34" s="1862"/>
      <c r="J34" s="1863"/>
      <c r="K34" s="1865"/>
      <c r="L34" s="1866"/>
      <c r="M34" s="1866"/>
    </row>
    <row r="35" spans="1:18" ht="18" customHeight="1">
      <c r="A35" s="1356"/>
      <c r="B35" s="1354"/>
      <c r="C35" s="29"/>
      <c r="D35" s="373"/>
      <c r="E35" s="347" t="s">
        <v>1448</v>
      </c>
      <c r="F35" s="348">
        <f ca="1">INDIRECT("'数据-取费表'!r"&amp;$G$1)</f>
        <v>0</v>
      </c>
      <c r="G35" s="1853"/>
      <c r="H35" s="745"/>
      <c r="I35" s="1862"/>
      <c r="J35" s="1863"/>
      <c r="K35" s="1864"/>
      <c r="L35" s="1861"/>
      <c r="M35" s="1861"/>
    </row>
    <row r="36" spans="1:18" ht="18" customHeight="1">
      <c r="A36" s="1355" t="s">
        <v>1039</v>
      </c>
      <c r="B36" s="347" t="s">
        <v>1450</v>
      </c>
      <c r="C36" s="24">
        <f ca="1">ROUND(C29*F36,0)</f>
        <v>0</v>
      </c>
      <c r="D36" s="1800" t="s">
        <v>1483</v>
      </c>
      <c r="E36" s="347" t="s">
        <v>1423</v>
      </c>
      <c r="F36" s="374">
        <f ca="1">INDIRECT("'数据-取费表'!Ak"&amp;$G$1)</f>
        <v>0</v>
      </c>
      <c r="G36" s="1853"/>
      <c r="H36" s="1861"/>
      <c r="I36" s="1862"/>
      <c r="J36" s="1863"/>
      <c r="K36" s="751"/>
      <c r="L36" s="1861"/>
      <c r="M36" s="1861"/>
    </row>
    <row r="37" spans="1:18" ht="18" customHeight="1">
      <c r="A37" s="1204" t="s">
        <v>1075</v>
      </c>
      <c r="B37" s="347" t="s">
        <v>1454</v>
      </c>
      <c r="C37" s="24">
        <f ca="1">ROUND(C13*F37,0)</f>
        <v>0</v>
      </c>
      <c r="D37" s="1800" t="s">
        <v>1455</v>
      </c>
      <c r="E37" s="347" t="s">
        <v>1456</v>
      </c>
      <c r="F37" s="376">
        <f ca="1">INDIRECT("'数据-取费表'!Al"&amp;$G$1)</f>
        <v>0</v>
      </c>
      <c r="G37" s="1853"/>
      <c r="H37" s="1861"/>
      <c r="I37" s="1862"/>
      <c r="J37" s="1863"/>
      <c r="K37" s="751"/>
      <c r="L37" s="1861"/>
      <c r="M37" s="1861"/>
    </row>
    <row r="38" spans="1:18" ht="18" customHeight="1" thickBot="1">
      <c r="A38" s="1342" t="s">
        <v>1393</v>
      </c>
      <c r="B38" s="1343" t="s">
        <v>1440</v>
      </c>
      <c r="C38" s="1344">
        <f ca="1">ROUND(C5*F38,1)</f>
        <v>0</v>
      </c>
      <c r="D38" s="1345" t="s">
        <v>1460</v>
      </c>
      <c r="E38" s="1343" t="s">
        <v>1456</v>
      </c>
      <c r="F38" s="1339">
        <f ca="1">INDIRECT("'数据-取费表'!Am"&amp;$G$1)</f>
        <v>0</v>
      </c>
      <c r="G38" s="1853"/>
      <c r="H38" s="1861"/>
      <c r="I38" s="1862"/>
      <c r="J38" s="1863"/>
      <c r="K38" s="1867"/>
      <c r="L38" s="1861"/>
      <c r="M38" s="1861"/>
    </row>
    <row r="39" spans="1:18" ht="24.6" customHeight="1" thickTop="1">
      <c r="A39" s="1332" t="s">
        <v>1031</v>
      </c>
      <c r="B39" s="1347" t="s">
        <v>1484</v>
      </c>
      <c r="C39" s="355">
        <f ca="1">C5-C30</f>
        <v>0</v>
      </c>
      <c r="D39" s="1348" t="s">
        <v>1485</v>
      </c>
      <c r="E39" s="1349"/>
      <c r="F39" s="1350"/>
      <c r="G39" s="1853"/>
      <c r="H39" s="1861"/>
      <c r="I39" s="1862"/>
      <c r="J39" s="1863"/>
      <c r="K39" s="1867"/>
      <c r="L39" s="1861"/>
      <c r="M39" s="1861"/>
    </row>
    <row r="40" spans="1:18" ht="18" customHeight="1">
      <c r="A40" s="344" t="s">
        <v>1032</v>
      </c>
      <c r="B40" s="345" t="s">
        <v>1486</v>
      </c>
      <c r="C40" s="346" t="e">
        <f ca="1">ROUND(C39*(1-((1+F42)/(1+F40))^F41)/(F40-F42),0)</f>
        <v>#DIV/0!</v>
      </c>
      <c r="D40" s="370" t="s">
        <v>1470</v>
      </c>
      <c r="E40" s="347" t="s">
        <v>1471</v>
      </c>
      <c r="F40" s="357">
        <f ca="1">INDIRECT("'数据-取费表'!I"&amp;$G$1)</f>
        <v>0</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1478</v>
      </c>
      <c r="F42" s="357">
        <f ca="1">INDIRECT("'数据-取费表'!v"&amp;$G$1)</f>
        <v>0</v>
      </c>
      <c r="G42" s="1853"/>
      <c r="H42" s="732"/>
      <c r="I42" s="1862"/>
      <c r="J42" s="1863"/>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1605</v>
      </c>
      <c r="E45" s="1868"/>
      <c r="F45" s="1868"/>
      <c r="O45" s="1871" t="s">
        <v>1520</v>
      </c>
      <c r="P45" s="1841"/>
      <c r="Q45" s="1841"/>
      <c r="R45" s="1841"/>
    </row>
    <row r="46" spans="1:18" s="1844" customFormat="1" ht="13.5" thickBot="1">
      <c r="A46" s="1872" t="s">
        <v>1521</v>
      </c>
      <c r="C46" s="1873" t="e">
        <f ca="1">ROUND(C45/10000,0)</f>
        <v>#DIV/0!</v>
      </c>
      <c r="D46" s="1874" t="str">
        <f>C2</f>
        <v>万元</v>
      </c>
      <c r="I46" s="1875" t="s">
        <v>1522</v>
      </c>
      <c r="J46" s="1876"/>
      <c r="K46" s="1877"/>
      <c r="L46" s="1878" t="e">
        <f ca="1">IF(M47="住宅",0,IF(L48&gt;J51,L60,J60))</f>
        <v>#DIV/0!</v>
      </c>
      <c r="O46" s="1879" t="s">
        <v>1523</v>
      </c>
      <c r="P46" s="1880" t="s">
        <v>1524</v>
      </c>
      <c r="Q46" s="1881" t="s">
        <v>1525</v>
      </c>
      <c r="R46" s="1881" t="s">
        <v>1526</v>
      </c>
    </row>
    <row r="47" spans="1:18" s="1844" customFormat="1" ht="13.5" thickBot="1">
      <c r="A47" s="1168" t="s">
        <v>1396</v>
      </c>
      <c r="B47" s="1200" t="s">
        <v>1397</v>
      </c>
      <c r="C47" s="1200" t="s">
        <v>1398</v>
      </c>
      <c r="D47" s="1200" t="s">
        <v>1399</v>
      </c>
      <c r="E47" s="1282" t="s">
        <v>1400</v>
      </c>
      <c r="F47" s="1283"/>
      <c r="G47" s="792"/>
      <c r="I47" s="1882" t="s">
        <v>1527</v>
      </c>
      <c r="J47" s="1883"/>
      <c r="K47" s="1884" t="s">
        <v>1528</v>
      </c>
      <c r="L47" s="1885">
        <f ca="1">INDIRECT("'数据-取费表'!d"&amp;$G$1)</f>
        <v>0</v>
      </c>
      <c r="M47" s="1840" t="str">
        <f>IF(ISNUMBER(FIND("住宅",C1)),"住宅","非住宅")</f>
        <v>非住宅</v>
      </c>
      <c r="O47" s="1886" t="s">
        <v>1040</v>
      </c>
      <c r="P47" s="1887" t="s">
        <v>1529</v>
      </c>
      <c r="Q47" s="1888" t="e">
        <f ca="1">C40+J29</f>
        <v>#DIV/0!</v>
      </c>
      <c r="R47" s="1888" t="s">
        <v>1530</v>
      </c>
    </row>
    <row r="48" spans="1:18" s="1844" customFormat="1" ht="28.5" thickBot="1">
      <c r="A48" s="1363" t="s">
        <v>1135</v>
      </c>
      <c r="B48" s="345" t="s">
        <v>1401</v>
      </c>
      <c r="C48" s="1819">
        <f ca="1">C49+C53+C55</f>
        <v>0</v>
      </c>
      <c r="D48" s="1365"/>
      <c r="E48" s="1366"/>
      <c r="F48" s="1184"/>
      <c r="G48" s="792"/>
      <c r="H48" s="793"/>
      <c r="I48" s="1889" t="s">
        <v>1531</v>
      </c>
      <c r="J48" s="1890"/>
      <c r="K48" s="1891" t="s">
        <v>1532</v>
      </c>
      <c r="L48" s="1892">
        <f ca="1">INDIRECT("'数据-取费表'!f"&amp;$G$1)</f>
        <v>0</v>
      </c>
      <c r="O48" s="1886" t="s">
        <v>1041</v>
      </c>
      <c r="P48" s="1887" t="s">
        <v>1533</v>
      </c>
      <c r="Q48" s="1888" t="e">
        <f ca="1">J60</f>
        <v>#DIV/0!</v>
      </c>
      <c r="R48" s="1888" t="s">
        <v>1534</v>
      </c>
    </row>
    <row r="49" spans="1:18" s="1844" customFormat="1" ht="13.5" thickBot="1">
      <c r="A49" s="1197" t="s">
        <v>1136</v>
      </c>
      <c r="B49" s="1831" t="s">
        <v>1491</v>
      </c>
      <c r="C49" s="1367">
        <f ca="1">ROUND(F49*F51*F50*(1-F52),0)</f>
        <v>0</v>
      </c>
      <c r="D49" s="1279" t="s">
        <v>1404</v>
      </c>
      <c r="E49" s="1832" t="s">
        <v>1492</v>
      </c>
      <c r="F49" s="1284"/>
      <c r="G49" s="1893"/>
      <c r="H49" s="793"/>
      <c r="I49" s="1889" t="s">
        <v>1535</v>
      </c>
      <c r="J49" s="1894"/>
      <c r="K49" s="1891" t="s">
        <v>1536</v>
      </c>
      <c r="L49" s="1895"/>
      <c r="O49" s="1896" t="s">
        <v>1042</v>
      </c>
      <c r="P49" s="1887" t="s">
        <v>1537</v>
      </c>
      <c r="Q49" s="1888">
        <f ca="1">C29</f>
        <v>0</v>
      </c>
      <c r="R49" s="1888" t="s">
        <v>1530</v>
      </c>
    </row>
    <row r="50" spans="1:18" s="1844" customFormat="1" ht="13.5" thickBot="1">
      <c r="A50" s="1198"/>
      <c r="B50" s="1201"/>
      <c r="C50" s="1202"/>
      <c r="D50" s="1175"/>
      <c r="E50" s="1280" t="s">
        <v>1406</v>
      </c>
      <c r="F50" s="1281">
        <f ca="1">F7</f>
        <v>0</v>
      </c>
      <c r="H50" s="793"/>
      <c r="I50" s="1889" t="s">
        <v>1538</v>
      </c>
      <c r="J50" s="1897">
        <f>SUMPRODUCT((I63:I65=J47)*(J62:L62=J48)*(J63:L65))</f>
        <v>0</v>
      </c>
      <c r="K50" s="1891" t="s">
        <v>1539</v>
      </c>
      <c r="L50" s="1895"/>
      <c r="M50" s="1898"/>
      <c r="O50" s="1896" t="s">
        <v>1043</v>
      </c>
      <c r="P50" s="1887" t="s">
        <v>1540</v>
      </c>
      <c r="Q50" s="1899" t="e">
        <f ca="1">J58</f>
        <v>#DIV/0!</v>
      </c>
      <c r="R50" s="1888"/>
    </row>
    <row r="51" spans="1:18" s="1844" customFormat="1" ht="13.5" thickBot="1">
      <c r="A51" s="1199"/>
      <c r="B51" s="1201"/>
      <c r="C51" s="1202"/>
      <c r="D51" s="1175"/>
      <c r="E51" s="1203" t="s">
        <v>1407</v>
      </c>
      <c r="F51" s="348">
        <f ca="1">F8</f>
        <v>0</v>
      </c>
      <c r="I51" s="1900" t="s">
        <v>1541</v>
      </c>
      <c r="J51" s="1901">
        <f>IF(J49="",J50,J49+J50-YEAR('数据-取费表'!B2))</f>
        <v>0</v>
      </c>
      <c r="K51" s="1902" t="s">
        <v>1542</v>
      </c>
      <c r="L51" s="1903">
        <f ca="1">ROUND(-PV(INDIRECT("'数据-取费表'!h"&amp;$G$1),L48,(C39-C13*C76),0),0)</f>
        <v>0</v>
      </c>
      <c r="M51" s="1904"/>
      <c r="O51" s="1896" t="s">
        <v>1044</v>
      </c>
      <c r="P51" s="1887" t="s">
        <v>1543</v>
      </c>
      <c r="Q51" s="1899">
        <f>J52</f>
        <v>0</v>
      </c>
      <c r="R51" s="1888"/>
    </row>
    <row r="52" spans="1:18" s="1844" customFormat="1" ht="13.5" thickBot="1">
      <c r="A52" s="1199"/>
      <c r="B52" s="1201"/>
      <c r="C52" s="1202"/>
      <c r="D52" s="1175"/>
      <c r="E52" s="1203" t="s">
        <v>1408</v>
      </c>
      <c r="F52" s="1278"/>
      <c r="I52" s="1905" t="s">
        <v>1544</v>
      </c>
      <c r="J52" s="1906"/>
      <c r="K52" s="1905" t="s">
        <v>1545</v>
      </c>
      <c r="L52" s="1906"/>
      <c r="O52" s="1896" t="s">
        <v>1045</v>
      </c>
      <c r="P52" s="1887" t="s">
        <v>1546</v>
      </c>
      <c r="Q52" s="1888" t="b">
        <f>J53</f>
        <v>0</v>
      </c>
      <c r="R52" s="1888" t="s">
        <v>1547</v>
      </c>
    </row>
    <row r="53" spans="1:18" s="1844" customFormat="1" ht="30.75" customHeight="1" thickBot="1">
      <c r="A53" s="1364" t="s">
        <v>1137</v>
      </c>
      <c r="B53" s="369" t="s">
        <v>1409</v>
      </c>
      <c r="C53" s="361">
        <f ca="1">ROUND(IF(F53="押一",F49*F51*F50/12*F11,IF(F53="押二",F49*F51*F50/12*2*F11,IF(F53="押三",F49*F51*F50/12*3*F11,C54*F11))),0)</f>
        <v>0</v>
      </c>
      <c r="D53" s="1826" t="s">
        <v>1410</v>
      </c>
      <c r="E53" s="358" t="s">
        <v>1411</v>
      </c>
      <c r="F53" s="1369"/>
      <c r="I53" s="1907" t="s">
        <v>1548</v>
      </c>
      <c r="J53" s="1908" t="b">
        <f>IF(M47="住宅",J51,IF(D1="——",MIN(J51,L48),IF(D1="在建（套用方法）",MIN(J51,L48-'数据-取费表'!B24),IF(D1="土地（套用方法）",MIN(J51,L48-'数据-取费表'!B20)))))</f>
        <v>0</v>
      </c>
      <c r="K53" s="3221" t="s">
        <v>1549</v>
      </c>
      <c r="L53" s="3222"/>
      <c r="O53" s="1886" t="s">
        <v>1046</v>
      </c>
      <c r="P53" s="1887" t="s">
        <v>1550</v>
      </c>
      <c r="Q53" s="1888" t="e">
        <f ca="1">Q47+Q48</f>
        <v>#DIV/0!</v>
      </c>
      <c r="R53" s="1888" t="s">
        <v>1047</v>
      </c>
    </row>
    <row r="54" spans="1:18" s="1844" customFormat="1" ht="13.5" thickBot="1">
      <c r="A54" s="1197"/>
      <c r="B54" s="1943" t="s">
        <v>1604</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1551</v>
      </c>
      <c r="P54" s="1841"/>
      <c r="Q54" s="1841"/>
      <c r="R54" s="1841"/>
    </row>
    <row r="55" spans="1:18" s="1844" customFormat="1" ht="13.5" thickBot="1">
      <c r="A55" s="1336" t="s">
        <v>1075</v>
      </c>
      <c r="B55" s="1829" t="s">
        <v>1414</v>
      </c>
      <c r="C55" s="1337"/>
      <c r="D55" s="1826"/>
      <c r="E55" s="1834"/>
      <c r="F55" s="1909"/>
      <c r="I55" s="1912" t="s">
        <v>1552</v>
      </c>
      <c r="J55" s="1913" t="e">
        <f ca="1">ROUND(IF(J47="钢混",J57/J50,1-(1-2%)*(J50-J57)/J50),3)</f>
        <v>#DIV/0!</v>
      </c>
      <c r="K55" s="1914" t="s">
        <v>1553</v>
      </c>
      <c r="L55" s="1915"/>
      <c r="O55" s="1879" t="s">
        <v>1523</v>
      </c>
      <c r="P55" s="1880" t="s">
        <v>1524</v>
      </c>
      <c r="Q55" s="1881" t="s">
        <v>1525</v>
      </c>
      <c r="R55" s="1881" t="s">
        <v>1526</v>
      </c>
    </row>
    <row r="56" spans="1:18" s="1844" customFormat="1" ht="36" customHeight="1" thickTop="1" thickBot="1">
      <c r="A56" s="1179">
        <v>2</v>
      </c>
      <c r="B56" s="1180" t="s">
        <v>1415</v>
      </c>
      <c r="C56" s="276">
        <f ca="1">C13</f>
        <v>0</v>
      </c>
      <c r="D56" s="1916"/>
      <c r="E56" s="1917"/>
      <c r="F56" s="1909"/>
      <c r="I56" s="1918" t="s">
        <v>1555</v>
      </c>
      <c r="J56" s="1919"/>
      <c r="K56" s="1889" t="s">
        <v>1556</v>
      </c>
      <c r="L56" s="1892">
        <f ca="1">IF(L48&lt;J51,"——",L48-J51)</f>
        <v>0</v>
      </c>
      <c r="O56" s="1886" t="s">
        <v>1040</v>
      </c>
      <c r="P56" s="1887" t="s">
        <v>1529</v>
      </c>
      <c r="Q56" s="1888" t="e">
        <f ca="1">C40+J29</f>
        <v>#DIV/0!</v>
      </c>
      <c r="R56" s="1888" t="s">
        <v>1530</v>
      </c>
    </row>
    <row r="57" spans="1:18" s="1844" customFormat="1" ht="24.75" thickBot="1">
      <c r="A57" s="1920"/>
      <c r="B57" s="1172" t="s">
        <v>1479</v>
      </c>
      <c r="C57" s="282">
        <f ca="1">C29</f>
        <v>0</v>
      </c>
      <c r="D57" s="1921"/>
      <c r="E57" s="1922"/>
      <c r="F57" s="1923"/>
      <c r="I57" s="1924" t="s">
        <v>1557</v>
      </c>
      <c r="J57" s="1925">
        <f ca="1">IF(OR(M47="住宅",J51&lt;L48,J56="是"),"——",J51-L48)</f>
        <v>0</v>
      </c>
      <c r="K57" s="1889" t="s">
        <v>1606</v>
      </c>
      <c r="L57" s="1892">
        <f ca="1">IF(L48&lt;J51,"——",IF(L55="比较法",L49,IF(L55="基准地价",L50,L51)))</f>
        <v>0</v>
      </c>
      <c r="O57" s="1886" t="s">
        <v>1041</v>
      </c>
      <c r="P57" s="1887" t="s">
        <v>1607</v>
      </c>
      <c r="Q57" s="1888" t="e">
        <f ca="1">L60</f>
        <v>#DIV/0!</v>
      </c>
      <c r="R57" s="1888" t="s">
        <v>1608</v>
      </c>
    </row>
    <row r="58" spans="1:18" s="1844" customFormat="1" ht="24.75" thickBot="1">
      <c r="A58" s="360" t="s">
        <v>1030</v>
      </c>
      <c r="B58" s="1180" t="s">
        <v>1425</v>
      </c>
      <c r="C58" s="361">
        <f ca="1">ROUND(C59+C64+C65+C66,0)</f>
        <v>0</v>
      </c>
      <c r="D58" s="1182" t="s">
        <v>1426</v>
      </c>
      <c r="E58" s="1183"/>
      <c r="F58" s="1184"/>
      <c r="I58" s="1924" t="s">
        <v>1561</v>
      </c>
      <c r="J58" s="1926" t="e">
        <f ca="1">IF(J55&lt;0.4,0.4,J55)</f>
        <v>#DIV/0!</v>
      </c>
      <c r="K58" s="1902" t="s">
        <v>1609</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4" t="s">
        <v>1035</v>
      </c>
      <c r="B59" s="1172" t="s">
        <v>1430</v>
      </c>
      <c r="C59" s="24">
        <f ca="1">ROUND(IF(项目基本情况!B11="自然人",C48*F59,C60+C61+C62),0)</f>
        <v>0</v>
      </c>
      <c r="D59" s="1185" t="s">
        <v>1431</v>
      </c>
      <c r="E59" s="1186" t="s">
        <v>1432</v>
      </c>
      <c r="F59" s="368" t="str">
        <f ca="1">IF(项目基本情况!B11="企业","",IF(INDIRECT("'数据-取费表'!c"&amp;$G$1)="住宅",5%,IF(F49*F50*F51/12/(1+'数据-取费表'!C42)&gt;20000,12%,7%)))</f>
        <v/>
      </c>
      <c r="I59" s="1924" t="s">
        <v>1564</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1565</v>
      </c>
      <c r="Q59" s="1899">
        <f>L52</f>
        <v>0</v>
      </c>
      <c r="R59" s="1888"/>
    </row>
    <row r="60" spans="1:18" s="1844" customFormat="1" ht="16.5" thickBot="1">
      <c r="A60" s="1204" t="s">
        <v>1034</v>
      </c>
      <c r="B60" s="1172" t="s">
        <v>1434</v>
      </c>
      <c r="C60" s="24">
        <f ca="1">IF(项目基本情况!B11="自然人","——",ROUND(C48*F60/(1+'数据-取费表'!C42),0))</f>
        <v>0</v>
      </c>
      <c r="D60" s="1186" t="s">
        <v>1435</v>
      </c>
      <c r="E60" s="1172" t="s">
        <v>1423</v>
      </c>
      <c r="F60" s="377">
        <f t="shared" ref="F60:F66" si="0">F32</f>
        <v>5.6000000000000001E-2</v>
      </c>
      <c r="I60" s="1927" t="s">
        <v>1566</v>
      </c>
      <c r="J60" s="1928" t="e">
        <f ca="1">IF(OR(M47="住宅",J51&lt;L48,J56="是"),"0",ROUND(J59/(1+J52)^J53,0))</f>
        <v>#DIV/0!</v>
      </c>
      <c r="K60" s="1929" t="s">
        <v>1567</v>
      </c>
      <c r="L60" s="1928" t="e">
        <f ca="1">IF(OR(M47="住宅",L48&lt;J51),0,ROUND(L57*(L58/L59-1),0))</f>
        <v>#DIV/0!</v>
      </c>
      <c r="O60" s="1896" t="s">
        <v>1044</v>
      </c>
      <c r="P60" s="1887" t="s">
        <v>1568</v>
      </c>
      <c r="Q60" s="1888" t="e">
        <f ca="1">L58</f>
        <v>#DIV/0!</v>
      </c>
      <c r="R60" s="1888" t="s">
        <v>1569</v>
      </c>
    </row>
    <row r="61" spans="1:18" s="1844" customFormat="1" ht="13.5" thickBot="1">
      <c r="A61" s="1204" t="s">
        <v>1493</v>
      </c>
      <c r="B61" s="1172" t="s">
        <v>1494</v>
      </c>
      <c r="C61" s="24">
        <f ca="1">IF(项目基本情况!B11="自然人","——",IF(D61="按租金收入计税",ROUND(C48*F61,0),IF(D61="按房产原值计税",ROUND(C57*F61*0.7,0),INDIRECT("'数据-取费表'!Aj"&amp;$G$1))))</f>
        <v>0</v>
      </c>
      <c r="D61" s="1830" t="s">
        <v>1439</v>
      </c>
      <c r="E61" s="1172" t="s">
        <v>1495</v>
      </c>
      <c r="F61" s="367">
        <f t="shared" si="0"/>
        <v>1.2E-2</v>
      </c>
      <c r="I61" s="1930"/>
      <c r="J61" s="1930"/>
      <c r="K61" s="1930"/>
      <c r="L61" s="1930"/>
      <c r="O61" s="1896" t="s">
        <v>1045</v>
      </c>
      <c r="P61" s="1887" t="str">
        <f>K59</f>
        <v>建设期及建筑物耐用年限下的土地年期修正系数Kn</v>
      </c>
      <c r="Q61" s="1888" t="e">
        <f ca="1">L59</f>
        <v>#DIV/0!</v>
      </c>
      <c r="R61" s="1888" t="s">
        <v>1570</v>
      </c>
    </row>
    <row r="62" spans="1:18" s="1844" customFormat="1" ht="13.5" thickBot="1">
      <c r="A62" s="1204" t="s">
        <v>1496</v>
      </c>
      <c r="B62" s="1171" t="s">
        <v>1497</v>
      </c>
      <c r="C62" s="25">
        <f ca="1">IF(项目基本情况!B11="自然人","——",ROUND(F62*F63,0))</f>
        <v>0</v>
      </c>
      <c r="D62" s="1187" t="s">
        <v>1498</v>
      </c>
      <c r="E62" s="1172" t="s">
        <v>1499</v>
      </c>
      <c r="F62" s="371">
        <f t="shared" si="0"/>
        <v>30</v>
      </c>
      <c r="I62" s="1931" t="s">
        <v>1571</v>
      </c>
      <c r="J62" s="1932" t="s">
        <v>1572</v>
      </c>
      <c r="K62" s="1932" t="s">
        <v>1573</v>
      </c>
      <c r="L62" s="1932" t="s">
        <v>1574</v>
      </c>
      <c r="M62" s="1933" t="s">
        <v>1575</v>
      </c>
      <c r="O62" s="1886" t="s">
        <v>1046</v>
      </c>
      <c r="P62" s="1887" t="s">
        <v>1576</v>
      </c>
      <c r="Q62" s="1888" t="e">
        <f ca="1">Q56+Q57</f>
        <v>#DIV/0!</v>
      </c>
      <c r="R62" s="1888" t="s">
        <v>1047</v>
      </c>
    </row>
    <row r="63" spans="1:18" s="1844" customFormat="1" ht="13.5" thickBot="1">
      <c r="A63" s="372"/>
      <c r="B63" s="1178"/>
      <c r="C63" s="29"/>
      <c r="D63" s="1188"/>
      <c r="E63" s="1172" t="s">
        <v>1500</v>
      </c>
      <c r="F63" s="348">
        <f t="shared" ca="1" si="0"/>
        <v>0</v>
      </c>
      <c r="I63" s="1931" t="s">
        <v>1577</v>
      </c>
      <c r="J63" s="1932">
        <v>70</v>
      </c>
      <c r="K63" s="1932">
        <v>50</v>
      </c>
      <c r="L63" s="1932">
        <v>80</v>
      </c>
      <c r="M63" s="1934">
        <v>0.02</v>
      </c>
      <c r="O63" s="1871" t="s">
        <v>1578</v>
      </c>
      <c r="P63" s="1841"/>
      <c r="Q63" s="1841"/>
      <c r="R63" s="1841"/>
    </row>
    <row r="64" spans="1:18" s="1844" customFormat="1" ht="13.5" thickBot="1">
      <c r="A64" s="1204" t="s">
        <v>1501</v>
      </c>
      <c r="B64" s="1172" t="s">
        <v>1502</v>
      </c>
      <c r="C64" s="24">
        <f ca="1">ROUND(C57*F64,0)</f>
        <v>0</v>
      </c>
      <c r="D64" s="1186" t="s">
        <v>1503</v>
      </c>
      <c r="E64" s="1172" t="s">
        <v>1495</v>
      </c>
      <c r="F64" s="374">
        <f t="shared" ca="1" si="0"/>
        <v>0</v>
      </c>
      <c r="I64" s="1931" t="s">
        <v>1579</v>
      </c>
      <c r="J64" s="1932">
        <v>50</v>
      </c>
      <c r="K64" s="1932">
        <v>35</v>
      </c>
      <c r="L64" s="1932">
        <v>60</v>
      </c>
      <c r="M64" s="1933">
        <v>0</v>
      </c>
      <c r="O64" s="1879" t="s">
        <v>1523</v>
      </c>
      <c r="P64" s="1880" t="s">
        <v>1524</v>
      </c>
      <c r="Q64" s="1881" t="s">
        <v>1525</v>
      </c>
      <c r="R64" s="1881" t="s">
        <v>1526</v>
      </c>
    </row>
    <row r="65" spans="1:18" s="1844" customFormat="1" ht="13.5" thickBot="1">
      <c r="A65" s="1204" t="s">
        <v>1504</v>
      </c>
      <c r="B65" s="1172" t="s">
        <v>1454</v>
      </c>
      <c r="C65" s="24">
        <f ca="1">ROUND(C56*F65,0)</f>
        <v>0</v>
      </c>
      <c r="D65" s="1186" t="s">
        <v>1455</v>
      </c>
      <c r="E65" s="1172" t="s">
        <v>1456</v>
      </c>
      <c r="F65" s="376">
        <f t="shared" ca="1" si="0"/>
        <v>0</v>
      </c>
      <c r="I65" s="1931" t="s">
        <v>1580</v>
      </c>
      <c r="J65" s="1932">
        <v>40</v>
      </c>
      <c r="K65" s="1932">
        <v>30</v>
      </c>
      <c r="L65" s="1932">
        <v>50</v>
      </c>
      <c r="M65" s="1934">
        <v>0.02</v>
      </c>
      <c r="O65" s="1886" t="s">
        <v>1040</v>
      </c>
      <c r="P65" s="1887" t="s">
        <v>1581</v>
      </c>
      <c r="Q65" s="1888" t="e">
        <f ca="1">C40+J29</f>
        <v>#DIV/0!</v>
      </c>
      <c r="R65" s="1888" t="s">
        <v>1530</v>
      </c>
    </row>
    <row r="66" spans="1:18" s="1844" customFormat="1" ht="16.5" thickBot="1">
      <c r="A66" s="1204" t="s">
        <v>1505</v>
      </c>
      <c r="B66" s="1172" t="s">
        <v>1440</v>
      </c>
      <c r="C66" s="24">
        <f ca="1">ROUND(C48*F66,0)</f>
        <v>0</v>
      </c>
      <c r="D66" s="1186" t="s">
        <v>1506</v>
      </c>
      <c r="E66" s="1172" t="s">
        <v>1423</v>
      </c>
      <c r="F66" s="357">
        <f t="shared" ca="1" si="0"/>
        <v>0</v>
      </c>
      <c r="O66" s="1886" t="s">
        <v>1041</v>
      </c>
      <c r="P66" s="1887" t="s">
        <v>1559</v>
      </c>
      <c r="Q66" s="1888" t="e">
        <f ca="1">L60</f>
        <v>#DIV/0!</v>
      </c>
      <c r="R66" s="1888" t="s">
        <v>1582</v>
      </c>
    </row>
    <row r="67" spans="1:18" s="1844" customFormat="1" ht="16.5" thickBot="1">
      <c r="A67" s="1179" t="s">
        <v>1031</v>
      </c>
      <c r="B67" s="1189" t="s">
        <v>1464</v>
      </c>
      <c r="C67" s="361">
        <f ca="1">C48-C58</f>
        <v>0</v>
      </c>
      <c r="D67" s="1185" t="s">
        <v>1465</v>
      </c>
      <c r="E67" s="1190"/>
      <c r="F67" s="1191"/>
      <c r="O67" s="1896" t="s">
        <v>1042</v>
      </c>
      <c r="P67" s="1887" t="s">
        <v>1563</v>
      </c>
      <c r="Q67" s="1935">
        <f ca="1">L51</f>
        <v>0</v>
      </c>
      <c r="R67" s="1888" t="s">
        <v>1583</v>
      </c>
    </row>
    <row r="68" spans="1:18" s="1844" customFormat="1" ht="16.5" thickBot="1">
      <c r="A68" s="1169" t="s">
        <v>1032</v>
      </c>
      <c r="B68" s="1170" t="s">
        <v>1486</v>
      </c>
      <c r="C68" s="346" t="e">
        <f ca="1">ROUND(C67*(1-((1+F70)/(1+F68))^F69)/(F68-F70),0)</f>
        <v>#DIV/0!</v>
      </c>
      <c r="D68" s="1187" t="s">
        <v>1470</v>
      </c>
      <c r="E68" s="1172" t="s">
        <v>1471</v>
      </c>
      <c r="F68" s="357">
        <f ca="1">F40</f>
        <v>0</v>
      </c>
      <c r="O68" s="1896" t="s">
        <v>1043</v>
      </c>
      <c r="P68" s="1936" t="s">
        <v>1584</v>
      </c>
      <c r="Q68" s="1888">
        <f ca="1">ROUND(Q69-Q70*Q71,0)</f>
        <v>0</v>
      </c>
      <c r="R68" s="1888" t="s">
        <v>1051</v>
      </c>
    </row>
    <row r="69" spans="1:18" s="1844" customFormat="1" ht="13.5" thickBot="1">
      <c r="A69" s="1173"/>
      <c r="B69" s="1174"/>
      <c r="C69" s="351"/>
      <c r="D69" s="1192" t="s">
        <v>1474</v>
      </c>
      <c r="E69" s="1172" t="s">
        <v>1475</v>
      </c>
      <c r="F69" s="379">
        <f ca="1">F41</f>
        <v>0</v>
      </c>
      <c r="O69" s="1896" t="s">
        <v>1048</v>
      </c>
      <c r="P69" s="1936" t="s">
        <v>1585</v>
      </c>
      <c r="Q69" s="1888">
        <f ca="1">C39</f>
        <v>0</v>
      </c>
      <c r="R69" s="1888" t="s">
        <v>1530</v>
      </c>
    </row>
    <row r="70" spans="1:18" s="1844" customFormat="1" ht="13.5" thickBot="1">
      <c r="A70" s="1176"/>
      <c r="B70" s="1177"/>
      <c r="C70" s="355"/>
      <c r="D70" s="1188"/>
      <c r="E70" s="1172" t="s">
        <v>1478</v>
      </c>
      <c r="F70" s="1278">
        <f ca="1">F42</f>
        <v>0</v>
      </c>
      <c r="O70" s="1896" t="s">
        <v>1049</v>
      </c>
      <c r="P70" s="1936" t="s">
        <v>1586</v>
      </c>
      <c r="Q70" s="1888">
        <f ca="1">C13</f>
        <v>0</v>
      </c>
      <c r="R70" s="1888" t="s">
        <v>1530</v>
      </c>
    </row>
    <row r="71" spans="1:18" s="1844" customFormat="1" ht="13.5" thickBot="1">
      <c r="A71" s="1193" t="s">
        <v>1033</v>
      </c>
      <c r="B71" s="1194" t="s">
        <v>1488</v>
      </c>
      <c r="C71" s="382" t="e">
        <f ca="1">ROUND(C68/F71,0)</f>
        <v>#DIV/0!</v>
      </c>
      <c r="D71" s="1195" t="s">
        <v>1489</v>
      </c>
      <c r="E71" s="1196" t="s">
        <v>1490</v>
      </c>
      <c r="F71" s="385">
        <f ca="1">F43</f>
        <v>0</v>
      </c>
      <c r="O71" s="1896" t="s">
        <v>1050</v>
      </c>
      <c r="P71" s="1936" t="s">
        <v>1587</v>
      </c>
      <c r="Q71" s="1899">
        <f ca="1">C76</f>
        <v>0</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建设期及建筑物耐用年限下的土地年期修正系数Kn</v>
      </c>
      <c r="Q74" s="1888" t="e">
        <f ca="1">L59</f>
        <v>#DIV/0!</v>
      </c>
      <c r="R74" s="1888" t="s">
        <v>1570</v>
      </c>
    </row>
    <row r="75" spans="1:18" ht="13.5" thickBot="1">
      <c r="A75" s="1844"/>
      <c r="B75" s="386" t="s">
        <v>1507</v>
      </c>
      <c r="C75" s="387">
        <f ca="1">ROUND(C13*C76,0)</f>
        <v>0</v>
      </c>
      <c r="D75" s="1844"/>
      <c r="E75" s="1844"/>
      <c r="F75" s="1844"/>
      <c r="K75" s="1870"/>
      <c r="L75" s="1844"/>
      <c r="O75" s="1886" t="s">
        <v>1046</v>
      </c>
      <c r="P75" s="1887" t="s">
        <v>1550</v>
      </c>
      <c r="Q75" s="1888" t="e">
        <f ca="1">Q65+Q66</f>
        <v>#DIV/0!</v>
      </c>
      <c r="R75" s="1888" t="s">
        <v>1047</v>
      </c>
    </row>
    <row r="76" spans="1:18">
      <c r="B76" s="388" t="s">
        <v>1508</v>
      </c>
      <c r="C76" s="389">
        <f ca="1">INDIRECT("'数据-取费表'!j"&amp;$G$1)</f>
        <v>0</v>
      </c>
      <c r="I76" s="1844"/>
      <c r="J76" s="1844"/>
      <c r="K76" s="1870"/>
      <c r="L76" s="1844"/>
    </row>
    <row r="77" spans="1:18">
      <c r="B77" s="390" t="s">
        <v>1509</v>
      </c>
      <c r="C77" s="391"/>
      <c r="I77" s="1844"/>
      <c r="J77" s="1844"/>
      <c r="K77" s="1870"/>
      <c r="L77" s="1844"/>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7" t="s">
        <v>2529</v>
      </c>
      <c r="B1" s="2568"/>
      <c r="C1" s="2568"/>
      <c r="D1" s="2568"/>
      <c r="E1" s="2569"/>
    </row>
    <row r="2" spans="1:6" ht="15.75">
      <c r="A2" s="2570" t="s">
        <v>2333</v>
      </c>
      <c r="B2" s="2571">
        <f ca="1">SUMIF(B6:B13,"&lt;&gt;#ref!",B6:B13)</f>
        <v>181272</v>
      </c>
      <c r="C2" s="2572" t="s">
        <v>2522</v>
      </c>
      <c r="D2" s="2573" t="s">
        <v>2523</v>
      </c>
      <c r="E2" s="2574">
        <f>SUM(E6:E13)</f>
        <v>41596.89</v>
      </c>
    </row>
    <row r="3" spans="1:6" ht="15.75">
      <c r="A3" s="2570" t="s">
        <v>1395</v>
      </c>
      <c r="B3" s="2571">
        <f ca="1">ROUND(B2*10000/E2,0)</f>
        <v>43578</v>
      </c>
      <c r="C3" s="2572" t="s">
        <v>2530</v>
      </c>
      <c r="D3" s="2575"/>
      <c r="E3" s="2576"/>
    </row>
    <row r="4" spans="1:6" ht="15.75">
      <c r="A4" s="2577"/>
      <c r="B4" s="2575"/>
      <c r="C4" s="2575"/>
      <c r="D4" s="2575"/>
      <c r="E4" s="2576"/>
    </row>
    <row r="5" spans="1:6" ht="15">
      <c r="A5" s="2578" t="s">
        <v>2524</v>
      </c>
      <c r="B5" s="3226" t="s">
        <v>2525</v>
      </c>
      <c r="C5" s="3226"/>
      <c r="D5" s="2579"/>
      <c r="E5" s="2580" t="s">
        <v>2526</v>
      </c>
      <c r="F5" s="2581" t="s">
        <v>2527</v>
      </c>
    </row>
    <row r="6" spans="1:6">
      <c r="A6" s="2582" t="str">
        <f>'数据-取费表'!AN6</f>
        <v>收益法</v>
      </c>
      <c r="B6" s="2581">
        <f ca="1">IF(F6="是",'数据-取费表'!AO6,0)</f>
        <v>181272</v>
      </c>
      <c r="C6" s="2572" t="s">
        <v>2522</v>
      </c>
      <c r="D6" s="2575"/>
      <c r="E6" s="2583">
        <f>IF(OR(A6=0,F6="否"),0,'数据-取费表'!K6+'数据-取费表'!S6)</f>
        <v>41596.89</v>
      </c>
      <c r="F6" s="2584" t="s">
        <v>2528</v>
      </c>
    </row>
    <row r="7" spans="1:6">
      <c r="A7" s="2582">
        <f>'数据-取费表'!AN7</f>
        <v>0</v>
      </c>
      <c r="B7" s="2581" t="e">
        <f ca="1">IF(F7="是",'数据-取费表'!AO7,0)</f>
        <v>#REF!</v>
      </c>
      <c r="C7" s="2572" t="s">
        <v>2522</v>
      </c>
      <c r="D7" s="2575"/>
      <c r="E7" s="2583">
        <f>IF(OR(A7=0,F7="否"),0,'数据-取费表'!K7+'数据-取费表'!S7)</f>
        <v>0</v>
      </c>
      <c r="F7" s="2584" t="s">
        <v>2528</v>
      </c>
    </row>
    <row r="8" spans="1:6">
      <c r="A8" s="2582">
        <f>'数据-取费表'!AN8</f>
        <v>0</v>
      </c>
      <c r="B8" s="2581" t="e">
        <f ca="1">IF(F8="是",'数据-取费表'!AO8,0)</f>
        <v>#REF!</v>
      </c>
      <c r="C8" s="2572" t="s">
        <v>2522</v>
      </c>
      <c r="D8" s="2575"/>
      <c r="E8" s="2583">
        <f>IF(OR(A8=0,F8="否"),0,'数据-取费表'!K8+'数据-取费表'!S8)</f>
        <v>0</v>
      </c>
      <c r="F8" s="2584" t="s">
        <v>2528</v>
      </c>
    </row>
    <row r="9" spans="1:6">
      <c r="A9" s="2582">
        <f>'数据-取费表'!AN9</f>
        <v>0</v>
      </c>
      <c r="B9" s="2581" t="e">
        <f ca="1">IF(F9="是",'数据-取费表'!AO9,0)</f>
        <v>#REF!</v>
      </c>
      <c r="C9" s="2572" t="s">
        <v>2522</v>
      </c>
      <c r="D9" s="2575"/>
      <c r="E9" s="2583">
        <f>IF(OR(A9=0,F9="否"),0,'数据-取费表'!K9+'数据-取费表'!S9)</f>
        <v>0</v>
      </c>
      <c r="F9" s="2584" t="s">
        <v>2528</v>
      </c>
    </row>
    <row r="10" spans="1:6">
      <c r="A10" s="2582">
        <f>'数据-取费表'!AN10</f>
        <v>0</v>
      </c>
      <c r="B10" s="2581" t="e">
        <f ca="1">IF(F10="是",'数据-取费表'!AO10,0)</f>
        <v>#REF!</v>
      </c>
      <c r="C10" s="2572" t="s">
        <v>2522</v>
      </c>
      <c r="D10" s="2575"/>
      <c r="E10" s="2583">
        <f>IF(OR(A10=0,F10="否"),0,'数据-取费表'!K10+'数据-取费表'!S10)</f>
        <v>0</v>
      </c>
      <c r="F10" s="2584" t="s">
        <v>2528</v>
      </c>
    </row>
    <row r="11" spans="1:6">
      <c r="A11" s="2582">
        <f>'数据-取费表'!AN11</f>
        <v>0</v>
      </c>
      <c r="B11" s="2581" t="e">
        <f ca="1">IF(F11="是",'数据-取费表'!AO11,0)</f>
        <v>#REF!</v>
      </c>
      <c r="C11" s="2572" t="s">
        <v>2522</v>
      </c>
      <c r="D11" s="2575"/>
      <c r="E11" s="2583">
        <f>IF(OR(A11=0,F11="否"),0,'数据-取费表'!K11+'数据-取费表'!S11)</f>
        <v>0</v>
      </c>
      <c r="F11" s="2584" t="s">
        <v>2528</v>
      </c>
    </row>
    <row r="12" spans="1:6">
      <c r="A12" s="2582">
        <f>'数据-取费表'!AN12</f>
        <v>0</v>
      </c>
      <c r="B12" s="2581" t="e">
        <f ca="1">IF(F12="是",'数据-取费表'!AO12,0)</f>
        <v>#REF!</v>
      </c>
      <c r="C12" s="2572" t="s">
        <v>2522</v>
      </c>
      <c r="D12" s="2575"/>
      <c r="E12" s="2583">
        <f>IF(OR(A12=0,F12="否"),0,'数据-取费表'!K12+'数据-取费表'!S12)</f>
        <v>0</v>
      </c>
      <c r="F12" s="2584" t="s">
        <v>2528</v>
      </c>
    </row>
    <row r="13" spans="1:6" ht="15" thickBot="1">
      <c r="A13" s="2585">
        <f>'数据-取费表'!AN13</f>
        <v>0</v>
      </c>
      <c r="B13" s="2581" t="e">
        <f ca="1">IF(F13="是",'数据-取费表'!AO13,0)</f>
        <v>#REF!</v>
      </c>
      <c r="C13" s="2586" t="s">
        <v>2522</v>
      </c>
      <c r="D13" s="2587"/>
      <c r="E13" s="2583">
        <f>IF(OR(A13=0,F13="否"),0,'数据-取费表'!K13+'数据-取费表'!S13)</f>
        <v>0</v>
      </c>
      <c r="F13" s="2584" t="s">
        <v>2528</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3" t="s">
        <v>1076</v>
      </c>
      <c r="B1" s="3244"/>
      <c r="C1" s="3245"/>
      <c r="D1" s="3246">
        <f>SUM(I10,I15,I20,I21,I23)</f>
        <v>0</v>
      </c>
      <c r="E1" s="3246"/>
      <c r="F1" s="3246"/>
      <c r="G1" s="3246"/>
      <c r="H1" s="3246"/>
      <c r="I1" s="3247"/>
    </row>
    <row r="2" spans="1:9">
      <c r="A2" s="3233" t="s">
        <v>1077</v>
      </c>
      <c r="B2" s="3234" t="s">
        <v>1078</v>
      </c>
      <c r="C2" s="3234"/>
      <c r="D2" s="1304" t="s">
        <v>1079</v>
      </c>
      <c r="E2" s="1304" t="s">
        <v>1080</v>
      </c>
      <c r="F2" s="1304" t="s">
        <v>1081</v>
      </c>
      <c r="G2" s="1304" t="s">
        <v>1082</v>
      </c>
      <c r="H2" s="1304" t="s">
        <v>1083</v>
      </c>
      <c r="I2" s="1305" t="s">
        <v>1084</v>
      </c>
    </row>
    <row r="3" spans="1:9">
      <c r="A3" s="3233"/>
      <c r="B3" s="3234" t="s">
        <v>1085</v>
      </c>
      <c r="C3" s="3234"/>
      <c r="D3" s="1306"/>
      <c r="E3" s="1304"/>
      <c r="F3" s="1307"/>
      <c r="G3" s="1307"/>
      <c r="H3" s="1308"/>
      <c r="I3" s="1309">
        <f>ROUND(D3*E3*F3*G3*H3/10000,0)</f>
        <v>0</v>
      </c>
    </row>
    <row r="4" spans="1:9">
      <c r="A4" s="3233"/>
      <c r="B4" s="3234" t="s">
        <v>1086</v>
      </c>
      <c r="C4" s="3234"/>
      <c r="D4" s="1306"/>
      <c r="E4" s="1304"/>
      <c r="F4" s="1307"/>
      <c r="G4" s="1307"/>
      <c r="H4" s="1308"/>
      <c r="I4" s="1309">
        <f t="shared" ref="I4:I9" si="0">ROUND(D4*E4*F4*G4*H4/10000,0)</f>
        <v>0</v>
      </c>
    </row>
    <row r="5" spans="1:9">
      <c r="A5" s="3233"/>
      <c r="B5" s="3234" t="s">
        <v>1087</v>
      </c>
      <c r="C5" s="3234"/>
      <c r="D5" s="1306"/>
      <c r="E5" s="1304"/>
      <c r="F5" s="1307"/>
      <c r="G5" s="1307"/>
      <c r="H5" s="1308"/>
      <c r="I5" s="1309">
        <f t="shared" si="0"/>
        <v>0</v>
      </c>
    </row>
    <row r="6" spans="1:9">
      <c r="A6" s="3233"/>
      <c r="B6" s="3234" t="s">
        <v>1088</v>
      </c>
      <c r="C6" s="3234"/>
      <c r="D6" s="1306"/>
      <c r="E6" s="1304"/>
      <c r="F6" s="1307"/>
      <c r="G6" s="1307"/>
      <c r="H6" s="1308"/>
      <c r="I6" s="1309">
        <f t="shared" si="0"/>
        <v>0</v>
      </c>
    </row>
    <row r="7" spans="1:9">
      <c r="A7" s="3233"/>
      <c r="B7" s="3234" t="s">
        <v>1089</v>
      </c>
      <c r="C7" s="3234"/>
      <c r="D7" s="1306"/>
      <c r="E7" s="1304"/>
      <c r="F7" s="1307"/>
      <c r="G7" s="1307"/>
      <c r="H7" s="1308"/>
      <c r="I7" s="1309">
        <f t="shared" si="0"/>
        <v>0</v>
      </c>
    </row>
    <row r="8" spans="1:9">
      <c r="A8" s="3233"/>
      <c r="B8" s="3234" t="s">
        <v>1090</v>
      </c>
      <c r="C8" s="3234"/>
      <c r="D8" s="1306"/>
      <c r="E8" s="1304"/>
      <c r="F8" s="1307"/>
      <c r="G8" s="1307"/>
      <c r="H8" s="1308"/>
      <c r="I8" s="1309">
        <f t="shared" si="0"/>
        <v>0</v>
      </c>
    </row>
    <row r="9" spans="1:9">
      <c r="A9" s="3233"/>
      <c r="B9" s="3234" t="s">
        <v>1091</v>
      </c>
      <c r="C9" s="3234"/>
      <c r="D9" s="1306"/>
      <c r="E9" s="1304"/>
      <c r="F9" s="1307"/>
      <c r="G9" s="1307"/>
      <c r="H9" s="1308"/>
      <c r="I9" s="1309">
        <f t="shared" si="0"/>
        <v>0</v>
      </c>
    </row>
    <row r="10" spans="1:9">
      <c r="A10" s="3233"/>
      <c r="B10" s="3235" t="s">
        <v>1092</v>
      </c>
      <c r="C10" s="3235"/>
      <c r="D10" s="1310"/>
      <c r="E10" s="1310" t="e">
        <f>ROUND(D1*10000/D10/H9,0)</f>
        <v>#DIV/0!</v>
      </c>
      <c r="F10" s="1311"/>
      <c r="G10" s="1311"/>
      <c r="H10" s="1312"/>
      <c r="I10" s="1313">
        <f>SUM(I3:I9)</f>
        <v>0</v>
      </c>
    </row>
    <row r="11" spans="1:9" ht="14.25">
      <c r="A11" s="3233" t="s">
        <v>1093</v>
      </c>
      <c r="B11" s="3234" t="s">
        <v>1094</v>
      </c>
      <c r="C11" s="3234"/>
      <c r="D11" s="1306" t="s">
        <v>1095</v>
      </c>
      <c r="E11" s="1306" t="s">
        <v>1096</v>
      </c>
      <c r="F11" s="1307" t="s">
        <v>1097</v>
      </c>
      <c r="G11" s="1307" t="s">
        <v>1083</v>
      </c>
      <c r="H11" s="1314" t="s">
        <v>1098</v>
      </c>
      <c r="I11" s="1305" t="s">
        <v>1084</v>
      </c>
    </row>
    <row r="12" spans="1:9">
      <c r="A12" s="3233"/>
      <c r="B12" s="3234" t="s">
        <v>1099</v>
      </c>
      <c r="C12" s="3234"/>
      <c r="D12" s="1306"/>
      <c r="E12" s="1306"/>
      <c r="F12" s="1307"/>
      <c r="G12" s="1308"/>
      <c r="H12" s="1315"/>
      <c r="I12" s="1305">
        <f>ROUND(D12*E12*F12*G12/10000,0)</f>
        <v>0</v>
      </c>
    </row>
    <row r="13" spans="1:9">
      <c r="A13" s="3233"/>
      <c r="B13" s="3234" t="s">
        <v>1100</v>
      </c>
      <c r="C13" s="3234"/>
      <c r="D13" s="1306"/>
      <c r="E13" s="1306"/>
      <c r="F13" s="1307"/>
      <c r="G13" s="1308"/>
      <c r="H13" s="1315"/>
      <c r="I13" s="1305">
        <f>ROUND(D13*E13*F13*G13/10000,0)</f>
        <v>0</v>
      </c>
    </row>
    <row r="14" spans="1:9">
      <c r="A14" s="3233"/>
      <c r="B14" s="3234" t="s">
        <v>1101</v>
      </c>
      <c r="C14" s="3234"/>
      <c r="D14" s="1306"/>
      <c r="E14" s="1306"/>
      <c r="F14" s="1307"/>
      <c r="G14" s="1308"/>
      <c r="H14" s="1315"/>
      <c r="I14" s="1305">
        <f>ROUND(D14*E14*F14*G14/10000,0)</f>
        <v>0</v>
      </c>
    </row>
    <row r="15" spans="1:9">
      <c r="A15" s="3233"/>
      <c r="B15" s="3235" t="s">
        <v>1092</v>
      </c>
      <c r="C15" s="3235"/>
      <c r="D15" s="1310"/>
      <c r="E15" s="1310">
        <f>SUM(E12:E14)</f>
        <v>0</v>
      </c>
      <c r="F15" s="1311"/>
      <c r="G15" s="1308"/>
      <c r="H15" s="1315"/>
      <c r="I15" s="1316">
        <f>SUM(I12:I14)</f>
        <v>0</v>
      </c>
    </row>
    <row r="16" spans="1:9" ht="24">
      <c r="A16" s="3233" t="s">
        <v>1102</v>
      </c>
      <c r="B16" s="3234" t="s">
        <v>1103</v>
      </c>
      <c r="C16" s="3234"/>
      <c r="D16" s="1306" t="s">
        <v>1079</v>
      </c>
      <c r="E16" s="1317" t="s">
        <v>1104</v>
      </c>
      <c r="F16" s="1307" t="s">
        <v>1105</v>
      </c>
      <c r="G16" s="1308" t="s">
        <v>1083</v>
      </c>
      <c r="H16" s="1314" t="s">
        <v>1098</v>
      </c>
      <c r="I16" s="1305" t="s">
        <v>1084</v>
      </c>
    </row>
    <row r="17" spans="1:9" ht="14.25">
      <c r="A17" s="3233"/>
      <c r="B17" s="3234" t="s">
        <v>1106</v>
      </c>
      <c r="C17" s="3234"/>
      <c r="D17" s="1306"/>
      <c r="E17" s="1306"/>
      <c r="F17" s="1307"/>
      <c r="G17" s="1308"/>
      <c r="H17" s="1318"/>
      <c r="I17" s="1319">
        <f>ROUND(D17*E17*F17*G17/10000,0)</f>
        <v>0</v>
      </c>
    </row>
    <row r="18" spans="1:9" ht="14.25">
      <c r="A18" s="3233"/>
      <c r="B18" s="3234" t="s">
        <v>1107</v>
      </c>
      <c r="C18" s="3234"/>
      <c r="D18" s="1306"/>
      <c r="E18" s="1306"/>
      <c r="F18" s="1307"/>
      <c r="G18" s="1308"/>
      <c r="H18" s="1318"/>
      <c r="I18" s="1319">
        <f>ROUND(D18*E18*F18*G18/10000,0)</f>
        <v>0</v>
      </c>
    </row>
    <row r="19" spans="1:9" ht="14.25">
      <c r="A19" s="3233"/>
      <c r="B19" s="3234" t="s">
        <v>1108</v>
      </c>
      <c r="C19" s="3234"/>
      <c r="D19" s="1306"/>
      <c r="E19" s="1306"/>
      <c r="F19" s="1307"/>
      <c r="G19" s="1308"/>
      <c r="H19" s="1318"/>
      <c r="I19" s="1319">
        <f>ROUND(D19*E19*F19*G19/10000,0)</f>
        <v>0</v>
      </c>
    </row>
    <row r="20" spans="1:9">
      <c r="A20" s="3233"/>
      <c r="B20" s="3235" t="s">
        <v>1092</v>
      </c>
      <c r="C20" s="3235"/>
      <c r="D20" s="1310">
        <f>SUM(D17:D19)</f>
        <v>0</v>
      </c>
      <c r="E20" s="1310"/>
      <c r="F20" s="1311"/>
      <c r="G20" s="1308"/>
      <c r="H20" s="1315"/>
      <c r="I20" s="1316">
        <f>SUM(I17:I19)</f>
        <v>0</v>
      </c>
    </row>
    <row r="21" spans="1:9">
      <c r="A21" s="3233" t="s">
        <v>1109</v>
      </c>
      <c r="B21" s="3236"/>
      <c r="C21" s="3236"/>
      <c r="D21" s="3236"/>
      <c r="E21" s="3236"/>
      <c r="F21" s="3236"/>
      <c r="G21" s="3236"/>
      <c r="H21" s="1767">
        <v>0.1</v>
      </c>
      <c r="I21" s="1313">
        <f>ROUND(I10*H21,0)</f>
        <v>0</v>
      </c>
    </row>
    <row r="22" spans="1:9" ht="14.25">
      <c r="A22" s="3237" t="s">
        <v>1110</v>
      </c>
      <c r="B22" s="3238"/>
      <c r="C22" s="3239"/>
      <c r="D22" s="1320" t="s">
        <v>1111</v>
      </c>
      <c r="E22" s="1320" t="s">
        <v>1112</v>
      </c>
      <c r="F22" s="1321" t="s">
        <v>1113</v>
      </c>
      <c r="G22" s="1321" t="s">
        <v>1114</v>
      </c>
      <c r="H22" s="1314" t="s">
        <v>1115</v>
      </c>
      <c r="I22" s="1305" t="s">
        <v>1116</v>
      </c>
    </row>
    <row r="23" spans="1:9" ht="14.25" thickBot="1">
      <c r="A23" s="3240"/>
      <c r="B23" s="3241"/>
      <c r="C23" s="3242"/>
      <c r="D23" s="1322"/>
      <c r="E23" s="1322"/>
      <c r="F23" s="1322"/>
      <c r="G23" s="1323"/>
      <c r="H23" s="1324"/>
      <c r="I23" s="1325">
        <f>ROUND(E23*D23*F23*(1-G23)/10000,0)</f>
        <v>0</v>
      </c>
    </row>
    <row r="26" spans="1:9">
      <c r="A26" s="1326" t="s">
        <v>1117</v>
      </c>
      <c r="B26" s="1326"/>
      <c r="C26" s="1326"/>
      <c r="D26" s="1326"/>
      <c r="E26" s="3230">
        <f>C27-C30-C31-C32</f>
        <v>0</v>
      </c>
      <c r="F26" s="3230"/>
      <c r="G26" s="3230"/>
      <c r="H26" s="1740" t="s">
        <v>1340</v>
      </c>
    </row>
    <row r="27" spans="1:9">
      <c r="A27" s="1327">
        <v>1</v>
      </c>
      <c r="B27" s="1328" t="s">
        <v>1118</v>
      </c>
      <c r="C27" s="1328">
        <f>C28+C29</f>
        <v>0</v>
      </c>
      <c r="D27" s="1328"/>
      <c r="E27" s="3231"/>
      <c r="F27" s="3231"/>
      <c r="G27" s="3231"/>
    </row>
    <row r="28" spans="1:9">
      <c r="A28" s="1329" t="s">
        <v>1119</v>
      </c>
      <c r="B28" s="1328" t="s">
        <v>1120</v>
      </c>
      <c r="C28" s="1328"/>
      <c r="D28" s="1328"/>
      <c r="E28" s="3231"/>
      <c r="F28" s="3231"/>
      <c r="G28" s="3231"/>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32"/>
      <c r="F32" s="3232"/>
      <c r="G32" s="3232"/>
    </row>
    <row r="33" spans="1:7" hidden="1">
      <c r="A33" s="3227" t="s">
        <v>1129</v>
      </c>
      <c r="B33" s="3228"/>
      <c r="C33" s="3228"/>
      <c r="D33" s="3229"/>
      <c r="E33" s="3230"/>
      <c r="F33" s="3230"/>
      <c r="G33" s="3230"/>
    </row>
    <row r="34" spans="1:7" hidden="1">
      <c r="A34" s="1331">
        <v>1</v>
      </c>
      <c r="B34" s="1328" t="s">
        <v>1130</v>
      </c>
      <c r="C34" s="1328"/>
      <c r="D34" s="1328"/>
      <c r="E34" s="3231"/>
      <c r="F34" s="3231"/>
      <c r="G34" s="3231"/>
    </row>
    <row r="35" spans="1:7" hidden="1">
      <c r="A35" s="1331">
        <v>2</v>
      </c>
      <c r="B35" s="1328" t="s">
        <v>1131</v>
      </c>
      <c r="C35" s="1328"/>
      <c r="D35" s="1328"/>
      <c r="E35" s="3231"/>
      <c r="F35" s="3231"/>
      <c r="G35" s="3231"/>
    </row>
    <row r="36" spans="1:7" hidden="1">
      <c r="A36" s="1331">
        <v>3</v>
      </c>
      <c r="B36" s="1328" t="s">
        <v>1132</v>
      </c>
      <c r="C36" s="1328"/>
      <c r="D36" s="1328"/>
      <c r="E36" s="3231"/>
      <c r="F36" s="3231"/>
      <c r="G36" s="3231"/>
    </row>
    <row r="37" spans="1:7" hidden="1">
      <c r="A37" s="1331">
        <v>4</v>
      </c>
      <c r="B37" s="1328" t="s">
        <v>1133</v>
      </c>
      <c r="C37" s="1328"/>
      <c r="D37" s="1328"/>
      <c r="E37" s="3231"/>
      <c r="F37" s="3231"/>
      <c r="G37" s="3231"/>
    </row>
    <row r="38" spans="1:7" hidden="1">
      <c r="A38" s="3227" t="s">
        <v>1134</v>
      </c>
      <c r="B38" s="3228"/>
      <c r="C38" s="3228"/>
      <c r="D38" s="3229"/>
      <c r="E38" s="3230"/>
      <c r="F38" s="3230"/>
      <c r="G38" s="323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8" t="s">
        <v>2532</v>
      </c>
      <c r="C1" s="1637" t="s">
        <v>2533</v>
      </c>
      <c r="D1" s="1624"/>
      <c r="E1" s="2589"/>
      <c r="F1" s="2590" t="s">
        <v>2534</v>
      </c>
      <c r="G1" s="1634" t="s">
        <v>2535</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2"/>
      <c r="D2" s="1368" t="e">
        <f ca="1">SUMIF(INDIRECT("'"&amp;F2&amp;"'"&amp;"!A:A"),"承租人权益价值",INDIRECT("'"&amp;F2&amp;"'"&amp;"!c:c"))</f>
        <v>#REF!</v>
      </c>
      <c r="E2" s="2593" t="s">
        <v>2536</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1395</v>
      </c>
      <c r="B3" s="399" t="e">
        <f ca="1">IF(C2="——",C49,ROUND(B2*10000/D3,0))</f>
        <v>#DIV/0!</v>
      </c>
      <c r="C3" s="400" t="s">
        <v>2537</v>
      </c>
      <c r="D3" s="399">
        <f>IF(D1="",'数据-汇总表'!E3,SUMIF('数据-汇总表'!$C19:$C33,D1,'数据-汇总表'!$E19:$E33))</f>
        <v>41596.89</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2538</v>
      </c>
      <c r="B4" s="402"/>
      <c r="C4" s="3266" t="s">
        <v>2539</v>
      </c>
      <c r="D4" s="3267"/>
      <c r="E4" s="3268" t="s">
        <v>2540</v>
      </c>
      <c r="F4" s="3269"/>
      <c r="G4" s="3266" t="s">
        <v>2541</v>
      </c>
      <c r="H4" s="3267"/>
      <c r="I4" s="3266" t="s">
        <v>2542</v>
      </c>
      <c r="J4" s="3267"/>
      <c r="K4" s="2602" t="s">
        <v>2543</v>
      </c>
      <c r="L4" s="1133"/>
      <c r="M4" s="1134"/>
      <c r="N4" s="1134"/>
      <c r="O4" s="1134"/>
      <c r="P4" s="3270" t="s">
        <v>2544</v>
      </c>
      <c r="Q4" s="3271"/>
      <c r="R4" s="3276" t="s">
        <v>2540</v>
      </c>
      <c r="S4" s="3277"/>
      <c r="T4" s="3276" t="s">
        <v>2541</v>
      </c>
      <c r="U4" s="3277"/>
      <c r="V4" s="3282" t="s">
        <v>2542</v>
      </c>
      <c r="W4" s="3282"/>
      <c r="X4" s="1815"/>
      <c r="Y4" s="3276" t="s">
        <v>2544</v>
      </c>
      <c r="Z4" s="3277"/>
      <c r="AA4" s="3263" t="s">
        <v>2540</v>
      </c>
      <c r="AB4" s="3263" t="s">
        <v>2541</v>
      </c>
      <c r="AC4" s="3263" t="s">
        <v>2542</v>
      </c>
    </row>
    <row r="5" spans="1:29" ht="15">
      <c r="A5" s="404"/>
      <c r="B5" s="405"/>
      <c r="C5" s="3285" t="s">
        <v>2545</v>
      </c>
      <c r="D5" s="3286"/>
      <c r="E5" s="3292" t="s">
        <v>2546</v>
      </c>
      <c r="F5" s="3293"/>
      <c r="G5" s="3285" t="s">
        <v>2547</v>
      </c>
      <c r="H5" s="3286"/>
      <c r="I5" s="3285" t="s">
        <v>2548</v>
      </c>
      <c r="J5" s="3286"/>
      <c r="K5" s="2603"/>
      <c r="L5" s="1133"/>
      <c r="M5" s="1134"/>
      <c r="N5" s="1134"/>
      <c r="O5" s="1134"/>
      <c r="P5" s="3272"/>
      <c r="Q5" s="3273"/>
      <c r="R5" s="3278"/>
      <c r="S5" s="3279"/>
      <c r="T5" s="3278"/>
      <c r="U5" s="3279"/>
      <c r="V5" s="3282"/>
      <c r="W5" s="3282"/>
      <c r="X5" s="1815"/>
      <c r="Y5" s="3278"/>
      <c r="Z5" s="3279"/>
      <c r="AA5" s="3264"/>
      <c r="AB5" s="3264"/>
      <c r="AC5" s="3264"/>
    </row>
    <row r="6" spans="1:29" ht="15.75" thickBot="1">
      <c r="A6" s="406"/>
      <c r="B6" s="407"/>
      <c r="C6" s="3283" t="s">
        <v>2549</v>
      </c>
      <c r="D6" s="3284"/>
      <c r="E6" s="3290" t="s">
        <v>2549</v>
      </c>
      <c r="F6" s="3291"/>
      <c r="G6" s="3283" t="s">
        <v>2549</v>
      </c>
      <c r="H6" s="3284"/>
      <c r="I6" s="3283" t="s">
        <v>2549</v>
      </c>
      <c r="J6" s="3284"/>
      <c r="K6" s="2603" t="s">
        <v>2550</v>
      </c>
      <c r="L6" s="1133"/>
      <c r="M6" s="1134"/>
      <c r="N6" s="1134"/>
      <c r="O6" s="1134"/>
      <c r="P6" s="3274"/>
      <c r="Q6" s="3275"/>
      <c r="R6" s="3278"/>
      <c r="S6" s="3279"/>
      <c r="T6" s="3280"/>
      <c r="U6" s="3281"/>
      <c r="V6" s="3282"/>
      <c r="W6" s="3282"/>
      <c r="X6" s="1815"/>
      <c r="Y6" s="3280"/>
      <c r="Z6" s="3281"/>
      <c r="AA6" s="3265"/>
      <c r="AB6" s="3265"/>
      <c r="AC6" s="3265"/>
    </row>
    <row r="7" spans="1:29" s="117" customFormat="1" ht="15.75" thickBot="1">
      <c r="A7" s="408" t="s">
        <v>2551</v>
      </c>
      <c r="B7" s="409"/>
      <c r="C7" s="410">
        <f>'数据-取费表'!B2</f>
        <v>43131</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287" t="s">
        <v>2552</v>
      </c>
      <c r="Q7" s="3289"/>
      <c r="R7" s="770" t="s">
        <v>23</v>
      </c>
      <c r="S7" s="771">
        <f t="shared" ref="S7:S15" si="0">F7</f>
        <v>0</v>
      </c>
      <c r="T7" s="770" t="s">
        <v>23</v>
      </c>
      <c r="U7" s="771">
        <f t="shared" ref="U7:U15" si="1">H7</f>
        <v>0</v>
      </c>
      <c r="V7" s="770" t="s">
        <v>23</v>
      </c>
      <c r="W7" s="771">
        <f t="shared" ref="W7:W15" si="2">J7</f>
        <v>0</v>
      </c>
      <c r="X7" s="772"/>
      <c r="Y7" s="3287" t="s">
        <v>2552</v>
      </c>
      <c r="Z7" s="3288"/>
      <c r="AA7" s="773" t="e">
        <f>D7/F7</f>
        <v>#DIV/0!</v>
      </c>
      <c r="AB7" s="773" t="e">
        <f>D7/H7</f>
        <v>#DIV/0!</v>
      </c>
      <c r="AC7" s="773" t="e">
        <f>D7/J7</f>
        <v>#DIV/0!</v>
      </c>
    </row>
    <row r="8" spans="1:29" s="117" customFormat="1" ht="15.75" thickBot="1">
      <c r="A8" s="408" t="s">
        <v>2553</v>
      </c>
      <c r="B8" s="409"/>
      <c r="C8" s="414" t="s">
        <v>2554</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287" t="s">
        <v>2555</v>
      </c>
      <c r="Q8" s="3288"/>
      <c r="R8" s="770" t="s">
        <v>23</v>
      </c>
      <c r="S8" s="771">
        <f t="shared" si="0"/>
        <v>0</v>
      </c>
      <c r="T8" s="770" t="s">
        <v>23</v>
      </c>
      <c r="U8" s="771">
        <f t="shared" si="1"/>
        <v>0</v>
      </c>
      <c r="V8" s="770" t="s">
        <v>23</v>
      </c>
      <c r="W8" s="771">
        <f t="shared" si="2"/>
        <v>0</v>
      </c>
      <c r="X8" s="772"/>
      <c r="Y8" s="3287" t="s">
        <v>2555</v>
      </c>
      <c r="Z8" s="3288"/>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262" t="s">
        <v>2558</v>
      </c>
      <c r="Q9" s="1797" t="str">
        <f t="shared" ref="Q9:Q15" si="6">B9</f>
        <v>用途</v>
      </c>
      <c r="R9" s="770" t="s">
        <v>17</v>
      </c>
      <c r="S9" s="771">
        <f t="shared" si="0"/>
        <v>100</v>
      </c>
      <c r="T9" s="770" t="s">
        <v>17</v>
      </c>
      <c r="U9" s="771">
        <f t="shared" si="1"/>
        <v>100</v>
      </c>
      <c r="V9" s="770" t="s">
        <v>17</v>
      </c>
      <c r="W9" s="771">
        <f t="shared" si="2"/>
        <v>100</v>
      </c>
      <c r="X9" s="772"/>
      <c r="Y9" s="3046"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62"/>
      <c r="Q10" s="1797"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62"/>
      <c r="Q11" s="1797" t="str">
        <f t="shared" si="6"/>
        <v>容积率</v>
      </c>
      <c r="R11" s="770" t="s">
        <v>21</v>
      </c>
      <c r="S11" s="771" t="e">
        <f t="shared" si="0"/>
        <v>#N/A</v>
      </c>
      <c r="T11" s="770" t="s">
        <v>21</v>
      </c>
      <c r="U11" s="771" t="e">
        <f t="shared" si="1"/>
        <v>#N/A</v>
      </c>
      <c r="V11" s="770" t="s">
        <v>21</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262"/>
      <c r="Q12" s="1797">
        <f t="shared" si="6"/>
        <v>111</v>
      </c>
      <c r="R12" s="770" t="s">
        <v>21</v>
      </c>
      <c r="S12" s="771">
        <f t="shared" si="0"/>
        <v>100</v>
      </c>
      <c r="T12" s="770" t="s">
        <v>21</v>
      </c>
      <c r="U12" s="771">
        <f t="shared" si="1"/>
        <v>100</v>
      </c>
      <c r="V12" s="770" t="s">
        <v>21</v>
      </c>
      <c r="W12" s="771">
        <f t="shared" si="2"/>
        <v>100</v>
      </c>
      <c r="X12" s="772"/>
      <c r="Y12" s="3046"/>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262"/>
      <c r="Q13" s="1797">
        <f t="shared" si="6"/>
        <v>111</v>
      </c>
      <c r="R13" s="770" t="s">
        <v>21</v>
      </c>
      <c r="S13" s="771">
        <f t="shared" si="0"/>
        <v>100</v>
      </c>
      <c r="T13" s="770" t="s">
        <v>21</v>
      </c>
      <c r="U13" s="771">
        <f t="shared" si="1"/>
        <v>100</v>
      </c>
      <c r="V13" s="770" t="s">
        <v>21</v>
      </c>
      <c r="W13" s="771">
        <f t="shared" si="2"/>
        <v>100</v>
      </c>
      <c r="X13" s="772"/>
      <c r="Y13" s="3046"/>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262"/>
      <c r="Q14" s="1797">
        <f t="shared" si="6"/>
        <v>111</v>
      </c>
      <c r="R14" s="770" t="s">
        <v>21</v>
      </c>
      <c r="S14" s="771">
        <f t="shared" si="0"/>
        <v>100</v>
      </c>
      <c r="T14" s="770" t="s">
        <v>21</v>
      </c>
      <c r="U14" s="771">
        <f t="shared" si="1"/>
        <v>100</v>
      </c>
      <c r="V14" s="770" t="s">
        <v>21</v>
      </c>
      <c r="W14" s="771">
        <f t="shared" si="2"/>
        <v>100</v>
      </c>
      <c r="X14" s="772"/>
      <c r="Y14" s="3046"/>
      <c r="Z14" s="55">
        <f t="shared" si="7"/>
        <v>111</v>
      </c>
      <c r="AA14" s="773">
        <f t="shared" si="3"/>
        <v>1</v>
      </c>
      <c r="AB14" s="773">
        <f t="shared" si="4"/>
        <v>1</v>
      </c>
      <c r="AC14" s="773">
        <f t="shared" si="5"/>
        <v>1</v>
      </c>
    </row>
    <row r="15" spans="1:29" ht="99.75">
      <c r="A15" s="440" t="s">
        <v>2562</v>
      </c>
      <c r="B15" s="69" t="s">
        <v>2091</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60" t="s">
        <v>2563</v>
      </c>
      <c r="Q15" s="1812" t="str">
        <f t="shared" si="6"/>
        <v>居住社区成熟度</v>
      </c>
      <c r="R15" s="774" t="s">
        <v>21</v>
      </c>
      <c r="S15" s="775">
        <f t="shared" si="0"/>
        <v>100</v>
      </c>
      <c r="T15" s="774" t="s">
        <v>21</v>
      </c>
      <c r="U15" s="775">
        <f t="shared" si="1"/>
        <v>100</v>
      </c>
      <c r="V15" s="774" t="s">
        <v>21</v>
      </c>
      <c r="W15" s="775">
        <f t="shared" si="2"/>
        <v>100</v>
      </c>
      <c r="X15" s="1815"/>
      <c r="Y15" s="3253" t="s">
        <v>2563</v>
      </c>
      <c r="Z15" s="1816" t="str">
        <f t="shared" si="7"/>
        <v>居住社区成熟度</v>
      </c>
      <c r="AA15" s="1813">
        <f t="shared" si="3"/>
        <v>1</v>
      </c>
      <c r="AB15" s="1813">
        <f t="shared" si="4"/>
        <v>1</v>
      </c>
      <c r="AC15" s="1813">
        <f t="shared" si="5"/>
        <v>1</v>
      </c>
    </row>
    <row r="16" spans="1:29" ht="15">
      <c r="A16" s="428"/>
      <c r="B16" s="446"/>
      <c r="C16" s="447"/>
      <c r="D16" s="448"/>
      <c r="E16" s="2610"/>
      <c r="F16" s="448"/>
      <c r="G16" s="2611"/>
      <c r="H16" s="450"/>
      <c r="I16" s="2611"/>
      <c r="J16" s="448"/>
      <c r="K16" s="2612"/>
      <c r="L16" s="1143"/>
      <c r="M16" s="1134"/>
      <c r="N16" s="1134"/>
      <c r="O16" s="1134"/>
      <c r="P16" s="3261"/>
      <c r="Q16" s="1812"/>
      <c r="R16" s="774"/>
      <c r="S16" s="775"/>
      <c r="T16" s="774"/>
      <c r="U16" s="775"/>
      <c r="V16" s="774"/>
      <c r="W16" s="775"/>
      <c r="X16" s="1815"/>
      <c r="Y16" s="3254"/>
      <c r="Z16" s="1816"/>
      <c r="AA16" s="1813">
        <v>1</v>
      </c>
      <c r="AB16" s="1813">
        <v>1</v>
      </c>
      <c r="AC16" s="1813">
        <v>1</v>
      </c>
    </row>
    <row r="17" spans="1:29" ht="85.5">
      <c r="A17" s="428"/>
      <c r="B17" s="451" t="s">
        <v>2103</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61"/>
      <c r="Q17" s="1812" t="str">
        <f>B17</f>
        <v>交通便捷度</v>
      </c>
      <c r="R17" s="774" t="s">
        <v>21</v>
      </c>
      <c r="S17" s="775">
        <f>F17</f>
        <v>100</v>
      </c>
      <c r="T17" s="774" t="s">
        <v>21</v>
      </c>
      <c r="U17" s="775">
        <f>H17</f>
        <v>100</v>
      </c>
      <c r="V17" s="774" t="s">
        <v>21</v>
      </c>
      <c r="W17" s="775">
        <f>J17</f>
        <v>100</v>
      </c>
      <c r="X17" s="1815"/>
      <c r="Y17" s="3254"/>
      <c r="Z17" s="1816" t="str">
        <f>Q17</f>
        <v>交通便捷度</v>
      </c>
      <c r="AA17" s="1813">
        <f t="shared" si="3"/>
        <v>1</v>
      </c>
      <c r="AB17" s="1813">
        <f t="shared" si="4"/>
        <v>1</v>
      </c>
      <c r="AC17" s="1813">
        <f t="shared" si="5"/>
        <v>1</v>
      </c>
    </row>
    <row r="18" spans="1:29" ht="15">
      <c r="A18" s="428"/>
      <c r="B18" s="456"/>
      <c r="C18" s="2614"/>
      <c r="D18" s="450"/>
      <c r="E18" s="2615"/>
      <c r="F18" s="450"/>
      <c r="G18" s="2616"/>
      <c r="H18" s="448"/>
      <c r="I18" s="2616"/>
      <c r="J18" s="448"/>
      <c r="K18" s="2612"/>
      <c r="L18" s="1143"/>
      <c r="M18" s="1134"/>
      <c r="N18" s="1134"/>
      <c r="O18" s="1134"/>
      <c r="P18" s="3261"/>
      <c r="Q18" s="1812"/>
      <c r="R18" s="774"/>
      <c r="S18" s="775"/>
      <c r="T18" s="774"/>
      <c r="U18" s="775"/>
      <c r="V18" s="774"/>
      <c r="W18" s="775"/>
      <c r="X18" s="1815"/>
      <c r="Y18" s="3254"/>
      <c r="Z18" s="1816"/>
      <c r="AA18" s="1813">
        <v>1</v>
      </c>
      <c r="AB18" s="1813">
        <v>1</v>
      </c>
      <c r="AC18" s="1813">
        <v>1</v>
      </c>
    </row>
    <row r="19" spans="1:29" ht="42.75">
      <c r="A19" s="428"/>
      <c r="B19" s="451" t="s">
        <v>2101</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61"/>
      <c r="Q19" s="1812" t="str">
        <f>B19</f>
        <v>公共配套设施</v>
      </c>
      <c r="R19" s="774" t="s">
        <v>21</v>
      </c>
      <c r="S19" s="775">
        <f>F19</f>
        <v>100</v>
      </c>
      <c r="T19" s="774" t="s">
        <v>21</v>
      </c>
      <c r="U19" s="775">
        <f>H19</f>
        <v>100</v>
      </c>
      <c r="V19" s="774" t="s">
        <v>21</v>
      </c>
      <c r="W19" s="775">
        <f>J19</f>
        <v>100</v>
      </c>
      <c r="X19" s="1815"/>
      <c r="Y19" s="3254"/>
      <c r="Z19" s="1816" t="str">
        <f>Q19</f>
        <v>公共配套设施</v>
      </c>
      <c r="AA19" s="1813">
        <f t="shared" si="3"/>
        <v>1</v>
      </c>
      <c r="AB19" s="1813">
        <f t="shared" si="4"/>
        <v>1</v>
      </c>
      <c r="AC19" s="1813">
        <f t="shared" si="5"/>
        <v>1</v>
      </c>
    </row>
    <row r="20" spans="1:29" ht="15">
      <c r="A20" s="428"/>
      <c r="B20" s="456"/>
      <c r="C20" s="447"/>
      <c r="D20" s="448"/>
      <c r="E20" s="2610"/>
      <c r="F20" s="448"/>
      <c r="G20" s="2611"/>
      <c r="H20" s="448"/>
      <c r="I20" s="2611"/>
      <c r="J20" s="448"/>
      <c r="K20" s="2612"/>
      <c r="L20" s="1143"/>
      <c r="M20" s="1134"/>
      <c r="N20" s="1134"/>
      <c r="O20" s="1134"/>
      <c r="P20" s="3261"/>
      <c r="Q20" s="1812"/>
      <c r="R20" s="774"/>
      <c r="S20" s="775"/>
      <c r="T20" s="774"/>
      <c r="U20" s="775"/>
      <c r="V20" s="774"/>
      <c r="W20" s="775"/>
      <c r="X20" s="1815"/>
      <c r="Y20" s="3254"/>
      <c r="Z20" s="1816"/>
      <c r="AA20" s="1813">
        <v>1</v>
      </c>
      <c r="AB20" s="1813">
        <v>1</v>
      </c>
      <c r="AC20" s="1813">
        <v>1</v>
      </c>
    </row>
    <row r="21" spans="1:29" ht="28.5">
      <c r="A21" s="428"/>
      <c r="B21" s="1387" t="s">
        <v>2104</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61"/>
      <c r="Q21" s="1812" t="str">
        <f>B21</f>
        <v>基础设施水平</v>
      </c>
      <c r="R21" s="774" t="s">
        <v>17</v>
      </c>
      <c r="S21" s="775">
        <f>F21</f>
        <v>100</v>
      </c>
      <c r="T21" s="774" t="s">
        <v>17</v>
      </c>
      <c r="U21" s="775">
        <f>H21</f>
        <v>100</v>
      </c>
      <c r="V21" s="774" t="s">
        <v>17</v>
      </c>
      <c r="W21" s="775">
        <f>J21</f>
        <v>100</v>
      </c>
      <c r="X21" s="1815"/>
      <c r="Y21" s="3254"/>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8"/>
      <c r="G22" s="2617"/>
      <c r="H22" s="448"/>
      <c r="I22" s="447"/>
      <c r="J22" s="448"/>
      <c r="K22" s="2618"/>
      <c r="L22" s="1143"/>
      <c r="M22" s="1134"/>
      <c r="N22" s="1134"/>
      <c r="O22" s="1134"/>
      <c r="P22" s="3261"/>
      <c r="Q22" s="1812"/>
      <c r="R22" s="774"/>
      <c r="S22" s="775"/>
      <c r="T22" s="774"/>
      <c r="U22" s="775"/>
      <c r="V22" s="774"/>
      <c r="W22" s="775"/>
      <c r="X22" s="1815"/>
      <c r="Y22" s="3254"/>
      <c r="Z22" s="1816"/>
      <c r="AA22" s="1813">
        <v>1</v>
      </c>
      <c r="AB22" s="1813">
        <v>1</v>
      </c>
      <c r="AC22" s="1813">
        <v>1</v>
      </c>
    </row>
    <row r="23" spans="1:29" ht="57">
      <c r="A23" s="428"/>
      <c r="B23" s="451" t="s">
        <v>2108</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61"/>
      <c r="Q23" s="1812" t="str">
        <f>B23</f>
        <v>自然及人文环境</v>
      </c>
      <c r="R23" s="774" t="s">
        <v>21</v>
      </c>
      <c r="S23" s="775">
        <f>F23</f>
        <v>100</v>
      </c>
      <c r="T23" s="774" t="s">
        <v>21</v>
      </c>
      <c r="U23" s="775">
        <f>H23</f>
        <v>100</v>
      </c>
      <c r="V23" s="774" t="s">
        <v>21</v>
      </c>
      <c r="W23" s="775">
        <f>J23</f>
        <v>100</v>
      </c>
      <c r="X23" s="1815"/>
      <c r="Y23" s="3254"/>
      <c r="Z23" s="1816" t="str">
        <f>Q23</f>
        <v>自然及人文环境</v>
      </c>
      <c r="AA23" s="1813">
        <f>D23/F23</f>
        <v>1</v>
      </c>
      <c r="AB23" s="1813">
        <f>D23/H23</f>
        <v>1</v>
      </c>
      <c r="AC23" s="1813">
        <f>D23/J23</f>
        <v>1</v>
      </c>
    </row>
    <row r="24" spans="1:29" ht="15">
      <c r="A24" s="428"/>
      <c r="B24" s="456"/>
      <c r="C24" s="447"/>
      <c r="D24" s="448"/>
      <c r="E24" s="2610"/>
      <c r="F24" s="448"/>
      <c r="G24" s="2611"/>
      <c r="H24" s="448"/>
      <c r="I24" s="2611"/>
      <c r="J24" s="448"/>
      <c r="K24" s="2612"/>
      <c r="L24" s="1143"/>
      <c r="M24" s="1134"/>
      <c r="N24" s="1134"/>
      <c r="O24" s="1134"/>
      <c r="P24" s="3261"/>
      <c r="Q24" s="1812"/>
      <c r="R24" s="774"/>
      <c r="S24" s="775"/>
      <c r="T24" s="774"/>
      <c r="U24" s="775"/>
      <c r="V24" s="774"/>
      <c r="W24" s="775"/>
      <c r="X24" s="1815"/>
      <c r="Y24" s="3254"/>
      <c r="Z24" s="1816"/>
      <c r="AA24" s="1813">
        <v>1</v>
      </c>
      <c r="AB24" s="1813">
        <v>1</v>
      </c>
      <c r="AC24" s="1813">
        <v>1</v>
      </c>
    </row>
    <row r="25" spans="1:29" ht="15">
      <c r="A25" s="428"/>
      <c r="B25" s="422" t="s">
        <v>2564</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261"/>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54"/>
      <c r="Z25" s="1816" t="str">
        <f>Q25</f>
        <v>楼层-1</v>
      </c>
      <c r="AA25" s="1813">
        <f t="shared" ref="AA25:AA46" si="15">D25/F25</f>
        <v>1</v>
      </c>
      <c r="AB25" s="1813">
        <f t="shared" ref="AB25:AB46" si="16">D25/H25</f>
        <v>1</v>
      </c>
      <c r="AC25" s="1813">
        <f t="shared" ref="AC25:AC46" si="17">D25/J25</f>
        <v>1</v>
      </c>
    </row>
    <row r="26" spans="1:29" ht="15">
      <c r="A26" s="428"/>
      <c r="B26" s="422" t="s">
        <v>2565</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261"/>
      <c r="Q26" s="1812" t="str">
        <f t="shared" si="11"/>
        <v>朝向</v>
      </c>
      <c r="R26" s="774" t="s">
        <v>21</v>
      </c>
      <c r="S26" s="775">
        <f t="shared" si="12"/>
        <v>100</v>
      </c>
      <c r="T26" s="774" t="s">
        <v>21</v>
      </c>
      <c r="U26" s="775">
        <f t="shared" si="13"/>
        <v>100</v>
      </c>
      <c r="V26" s="774" t="s">
        <v>21</v>
      </c>
      <c r="W26" s="775">
        <f t="shared" si="14"/>
        <v>100</v>
      </c>
      <c r="X26" s="1815"/>
      <c r="Y26" s="3254"/>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261"/>
      <c r="Q27" s="1797">
        <f t="shared" si="11"/>
        <v>111</v>
      </c>
      <c r="R27" s="770" t="s">
        <v>21</v>
      </c>
      <c r="S27" s="771">
        <f t="shared" si="12"/>
        <v>100</v>
      </c>
      <c r="T27" s="770" t="s">
        <v>21</v>
      </c>
      <c r="U27" s="771">
        <f t="shared" si="13"/>
        <v>100</v>
      </c>
      <c r="V27" s="770" t="s">
        <v>21</v>
      </c>
      <c r="W27" s="771">
        <f t="shared" si="14"/>
        <v>100</v>
      </c>
      <c r="X27" s="772"/>
      <c r="Y27" s="3254"/>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61"/>
      <c r="Q28" s="1812">
        <f t="shared" si="11"/>
        <v>111</v>
      </c>
      <c r="R28" s="774" t="s">
        <v>21</v>
      </c>
      <c r="S28" s="775">
        <f t="shared" si="12"/>
        <v>100</v>
      </c>
      <c r="T28" s="774" t="s">
        <v>21</v>
      </c>
      <c r="U28" s="775">
        <f t="shared" si="13"/>
        <v>100</v>
      </c>
      <c r="V28" s="774" t="s">
        <v>21</v>
      </c>
      <c r="W28" s="775">
        <f t="shared" si="14"/>
        <v>100</v>
      </c>
      <c r="X28" s="1815"/>
      <c r="Y28" s="3254"/>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61"/>
      <c r="Q29" s="1812">
        <f t="shared" si="11"/>
        <v>111</v>
      </c>
      <c r="R29" s="774" t="s">
        <v>21</v>
      </c>
      <c r="S29" s="775">
        <f t="shared" si="12"/>
        <v>100</v>
      </c>
      <c r="T29" s="774" t="s">
        <v>21</v>
      </c>
      <c r="U29" s="775">
        <f t="shared" si="13"/>
        <v>100</v>
      </c>
      <c r="V29" s="774" t="s">
        <v>21</v>
      </c>
      <c r="W29" s="775">
        <f t="shared" si="14"/>
        <v>100</v>
      </c>
      <c r="X29" s="1815"/>
      <c r="Y29" s="3254"/>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61"/>
      <c r="Q30" s="1812">
        <f t="shared" si="11"/>
        <v>111</v>
      </c>
      <c r="R30" s="774" t="s">
        <v>21</v>
      </c>
      <c r="S30" s="775">
        <f t="shared" si="12"/>
        <v>100</v>
      </c>
      <c r="T30" s="774" t="s">
        <v>21</v>
      </c>
      <c r="U30" s="775">
        <f t="shared" si="13"/>
        <v>100</v>
      </c>
      <c r="V30" s="774" t="s">
        <v>21</v>
      </c>
      <c r="W30" s="775">
        <f t="shared" si="14"/>
        <v>100</v>
      </c>
      <c r="X30" s="1815"/>
      <c r="Y30" s="3254"/>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61"/>
      <c r="Q31" s="1812">
        <f t="shared" si="11"/>
        <v>111</v>
      </c>
      <c r="R31" s="774" t="s">
        <v>21</v>
      </c>
      <c r="S31" s="775">
        <f t="shared" si="12"/>
        <v>100</v>
      </c>
      <c r="T31" s="774" t="s">
        <v>21</v>
      </c>
      <c r="U31" s="775">
        <f t="shared" si="13"/>
        <v>100</v>
      </c>
      <c r="V31" s="774" t="s">
        <v>21</v>
      </c>
      <c r="W31" s="775">
        <f t="shared" si="14"/>
        <v>100</v>
      </c>
      <c r="X31" s="1815"/>
      <c r="Y31" s="3254"/>
      <c r="Z31" s="1816">
        <f t="shared" si="18"/>
        <v>111</v>
      </c>
      <c r="AA31" s="1813">
        <f t="shared" si="15"/>
        <v>1</v>
      </c>
      <c r="AB31" s="1813">
        <f t="shared" si="16"/>
        <v>1</v>
      </c>
      <c r="AC31" s="1813">
        <f t="shared" si="17"/>
        <v>1</v>
      </c>
    </row>
    <row r="32" spans="1:29" ht="15">
      <c r="A32" s="440" t="s">
        <v>2566</v>
      </c>
      <c r="B32" s="71" t="s">
        <v>2567</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255" t="s">
        <v>2568</v>
      </c>
      <c r="Q32" s="1812" t="str">
        <f t="shared" si="11"/>
        <v>建筑类型</v>
      </c>
      <c r="R32" s="774" t="s">
        <v>21</v>
      </c>
      <c r="S32" s="775">
        <f t="shared" si="12"/>
        <v>100</v>
      </c>
      <c r="T32" s="774" t="s">
        <v>21</v>
      </c>
      <c r="U32" s="775">
        <f t="shared" si="13"/>
        <v>100</v>
      </c>
      <c r="V32" s="774" t="s">
        <v>21</v>
      </c>
      <c r="W32" s="775">
        <f t="shared" si="14"/>
        <v>100</v>
      </c>
      <c r="X32" s="1815"/>
      <c r="Y32" s="3258" t="s">
        <v>2568</v>
      </c>
      <c r="Z32" s="1816" t="str">
        <f t="shared" si="18"/>
        <v>建筑类型</v>
      </c>
      <c r="AA32" s="1813">
        <f t="shared" si="15"/>
        <v>1</v>
      </c>
      <c r="AB32" s="1813">
        <f t="shared" si="16"/>
        <v>1</v>
      </c>
      <c r="AC32" s="1813">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256"/>
      <c r="Q33" s="776" t="str">
        <f t="shared" si="11"/>
        <v>项目建筑规模</v>
      </c>
      <c r="R33" s="777" t="s">
        <v>21</v>
      </c>
      <c r="S33" s="778" t="e">
        <f t="shared" si="12"/>
        <v>#N/A</v>
      </c>
      <c r="T33" s="777" t="s">
        <v>21</v>
      </c>
      <c r="U33" s="778" t="e">
        <f t="shared" si="13"/>
        <v>#N/A</v>
      </c>
      <c r="V33" s="777" t="s">
        <v>21</v>
      </c>
      <c r="W33" s="778" t="e">
        <f t="shared" si="14"/>
        <v>#N/A</v>
      </c>
      <c r="X33" s="779"/>
      <c r="Y33" s="3258"/>
      <c r="Z33" s="780" t="str">
        <f t="shared" si="18"/>
        <v>项目建筑规模</v>
      </c>
      <c r="AA33" s="1813" t="e">
        <f t="shared" si="15"/>
        <v>#N/A</v>
      </c>
      <c r="AB33" s="1813" t="e">
        <f t="shared" si="16"/>
        <v>#N/A</v>
      </c>
      <c r="AC33" s="1813" t="e">
        <f t="shared" si="17"/>
        <v>#N/A</v>
      </c>
    </row>
    <row r="34" spans="1:29" ht="15">
      <c r="A34" s="472"/>
      <c r="B34" s="422" t="s">
        <v>2570</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256"/>
      <c r="Q34" s="1812" t="str">
        <f t="shared" si="11"/>
        <v>建筑结构</v>
      </c>
      <c r="R34" s="774" t="s">
        <v>21</v>
      </c>
      <c r="S34" s="775">
        <f t="shared" si="12"/>
        <v>100</v>
      </c>
      <c r="T34" s="774" t="s">
        <v>21</v>
      </c>
      <c r="U34" s="775">
        <f t="shared" si="13"/>
        <v>100</v>
      </c>
      <c r="V34" s="774" t="s">
        <v>21</v>
      </c>
      <c r="W34" s="775">
        <f t="shared" si="14"/>
        <v>100</v>
      </c>
      <c r="X34" s="1815"/>
      <c r="Y34" s="3258"/>
      <c r="Z34" s="1816" t="str">
        <f t="shared" si="18"/>
        <v>建筑结构</v>
      </c>
      <c r="AA34" s="1813">
        <f t="shared" si="15"/>
        <v>1</v>
      </c>
      <c r="AB34" s="1813">
        <f t="shared" si="16"/>
        <v>1</v>
      </c>
      <c r="AC34" s="1813">
        <f t="shared" si="17"/>
        <v>1</v>
      </c>
    </row>
    <row r="35" spans="1:29" ht="15">
      <c r="A35" s="472"/>
      <c r="B35" s="422" t="s">
        <v>2571</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256"/>
      <c r="Q35" s="1812" t="str">
        <f t="shared" si="11"/>
        <v>建筑品质</v>
      </c>
      <c r="R35" s="774" t="s">
        <v>21</v>
      </c>
      <c r="S35" s="775">
        <f t="shared" si="12"/>
        <v>100</v>
      </c>
      <c r="T35" s="774" t="s">
        <v>21</v>
      </c>
      <c r="U35" s="775">
        <f t="shared" si="13"/>
        <v>100</v>
      </c>
      <c r="V35" s="774" t="s">
        <v>21</v>
      </c>
      <c r="W35" s="775">
        <f t="shared" si="14"/>
        <v>100</v>
      </c>
      <c r="X35" s="1815"/>
      <c r="Y35" s="3258"/>
      <c r="Z35" s="1816" t="str">
        <f t="shared" si="18"/>
        <v>建筑品质</v>
      </c>
      <c r="AA35" s="1813">
        <f t="shared" si="15"/>
        <v>1</v>
      </c>
      <c r="AB35" s="1813">
        <f t="shared" si="16"/>
        <v>1</v>
      </c>
      <c r="AC35" s="1813">
        <f t="shared" si="17"/>
        <v>1</v>
      </c>
    </row>
    <row r="36" spans="1:29" ht="15">
      <c r="A36" s="472"/>
      <c r="B36" s="422" t="s">
        <v>2572</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256"/>
      <c r="Q36" s="1812" t="str">
        <f t="shared" si="11"/>
        <v>公共部分装修</v>
      </c>
      <c r="R36" s="774" t="s">
        <v>21</v>
      </c>
      <c r="S36" s="775">
        <f t="shared" si="12"/>
        <v>100</v>
      </c>
      <c r="T36" s="774" t="s">
        <v>21</v>
      </c>
      <c r="U36" s="775">
        <f t="shared" si="13"/>
        <v>100</v>
      </c>
      <c r="V36" s="774" t="s">
        <v>21</v>
      </c>
      <c r="W36" s="775">
        <f t="shared" si="14"/>
        <v>100</v>
      </c>
      <c r="X36" s="1815"/>
      <c r="Y36" s="3258"/>
      <c r="Z36" s="1816" t="str">
        <f t="shared" si="18"/>
        <v>公共部分装修</v>
      </c>
      <c r="AA36" s="1813">
        <f t="shared" si="15"/>
        <v>1</v>
      </c>
      <c r="AB36" s="1813">
        <f t="shared" si="16"/>
        <v>1</v>
      </c>
      <c r="AC36" s="1813">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56"/>
      <c r="Q37" s="1797" t="str">
        <f t="shared" si="11"/>
        <v>成新度</v>
      </c>
      <c r="R37" s="770" t="s">
        <v>21</v>
      </c>
      <c r="S37" s="771" t="e">
        <f t="shared" si="12"/>
        <v>#N/A</v>
      </c>
      <c r="T37" s="770" t="s">
        <v>21</v>
      </c>
      <c r="U37" s="771" t="e">
        <f t="shared" si="13"/>
        <v>#N/A</v>
      </c>
      <c r="V37" s="770" t="s">
        <v>21</v>
      </c>
      <c r="W37" s="771" t="e">
        <f t="shared" si="14"/>
        <v>#N/A</v>
      </c>
      <c r="X37" s="772"/>
      <c r="Y37" s="3258"/>
      <c r="Z37" s="55" t="str">
        <f t="shared" si="18"/>
        <v>成新度</v>
      </c>
      <c r="AA37" s="773" t="e">
        <f t="shared" si="15"/>
        <v>#N/A</v>
      </c>
      <c r="AB37" s="773" t="e">
        <f t="shared" si="16"/>
        <v>#N/A</v>
      </c>
      <c r="AC37" s="773" t="e">
        <f t="shared" si="17"/>
        <v>#N/A</v>
      </c>
    </row>
    <row r="38" spans="1:29" ht="15">
      <c r="A38" s="472"/>
      <c r="B38" s="422" t="s">
        <v>2574</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256" t="s">
        <v>2568</v>
      </c>
      <c r="Q38" s="1812" t="str">
        <f t="shared" si="11"/>
        <v>物业管理</v>
      </c>
      <c r="R38" s="774" t="s">
        <v>21</v>
      </c>
      <c r="S38" s="775">
        <f t="shared" si="12"/>
        <v>100</v>
      </c>
      <c r="T38" s="774" t="s">
        <v>21</v>
      </c>
      <c r="U38" s="775">
        <f t="shared" si="13"/>
        <v>100</v>
      </c>
      <c r="V38" s="774" t="s">
        <v>21</v>
      </c>
      <c r="W38" s="775">
        <f t="shared" si="14"/>
        <v>100</v>
      </c>
      <c r="X38" s="1815"/>
      <c r="Y38" s="3258" t="s">
        <v>2568</v>
      </c>
      <c r="Z38" s="1816" t="str">
        <f t="shared" si="18"/>
        <v>物业管理</v>
      </c>
      <c r="AA38" s="1813">
        <f t="shared" si="15"/>
        <v>1</v>
      </c>
      <c r="AB38" s="1813">
        <f t="shared" si="16"/>
        <v>1</v>
      </c>
      <c r="AC38" s="1813">
        <f t="shared" si="17"/>
        <v>1</v>
      </c>
    </row>
    <row r="39" spans="1:29" ht="15">
      <c r="A39" s="472"/>
      <c r="B39" s="422" t="s">
        <v>2575</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256"/>
      <c r="Q39" s="1812" t="str">
        <f t="shared" si="11"/>
        <v>市政基础设施</v>
      </c>
      <c r="R39" s="774" t="s">
        <v>21</v>
      </c>
      <c r="S39" s="775">
        <f t="shared" si="12"/>
        <v>100</v>
      </c>
      <c r="T39" s="774" t="s">
        <v>21</v>
      </c>
      <c r="U39" s="775">
        <f t="shared" si="13"/>
        <v>100</v>
      </c>
      <c r="V39" s="774" t="s">
        <v>21</v>
      </c>
      <c r="W39" s="775">
        <f t="shared" si="14"/>
        <v>100</v>
      </c>
      <c r="X39" s="1815"/>
      <c r="Y39" s="3258"/>
      <c r="Z39" s="1816" t="str">
        <f t="shared" si="18"/>
        <v>市政基础设施</v>
      </c>
      <c r="AA39" s="1813">
        <f t="shared" si="15"/>
        <v>1</v>
      </c>
      <c r="AB39" s="1813">
        <f t="shared" si="16"/>
        <v>1</v>
      </c>
      <c r="AC39" s="1813">
        <f t="shared" si="17"/>
        <v>1</v>
      </c>
    </row>
    <row r="40" spans="1:29" ht="15">
      <c r="A40" s="472"/>
      <c r="B40" s="422" t="s">
        <v>2576</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256"/>
      <c r="Q40" s="1812" t="str">
        <f t="shared" si="11"/>
        <v>房型</v>
      </c>
      <c r="R40" s="774" t="s">
        <v>21</v>
      </c>
      <c r="S40" s="775">
        <f t="shared" si="12"/>
        <v>100</v>
      </c>
      <c r="T40" s="774" t="s">
        <v>21</v>
      </c>
      <c r="U40" s="775">
        <f t="shared" si="13"/>
        <v>100</v>
      </c>
      <c r="V40" s="774" t="s">
        <v>21</v>
      </c>
      <c r="W40" s="775">
        <f t="shared" si="14"/>
        <v>100</v>
      </c>
      <c r="X40" s="1815"/>
      <c r="Y40" s="3258"/>
      <c r="Z40" s="1816" t="str">
        <f t="shared" si="18"/>
        <v>房型</v>
      </c>
      <c r="AA40" s="1813">
        <f t="shared" si="15"/>
        <v>1</v>
      </c>
      <c r="AB40" s="1813">
        <f t="shared" si="16"/>
        <v>1</v>
      </c>
      <c r="AC40" s="1813">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256"/>
      <c r="Q41" s="776" t="str">
        <f t="shared" si="11"/>
        <v>单套/主力户型建筑面积</v>
      </c>
      <c r="R41" s="777" t="s">
        <v>21</v>
      </c>
      <c r="S41" s="778">
        <f t="shared" si="12"/>
        <v>100</v>
      </c>
      <c r="T41" s="777" t="s">
        <v>21</v>
      </c>
      <c r="U41" s="778">
        <f t="shared" si="13"/>
        <v>100</v>
      </c>
      <c r="V41" s="777" t="s">
        <v>21</v>
      </c>
      <c r="W41" s="778">
        <f t="shared" si="14"/>
        <v>100</v>
      </c>
      <c r="X41" s="779"/>
      <c r="Y41" s="3258"/>
      <c r="Z41" s="780" t="str">
        <f t="shared" si="18"/>
        <v>单套/主力户型建筑面积</v>
      </c>
      <c r="AA41" s="1813">
        <f t="shared" si="15"/>
        <v>1</v>
      </c>
      <c r="AB41" s="1813">
        <f t="shared" si="16"/>
        <v>1</v>
      </c>
      <c r="AC41" s="1813">
        <f t="shared" si="17"/>
        <v>1</v>
      </c>
    </row>
    <row r="42" spans="1:29" ht="15">
      <c r="A42" s="472"/>
      <c r="B42" s="422" t="s">
        <v>2578</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256"/>
      <c r="Q42" s="1812" t="str">
        <f t="shared" si="11"/>
        <v>内部装修</v>
      </c>
      <c r="R42" s="774" t="s">
        <v>21</v>
      </c>
      <c r="S42" s="775">
        <f t="shared" si="12"/>
        <v>100</v>
      </c>
      <c r="T42" s="774" t="s">
        <v>21</v>
      </c>
      <c r="U42" s="775">
        <f t="shared" si="13"/>
        <v>100</v>
      </c>
      <c r="V42" s="774" t="s">
        <v>21</v>
      </c>
      <c r="W42" s="775">
        <f t="shared" si="14"/>
        <v>100</v>
      </c>
      <c r="X42" s="1815"/>
      <c r="Y42" s="3258"/>
      <c r="Z42" s="1816" t="str">
        <f t="shared" si="18"/>
        <v>内部装修</v>
      </c>
      <c r="AA42" s="1813">
        <f t="shared" si="15"/>
        <v>1</v>
      </c>
      <c r="AB42" s="1813">
        <f t="shared" si="16"/>
        <v>1</v>
      </c>
      <c r="AC42" s="1813">
        <f t="shared" si="17"/>
        <v>1</v>
      </c>
    </row>
    <row r="43" spans="1:29" ht="15">
      <c r="A43" s="472"/>
      <c r="B43" s="422" t="s">
        <v>2579</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256"/>
      <c r="Q43" s="1812" t="str">
        <f t="shared" si="11"/>
        <v>内部装修维护情况</v>
      </c>
      <c r="R43" s="774" t="s">
        <v>21</v>
      </c>
      <c r="S43" s="775">
        <f t="shared" si="12"/>
        <v>100</v>
      </c>
      <c r="T43" s="774" t="s">
        <v>21</v>
      </c>
      <c r="U43" s="775">
        <f t="shared" si="13"/>
        <v>100</v>
      </c>
      <c r="V43" s="774" t="s">
        <v>21</v>
      </c>
      <c r="W43" s="775">
        <f t="shared" si="14"/>
        <v>100</v>
      </c>
      <c r="X43" s="1815"/>
      <c r="Y43" s="3258"/>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256"/>
      <c r="Q44" s="1797">
        <f t="shared" si="11"/>
        <v>111</v>
      </c>
      <c r="R44" s="770" t="s">
        <v>21</v>
      </c>
      <c r="S44" s="771">
        <f t="shared" si="12"/>
        <v>100</v>
      </c>
      <c r="T44" s="770" t="s">
        <v>21</v>
      </c>
      <c r="U44" s="771">
        <f t="shared" si="13"/>
        <v>100</v>
      </c>
      <c r="V44" s="770" t="s">
        <v>21</v>
      </c>
      <c r="W44" s="771">
        <f t="shared" si="14"/>
        <v>100</v>
      </c>
      <c r="X44" s="772"/>
      <c r="Y44" s="325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56"/>
      <c r="Q45" s="1812">
        <f t="shared" si="11"/>
        <v>111</v>
      </c>
      <c r="R45" s="774" t="s">
        <v>21</v>
      </c>
      <c r="S45" s="775">
        <f t="shared" si="12"/>
        <v>100</v>
      </c>
      <c r="T45" s="774" t="s">
        <v>21</v>
      </c>
      <c r="U45" s="775">
        <f t="shared" si="13"/>
        <v>100</v>
      </c>
      <c r="V45" s="774" t="s">
        <v>21</v>
      </c>
      <c r="W45" s="775">
        <f t="shared" si="14"/>
        <v>100</v>
      </c>
      <c r="X45" s="1815"/>
      <c r="Y45" s="3258"/>
      <c r="Z45" s="1816">
        <f t="shared" si="18"/>
        <v>111</v>
      </c>
      <c r="AA45" s="1813">
        <f t="shared" si="15"/>
        <v>1</v>
      </c>
      <c r="AB45" s="1813">
        <f t="shared" si="16"/>
        <v>1</v>
      </c>
      <c r="AC45" s="1813">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57"/>
      <c r="Q46" s="1812">
        <f t="shared" si="11"/>
        <v>111</v>
      </c>
      <c r="R46" s="774" t="s">
        <v>20</v>
      </c>
      <c r="S46" s="775">
        <f t="shared" si="12"/>
        <v>100</v>
      </c>
      <c r="T46" s="774" t="s">
        <v>20</v>
      </c>
      <c r="U46" s="775">
        <f t="shared" si="13"/>
        <v>100</v>
      </c>
      <c r="V46" s="774" t="s">
        <v>20</v>
      </c>
      <c r="W46" s="775">
        <f t="shared" si="14"/>
        <v>100</v>
      </c>
      <c r="X46" s="1815"/>
      <c r="Y46" s="3259"/>
      <c r="Z46" s="1816">
        <f t="shared" si="18"/>
        <v>111</v>
      </c>
      <c r="AA46" s="1813">
        <f t="shared" si="15"/>
        <v>1</v>
      </c>
      <c r="AB46" s="1813">
        <f t="shared" si="16"/>
        <v>1</v>
      </c>
      <c r="AC46" s="1813">
        <f t="shared" si="17"/>
        <v>1</v>
      </c>
    </row>
    <row r="47" spans="1:29" ht="15">
      <c r="A47" s="479" t="s">
        <v>2580</v>
      </c>
      <c r="B47" s="480"/>
      <c r="C47" s="1410" t="s">
        <v>19</v>
      </c>
      <c r="D47" s="1411"/>
      <c r="E47" s="1412"/>
      <c r="F47" s="1413"/>
      <c r="G47" s="1414"/>
      <c r="H47" s="1415"/>
      <c r="I47" s="1412"/>
      <c r="J47" s="1415"/>
      <c r="K47" s="2627"/>
      <c r="L47" s="1146"/>
      <c r="M47" s="1147"/>
      <c r="N47" s="1134"/>
      <c r="O47" s="1147"/>
      <c r="P47" s="3251" t="str">
        <f>A47</f>
        <v>成交单价（元/平方米）</v>
      </c>
      <c r="Q47" s="3251"/>
      <c r="R47" s="3252">
        <f>E47</f>
        <v>0</v>
      </c>
      <c r="S47" s="3252"/>
      <c r="T47" s="3252">
        <f>G47</f>
        <v>0</v>
      </c>
      <c r="U47" s="3252"/>
      <c r="V47" s="3252">
        <f>I47</f>
        <v>0</v>
      </c>
      <c r="W47" s="3252"/>
      <c r="X47" s="759"/>
      <c r="Y47" s="781"/>
      <c r="Z47" s="759"/>
      <c r="AA47" s="759"/>
      <c r="AB47" s="759"/>
      <c r="AC47" s="759"/>
    </row>
    <row r="48" spans="1:29" ht="15.75" thickBot="1">
      <c r="A48" s="486" t="s">
        <v>2581</v>
      </c>
      <c r="B48" s="487"/>
      <c r="C48" s="1416" t="e">
        <f>R49</f>
        <v>#DIV/0!</v>
      </c>
      <c r="D48" s="1417"/>
      <c r="E48" s="1418" t="e">
        <f>R48</f>
        <v>#DIV/0!</v>
      </c>
      <c r="F48" s="1418"/>
      <c r="G48" s="1416" t="e">
        <f>T48</f>
        <v>#DIV/0!</v>
      </c>
      <c r="H48" s="1417"/>
      <c r="I48" s="1418" t="e">
        <f>V48</f>
        <v>#DIV/0!</v>
      </c>
      <c r="J48" s="1417"/>
      <c r="K48" s="2628"/>
      <c r="L48" s="1146"/>
      <c r="M48" s="1147"/>
      <c r="N48" s="1147"/>
      <c r="O48" s="1147"/>
      <c r="P48" s="3251" t="str">
        <f>A48</f>
        <v>比较价值（元/平方米）</v>
      </c>
      <c r="Q48" s="3251"/>
      <c r="R48" s="3252" t="e">
        <f>IF(F1="售价",ROUND(PRODUCT(R47,AA7:AA46),0),ROUND(PRODUCT(R47,AA7:AA46),1))</f>
        <v>#DIV/0!</v>
      </c>
      <c r="S48" s="3252"/>
      <c r="T48" s="3252" t="e">
        <f>IF(F1="售价",ROUND(PRODUCT(T47,AB7:AB46),0),ROUND(PRODUCT(T47,AB7:AB46),1))</f>
        <v>#DIV/0!</v>
      </c>
      <c r="U48" s="3252"/>
      <c r="V48" s="3252" t="e">
        <f>IF(F1="售价",ROUND(PRODUCT(V47,AC7:AC46),0),ROUND(PRODUCT(V47,AC7:AC46),1))</f>
        <v>#DIV/0!</v>
      </c>
      <c r="W48" s="3252"/>
      <c r="X48" s="759"/>
      <c r="Y48" s="759"/>
      <c r="Z48" s="759"/>
      <c r="AA48" s="759"/>
      <c r="AB48" s="759"/>
      <c r="AC48" s="759"/>
    </row>
    <row r="49" spans="1:29" ht="15.75" thickBot="1">
      <c r="A49" s="492" t="s">
        <v>2582</v>
      </c>
      <c r="B49" s="493"/>
      <c r="C49" s="1419" t="e">
        <f>R49</f>
        <v>#DIV/0!</v>
      </c>
      <c r="D49" s="1420"/>
      <c r="E49" s="1420"/>
      <c r="F49" s="1420"/>
      <c r="G49" s="1420"/>
      <c r="H49" s="1420"/>
      <c r="I49" s="1420"/>
      <c r="J49" s="1420"/>
      <c r="K49" s="2629"/>
      <c r="L49" s="1146"/>
      <c r="M49" s="1147"/>
      <c r="N49" s="1147"/>
      <c r="O49" s="1147"/>
      <c r="P49" s="3248" t="str">
        <f>A49</f>
        <v>估价对象XX用房的比较价值（楼面单价，元/平方米）</v>
      </c>
      <c r="Q49" s="3249"/>
      <c r="R49" s="3250" t="e">
        <f>IF(F1="售价",ROUND(AVERAGE(R48:V48),0),ROUND(AVERAGE(R48:V48),1))</f>
        <v>#DIV/0!</v>
      </c>
      <c r="S49" s="3250"/>
      <c r="T49" s="3250"/>
      <c r="U49" s="3250"/>
      <c r="V49" s="3250"/>
      <c r="W49" s="325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2586</v>
      </c>
      <c r="B57" s="759"/>
      <c r="C57" s="764"/>
      <c r="D57" s="764"/>
      <c r="E57" s="764"/>
      <c r="F57" s="765"/>
      <c r="G57" s="765"/>
      <c r="H57" s="764"/>
      <c r="I57" s="764"/>
      <c r="J57" s="764"/>
      <c r="K57" s="1163"/>
      <c r="L57" s="1164"/>
      <c r="M57" s="1162"/>
      <c r="N57" s="1162"/>
      <c r="O57" s="1162"/>
      <c r="P57" s="2632"/>
      <c r="Q57" s="504"/>
    </row>
    <row r="58" spans="1:29" s="508" customFormat="1" ht="15">
      <c r="A58" s="505" t="s">
        <v>2587</v>
      </c>
      <c r="B58" s="506"/>
      <c r="C58" s="1579" t="str">
        <f>YEAR(C7)&amp;"-"&amp;MONTH(C7)</f>
        <v>2018-1</v>
      </c>
      <c r="D58" s="1578">
        <f>EDATE(C58,-1)</f>
        <v>43070</v>
      </c>
      <c r="E58" s="1578">
        <f>EDATE(D58,-1)</f>
        <v>43040</v>
      </c>
      <c r="F58" s="1578">
        <f t="shared" ref="F58:O58" si="19">EDATE(E58,-1)</f>
        <v>43009</v>
      </c>
      <c r="G58" s="1578">
        <f t="shared" si="19"/>
        <v>42979</v>
      </c>
      <c r="H58" s="1578">
        <f t="shared" si="19"/>
        <v>42948</v>
      </c>
      <c r="I58" s="1578">
        <f t="shared" si="19"/>
        <v>42917</v>
      </c>
      <c r="J58" s="1578">
        <f t="shared" si="19"/>
        <v>42887</v>
      </c>
      <c r="K58" s="1578">
        <f t="shared" si="19"/>
        <v>42856</v>
      </c>
      <c r="L58" s="1578">
        <f t="shared" si="19"/>
        <v>42826</v>
      </c>
      <c r="M58" s="1578">
        <f t="shared" si="19"/>
        <v>42795</v>
      </c>
      <c r="N58" s="1578">
        <f t="shared" si="19"/>
        <v>42767</v>
      </c>
      <c r="O58" s="1578">
        <f t="shared" si="19"/>
        <v>42736</v>
      </c>
      <c r="P58" s="1573"/>
    </row>
    <row r="59" spans="1:29" s="117" customFormat="1" ht="15">
      <c r="A59" s="509"/>
      <c r="B59" s="2633"/>
      <c r="C59" s="1576">
        <v>100</v>
      </c>
      <c r="D59" s="511"/>
      <c r="E59" s="512"/>
      <c r="F59" s="512"/>
      <c r="G59" s="512"/>
      <c r="H59" s="512"/>
      <c r="I59" s="512"/>
      <c r="J59" s="512"/>
      <c r="K59" s="512"/>
      <c r="L59" s="512"/>
      <c r="M59" s="513"/>
      <c r="N59" s="512"/>
      <c r="O59" s="513"/>
      <c r="P59" s="2634"/>
    </row>
    <row r="60" spans="1:29" s="117" customFormat="1" ht="15.75" thickBot="1">
      <c r="A60" s="515" t="s">
        <v>2588</v>
      </c>
      <c r="B60" s="516"/>
      <c r="C60" s="517"/>
      <c r="D60" s="518"/>
      <c r="E60" s="518"/>
      <c r="F60" s="518"/>
      <c r="G60" s="518"/>
      <c r="H60" s="518"/>
      <c r="I60" s="518"/>
      <c r="J60" s="518"/>
      <c r="K60" s="518"/>
      <c r="L60" s="518"/>
      <c r="M60" s="519"/>
      <c r="N60" s="518"/>
      <c r="O60" s="519"/>
      <c r="P60" s="2634"/>
      <c r="Q60" s="504"/>
    </row>
    <row r="61" spans="1:29" s="117" customFormat="1" ht="15">
      <c r="A61" s="521" t="s">
        <v>2589</v>
      </c>
      <c r="B61" s="510"/>
      <c r="C61" s="522" t="s">
        <v>2590</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2591</v>
      </c>
      <c r="B63" s="528" t="s">
        <v>2557</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2104</v>
      </c>
      <c r="C82" s="539" t="s">
        <v>2607</v>
      </c>
      <c r="D82" s="539" t="s">
        <v>2608</v>
      </c>
      <c r="E82" s="539" t="s">
        <v>2609</v>
      </c>
      <c r="F82" s="539" t="s">
        <v>2610</v>
      </c>
      <c r="G82" s="539" t="s">
        <v>2611</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2613</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2614</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2566</v>
      </c>
      <c r="B100" s="528" t="s">
        <v>2615</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2617</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2618</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2619</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2001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2620</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2621</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2622</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2577</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2623</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2625</v>
      </c>
    </row>
    <row r="137" spans="1:17" ht="15">
      <c r="B137" s="2644" t="s">
        <v>2626</v>
      </c>
      <c r="C137" s="2645"/>
      <c r="D137" s="2645"/>
      <c r="E137" s="2645"/>
      <c r="F137" s="2645"/>
      <c r="G137" s="2646"/>
      <c r="H137" s="2647"/>
      <c r="I137" s="2648" t="s">
        <v>2627</v>
      </c>
      <c r="J137" s="2645"/>
      <c r="K137" s="2649"/>
    </row>
    <row r="138" spans="1:17" ht="15">
      <c r="B138" s="2650"/>
      <c r="C138" s="146" t="s">
        <v>2628</v>
      </c>
      <c r="D138" s="146" t="s">
        <v>2629</v>
      </c>
      <c r="E138" s="2651" t="s">
        <v>2630</v>
      </c>
      <c r="F138" s="2652" t="s">
        <v>2631</v>
      </c>
      <c r="G138" s="146" t="s">
        <v>2629</v>
      </c>
      <c r="H138" s="147" t="s">
        <v>2630</v>
      </c>
      <c r="I138" s="2653"/>
      <c r="J138" s="146" t="s">
        <v>2632</v>
      </c>
      <c r="K138" s="147" t="s">
        <v>2633</v>
      </c>
    </row>
    <row r="139" spans="1:17" ht="15">
      <c r="B139" s="1087">
        <v>6</v>
      </c>
      <c r="C139" s="1088">
        <v>96</v>
      </c>
      <c r="D139" s="2654" t="s">
        <v>2634</v>
      </c>
      <c r="E139" s="1089">
        <v>100</v>
      </c>
      <c r="F139" s="1090">
        <v>102.5</v>
      </c>
      <c r="G139" s="2654" t="s">
        <v>2634</v>
      </c>
      <c r="H139" s="1091">
        <v>105</v>
      </c>
      <c r="I139" s="2655" t="s">
        <v>2635</v>
      </c>
      <c r="J139" s="1088">
        <v>20</v>
      </c>
      <c r="K139" s="1092">
        <f>C145/(J139-2)</f>
        <v>4.0555555555555553E-3</v>
      </c>
    </row>
    <row r="140" spans="1:17" ht="15">
      <c r="B140" s="1093">
        <v>5</v>
      </c>
      <c r="C140" s="1094">
        <v>100</v>
      </c>
      <c r="D140" s="1094"/>
      <c r="E140" s="1095"/>
      <c r="F140" s="1096">
        <v>102</v>
      </c>
      <c r="G140" s="1094"/>
      <c r="H140" s="1097"/>
      <c r="I140" s="2656" t="s">
        <v>2636</v>
      </c>
      <c r="J140" s="315">
        <f>ROUNDUP((J139-1)/2,0)</f>
        <v>10</v>
      </c>
      <c r="K140" s="1098">
        <v>100</v>
      </c>
    </row>
    <row r="141" spans="1:17" ht="15">
      <c r="B141" s="1093">
        <v>4</v>
      </c>
      <c r="C141" s="1094">
        <v>102</v>
      </c>
      <c r="D141" s="1094"/>
      <c r="E141" s="1095"/>
      <c r="F141" s="1096">
        <v>101.5</v>
      </c>
      <c r="G141" s="1094"/>
      <c r="H141" s="1097"/>
      <c r="I141" s="2656" t="s">
        <v>2637</v>
      </c>
      <c r="J141" s="315">
        <v>1</v>
      </c>
      <c r="K141" s="1099">
        <f>ROUND(100+(J141-J140)*K139*100,1)</f>
        <v>96.4</v>
      </c>
    </row>
    <row r="142" spans="1:17" ht="15">
      <c r="B142" s="1093">
        <v>3</v>
      </c>
      <c r="C142" s="1094">
        <v>103</v>
      </c>
      <c r="D142" s="1094"/>
      <c r="E142" s="1095"/>
      <c r="F142" s="1096">
        <v>101</v>
      </c>
      <c r="G142" s="1094"/>
      <c r="H142" s="1097"/>
      <c r="I142" s="2656" t="s">
        <v>2638</v>
      </c>
      <c r="J142" s="315">
        <f>J139</f>
        <v>20</v>
      </c>
      <c r="K142" s="1100">
        <v>95</v>
      </c>
    </row>
    <row r="143" spans="1:17" ht="15">
      <c r="B143" s="1093">
        <v>2</v>
      </c>
      <c r="C143" s="1094">
        <v>100</v>
      </c>
      <c r="D143" s="1094"/>
      <c r="E143" s="1095"/>
      <c r="F143" s="1096">
        <v>100.5</v>
      </c>
      <c r="G143" s="1094"/>
      <c r="H143" s="1097"/>
      <c r="I143" s="2656" t="s">
        <v>2639</v>
      </c>
      <c r="J143" s="1094">
        <v>15</v>
      </c>
      <c r="K143" s="1099">
        <f>ROUND(100+(J143-J140)*K139*100,1)</f>
        <v>102</v>
      </c>
    </row>
    <row r="144" spans="1:17" ht="15">
      <c r="B144" s="1093">
        <v>1</v>
      </c>
      <c r="C144" s="1094">
        <v>98</v>
      </c>
      <c r="D144" s="2657" t="s">
        <v>2640</v>
      </c>
      <c r="E144" s="1095">
        <v>102</v>
      </c>
      <c r="F144" s="1101">
        <v>100</v>
      </c>
      <c r="G144" s="2657" t="s">
        <v>2640</v>
      </c>
      <c r="H144" s="1097">
        <v>105</v>
      </c>
      <c r="I144" s="2656" t="s">
        <v>2639</v>
      </c>
      <c r="J144" s="1094">
        <v>18</v>
      </c>
      <c r="K144" s="1099">
        <f>ROUND(100+(J144-J140)*K139*100,1)</f>
        <v>103.2</v>
      </c>
    </row>
    <row r="145" spans="2:11" ht="15.75" thickBot="1">
      <c r="B145" s="2658" t="s">
        <v>2641</v>
      </c>
      <c r="C145" s="1102">
        <f>ROUND(MAX(C139:C144)/MIN(C139:C144)-1,3)</f>
        <v>7.2999999999999995E-2</v>
      </c>
      <c r="D145" s="1103"/>
      <c r="E145" s="1103"/>
      <c r="F145" s="2659" t="s">
        <v>2642</v>
      </c>
      <c r="G145" s="2660"/>
      <c r="H145" s="2661"/>
      <c r="I145" s="2662" t="s">
        <v>2639</v>
      </c>
      <c r="J145" s="1104">
        <v>8</v>
      </c>
      <c r="K145" s="1105">
        <f>ROUND(100+(J145-J140)*K139*100,1)</f>
        <v>99.2</v>
      </c>
    </row>
    <row r="147" spans="2:11">
      <c r="B147" s="2643" t="s">
        <v>2643</v>
      </c>
    </row>
    <row r="148" spans="2:11">
      <c r="B148" s="2643"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1612</v>
      </c>
    </row>
    <row r="2" spans="1:1">
      <c r="A2" s="1948"/>
    </row>
    <row r="3" spans="1:1" ht="18">
      <c r="A3" s="1949" t="str">
        <f>项目基本情况!B5&amp;"："</f>
        <v>：</v>
      </c>
    </row>
    <row r="4" spans="1:1" ht="36">
      <c r="A4" s="1950" t="str">
        <f>"受贵公司委托，我公司对"&amp;项目基本情况!S1&amp;"进行了预评估。"</f>
        <v>受贵公司委托，我公司对北京市出让国有建设用地使用权及在建建筑物房地产抵押价值进行了预评估。</v>
      </c>
    </row>
    <row r="5" spans="1:1" ht="18.75">
      <c r="A5" s="1951" t="s">
        <v>1613</v>
      </c>
    </row>
    <row r="6" spans="1:1" ht="18.75">
      <c r="A6" s="1952" t="s">
        <v>1614</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估价对象为北京市出让国有建设用地使用权及在建建筑物房地产，为所有。根据《国有土地使用证》[]，估价对象（分摊）出让国有建设用地使用权面积为8452.18平方米，建筑面积为41596.89平方米。</v>
      </c>
    </row>
    <row r="8" spans="1:1" ht="57.75">
      <c r="A8" s="1953" t="s">
        <v>1615</v>
      </c>
    </row>
    <row r="9" spans="1:1" ht="18.75">
      <c r="A9" s="1952" t="s">
        <v>1616</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商业项目，该项目尚在开发建设中。根据《国有土地使用证》[]，估价对象（分摊）出让国有建设用地使用权面积为8452.18平方米，规划建筑面积为41596.89平方米。</v>
      </c>
    </row>
    <row r="11" spans="1:1" ht="76.5">
      <c r="A11" s="1953" t="s">
        <v>1617</v>
      </c>
    </row>
    <row r="12" spans="1:1" ht="18.75">
      <c r="A12" s="1951" t="s">
        <v>1618</v>
      </c>
    </row>
    <row r="13" spans="1:1" ht="38.25" customHeight="1">
      <c r="A13" s="1954"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1619</v>
      </c>
    </row>
    <row r="15" spans="1:1" ht="18">
      <c r="A15" s="1956" t="str">
        <f>TEXT(项目基本情况!D3,"yyyy年m月d日;;")&amp;IF(项目基本情况!D3=项目基本情况!B3,"（评估专业人员实地查勘之日）","")</f>
        <v>2018年1月31日（评估专业人员实地查勘之日）</v>
      </c>
    </row>
    <row r="16" spans="1:1" ht="18.75">
      <c r="A16" s="1955" t="s">
        <v>1620</v>
      </c>
    </row>
    <row r="17" spans="1:1" ht="75">
      <c r="A17" s="1950" t="s">
        <v>1621</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31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1610</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1611</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8" t="s">
        <v>2645</v>
      </c>
      <c r="C1" s="1637" t="s">
        <v>2533</v>
      </c>
      <c r="D1" s="1624"/>
      <c r="E1" s="2663"/>
      <c r="F1" s="2590"/>
      <c r="G1" s="1634" t="s">
        <v>2646</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2333</v>
      </c>
      <c r="B2" s="1421" t="e">
        <f ca="1">IF(C2="——",ROUND(C49*D3/10000,0),ROUND(C49*D3/10000,0)-D2)</f>
        <v>#DIV/0!</v>
      </c>
      <c r="C2" s="2592"/>
      <c r="D2" s="1368" t="e">
        <f ca="1">SUMIF(INDIRECT("'"&amp;F2&amp;"'"&amp;"!A:A"),"承租人权益价值",INDIRECT("'"&amp;F2&amp;"'"&amp;"!c:c"))</f>
        <v>#REF!</v>
      </c>
      <c r="E2" s="2593" t="s">
        <v>2334</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2335</v>
      </c>
      <c r="B3" s="609" t="e">
        <f ca="1">IF(C2="——",C49,ROUND(B2*10000/D3,0))</f>
        <v>#DIV/0!</v>
      </c>
      <c r="C3" s="400" t="s">
        <v>2647</v>
      </c>
      <c r="D3" s="399">
        <f>IF(D1="",'数据-汇总表'!E3,SUMIF('数据-汇总表'!$C19:$C33,D1,'数据-汇总表'!$E19:$E33))</f>
        <v>41596.89</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2648</v>
      </c>
      <c r="B4" s="402"/>
      <c r="C4" s="3266" t="s">
        <v>2649</v>
      </c>
      <c r="D4" s="3267"/>
      <c r="E4" s="3268" t="s">
        <v>2650</v>
      </c>
      <c r="F4" s="3269"/>
      <c r="G4" s="3266" t="s">
        <v>2651</v>
      </c>
      <c r="H4" s="3267"/>
      <c r="I4" s="3266" t="s">
        <v>2652</v>
      </c>
      <c r="J4" s="3267"/>
      <c r="K4" s="610" t="s">
        <v>2653</v>
      </c>
      <c r="L4" s="1133"/>
      <c r="M4" s="1134"/>
      <c r="N4" s="1134"/>
      <c r="O4" s="1134"/>
      <c r="P4" s="3270" t="s">
        <v>2654</v>
      </c>
      <c r="Q4" s="3271"/>
      <c r="R4" s="3276" t="s">
        <v>2650</v>
      </c>
      <c r="S4" s="3277"/>
      <c r="T4" s="3276" t="s">
        <v>2651</v>
      </c>
      <c r="U4" s="3277"/>
      <c r="V4" s="3282" t="s">
        <v>2652</v>
      </c>
      <c r="W4" s="3282"/>
      <c r="X4" s="1815"/>
      <c r="Y4" s="3276" t="s">
        <v>2654</v>
      </c>
      <c r="Z4" s="3277"/>
      <c r="AA4" s="3263" t="s">
        <v>2650</v>
      </c>
      <c r="AB4" s="3282" t="s">
        <v>2651</v>
      </c>
      <c r="AC4" s="3263" t="s">
        <v>2652</v>
      </c>
    </row>
    <row r="5" spans="1:29" ht="15">
      <c r="A5" s="404"/>
      <c r="B5" s="405"/>
      <c r="C5" s="3285" t="s">
        <v>2545</v>
      </c>
      <c r="D5" s="3286"/>
      <c r="E5" s="3292" t="s">
        <v>2546</v>
      </c>
      <c r="F5" s="3293"/>
      <c r="G5" s="3285" t="s">
        <v>2547</v>
      </c>
      <c r="H5" s="3286"/>
      <c r="I5" s="3285" t="s">
        <v>2548</v>
      </c>
      <c r="J5" s="3286"/>
      <c r="K5" s="610"/>
      <c r="L5" s="1133"/>
      <c r="M5" s="1134"/>
      <c r="N5" s="1134"/>
      <c r="O5" s="1134"/>
      <c r="P5" s="3272"/>
      <c r="Q5" s="3273"/>
      <c r="R5" s="3278"/>
      <c r="S5" s="3279"/>
      <c r="T5" s="3278"/>
      <c r="U5" s="3279"/>
      <c r="V5" s="3282"/>
      <c r="W5" s="3282"/>
      <c r="X5" s="1815"/>
      <c r="Y5" s="3278"/>
      <c r="Z5" s="3279"/>
      <c r="AA5" s="3264"/>
      <c r="AB5" s="3282"/>
      <c r="AC5" s="3264"/>
    </row>
    <row r="6" spans="1:29" ht="15.75" thickBot="1">
      <c r="A6" s="406"/>
      <c r="B6" s="407"/>
      <c r="C6" s="3283" t="s">
        <v>2549</v>
      </c>
      <c r="D6" s="3284"/>
      <c r="E6" s="3290" t="s">
        <v>2549</v>
      </c>
      <c r="F6" s="3291"/>
      <c r="G6" s="3283" t="s">
        <v>2549</v>
      </c>
      <c r="H6" s="3284"/>
      <c r="I6" s="3283" t="s">
        <v>2549</v>
      </c>
      <c r="J6" s="3284"/>
      <c r="K6" s="610" t="s">
        <v>2550</v>
      </c>
      <c r="L6" s="1133"/>
      <c r="M6" s="1134"/>
      <c r="N6" s="1134"/>
      <c r="O6" s="1134"/>
      <c r="P6" s="3274"/>
      <c r="Q6" s="3275"/>
      <c r="R6" s="3278"/>
      <c r="S6" s="3279"/>
      <c r="T6" s="3280"/>
      <c r="U6" s="3281"/>
      <c r="V6" s="3282"/>
      <c r="W6" s="3282"/>
      <c r="X6" s="1815"/>
      <c r="Y6" s="3280"/>
      <c r="Z6" s="3281"/>
      <c r="AA6" s="3265"/>
      <c r="AB6" s="3282"/>
      <c r="AC6" s="3265"/>
    </row>
    <row r="7" spans="1:29" s="117" customFormat="1" ht="15.75" thickBot="1">
      <c r="A7" s="408" t="s">
        <v>2551</v>
      </c>
      <c r="B7" s="409"/>
      <c r="C7" s="410">
        <f>'数据-取费表'!B2</f>
        <v>43131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87" t="s">
        <v>2552</v>
      </c>
      <c r="Q7" s="3289"/>
      <c r="R7" s="770" t="s">
        <v>17</v>
      </c>
      <c r="S7" s="771">
        <f t="shared" ref="S7:S15" si="0">F7</f>
        <v>0</v>
      </c>
      <c r="T7" s="770" t="s">
        <v>17</v>
      </c>
      <c r="U7" s="771">
        <f t="shared" ref="U7:U15" si="1">H7</f>
        <v>0</v>
      </c>
      <c r="V7" s="770" t="s">
        <v>17</v>
      </c>
      <c r="W7" s="771">
        <f t="shared" ref="W7:W15" si="2">J7</f>
        <v>0</v>
      </c>
      <c r="X7" s="772"/>
      <c r="Y7" s="3287" t="s">
        <v>2552</v>
      </c>
      <c r="Z7" s="3288"/>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87" t="s">
        <v>2555</v>
      </c>
      <c r="Q8" s="3288"/>
      <c r="R8" s="770" t="s">
        <v>17</v>
      </c>
      <c r="S8" s="771">
        <f t="shared" si="0"/>
        <v>0</v>
      </c>
      <c r="T8" s="770" t="s">
        <v>17</v>
      </c>
      <c r="U8" s="771">
        <f t="shared" si="1"/>
        <v>0</v>
      </c>
      <c r="V8" s="770" t="s">
        <v>17</v>
      </c>
      <c r="W8" s="771">
        <f t="shared" si="2"/>
        <v>0</v>
      </c>
      <c r="X8" s="772"/>
      <c r="Y8" s="3287" t="s">
        <v>2555</v>
      </c>
      <c r="Z8" s="3288"/>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62" t="s">
        <v>2558</v>
      </c>
      <c r="Q9" s="1797" t="str">
        <f t="shared" ref="Q9:Q15" si="6">B9</f>
        <v>用途</v>
      </c>
      <c r="R9" s="770" t="s">
        <v>17</v>
      </c>
      <c r="S9" s="771">
        <f t="shared" si="0"/>
        <v>100</v>
      </c>
      <c r="T9" s="770" t="s">
        <v>17</v>
      </c>
      <c r="U9" s="771">
        <f t="shared" si="1"/>
        <v>100</v>
      </c>
      <c r="V9" s="770" t="s">
        <v>17</v>
      </c>
      <c r="W9" s="771">
        <f t="shared" si="2"/>
        <v>100</v>
      </c>
      <c r="X9" s="772"/>
      <c r="Y9" s="3046"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62"/>
      <c r="Q10" s="1797"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62"/>
      <c r="Q11" s="1797"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62"/>
      <c r="Q12" s="1797">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62"/>
      <c r="Q13" s="1797">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62"/>
      <c r="Q14" s="1797">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773">
        <f t="shared" si="5"/>
        <v>1</v>
      </c>
    </row>
    <row r="15" spans="1:29" ht="71.25">
      <c r="A15" s="440" t="s">
        <v>2562</v>
      </c>
      <c r="B15" s="69" t="s">
        <v>2656</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60" t="s">
        <v>2563</v>
      </c>
      <c r="Q15" s="1812" t="str">
        <f t="shared" si="6"/>
        <v>商业繁华度</v>
      </c>
      <c r="R15" s="774" t="s">
        <v>17</v>
      </c>
      <c r="S15" s="775">
        <f t="shared" si="0"/>
        <v>100</v>
      </c>
      <c r="T15" s="774" t="s">
        <v>17</v>
      </c>
      <c r="U15" s="775">
        <f t="shared" si="1"/>
        <v>100</v>
      </c>
      <c r="V15" s="774" t="s">
        <v>17</v>
      </c>
      <c r="W15" s="775">
        <f t="shared" si="2"/>
        <v>100</v>
      </c>
      <c r="X15" s="1815"/>
      <c r="Y15" s="3253" t="s">
        <v>2563</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61"/>
      <c r="Q16" s="1812"/>
      <c r="R16" s="774"/>
      <c r="S16" s="775"/>
      <c r="T16" s="774"/>
      <c r="U16" s="775"/>
      <c r="V16" s="774"/>
      <c r="W16" s="775"/>
      <c r="X16" s="1815"/>
      <c r="Y16" s="3254"/>
      <c r="Z16" s="1816"/>
      <c r="AA16" s="1813">
        <v>1</v>
      </c>
      <c r="AB16" s="1813">
        <v>1</v>
      </c>
      <c r="AC16" s="1813">
        <v>1</v>
      </c>
    </row>
    <row r="17" spans="1:29" ht="85.5">
      <c r="A17" s="428"/>
      <c r="B17" s="451" t="s">
        <v>2103</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61"/>
      <c r="Q17" s="1812" t="str">
        <f>B17</f>
        <v>交通便捷度</v>
      </c>
      <c r="R17" s="774" t="s">
        <v>17</v>
      </c>
      <c r="S17" s="775">
        <f>F17</f>
        <v>100</v>
      </c>
      <c r="T17" s="774" t="s">
        <v>17</v>
      </c>
      <c r="U17" s="775">
        <f>H17</f>
        <v>100</v>
      </c>
      <c r="V17" s="774" t="s">
        <v>17</v>
      </c>
      <c r="W17" s="775">
        <f>J17</f>
        <v>100</v>
      </c>
      <c r="X17" s="1815"/>
      <c r="Y17" s="3254"/>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34"/>
      <c r="P18" s="3261"/>
      <c r="Q18" s="1812"/>
      <c r="R18" s="774"/>
      <c r="S18" s="775"/>
      <c r="T18" s="774"/>
      <c r="U18" s="775"/>
      <c r="V18" s="774"/>
      <c r="W18" s="775"/>
      <c r="X18" s="1815"/>
      <c r="Y18" s="3254"/>
      <c r="Z18" s="1816"/>
      <c r="AA18" s="1813">
        <v>1</v>
      </c>
      <c r="AB18" s="1813">
        <v>1</v>
      </c>
      <c r="AC18" s="1813">
        <v>1</v>
      </c>
    </row>
    <row r="19" spans="1:29" ht="42.75">
      <c r="A19" s="428"/>
      <c r="B19" s="451" t="s">
        <v>2657</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61"/>
      <c r="Q19" s="1812" t="str">
        <f>B19</f>
        <v>公共配套设施</v>
      </c>
      <c r="R19" s="774" t="s">
        <v>17</v>
      </c>
      <c r="S19" s="775">
        <f>F19</f>
        <v>100</v>
      </c>
      <c r="T19" s="774" t="s">
        <v>17</v>
      </c>
      <c r="U19" s="775">
        <f>H19</f>
        <v>100</v>
      </c>
      <c r="V19" s="774" t="s">
        <v>17</v>
      </c>
      <c r="W19" s="775">
        <f>J19</f>
        <v>100</v>
      </c>
      <c r="X19" s="1815"/>
      <c r="Y19" s="3254"/>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34"/>
      <c r="P20" s="3261"/>
      <c r="Q20" s="1812"/>
      <c r="R20" s="774"/>
      <c r="S20" s="775"/>
      <c r="T20" s="774"/>
      <c r="U20" s="775"/>
      <c r="V20" s="774"/>
      <c r="W20" s="775"/>
      <c r="X20" s="1815"/>
      <c r="Y20" s="3254"/>
      <c r="Z20" s="1816"/>
      <c r="AA20" s="1813">
        <v>1</v>
      </c>
      <c r="AB20" s="1813">
        <v>1</v>
      </c>
      <c r="AC20" s="1813">
        <v>1</v>
      </c>
    </row>
    <row r="21" spans="1:29" ht="28.5">
      <c r="A21" s="428"/>
      <c r="B21" s="1387" t="s">
        <v>2658</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61"/>
      <c r="Q21" s="1812" t="str">
        <f>B21</f>
        <v>基础设施水平</v>
      </c>
      <c r="R21" s="774" t="s">
        <v>17</v>
      </c>
      <c r="S21" s="775">
        <f>F21</f>
        <v>100</v>
      </c>
      <c r="T21" s="774" t="s">
        <v>17</v>
      </c>
      <c r="U21" s="775">
        <f>H21</f>
        <v>100</v>
      </c>
      <c r="V21" s="774" t="s">
        <v>17</v>
      </c>
      <c r="W21" s="775">
        <f>J21</f>
        <v>100</v>
      </c>
      <c r="X21" s="1815"/>
      <c r="Y21" s="3254"/>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9"/>
      <c r="G22" s="447"/>
      <c r="H22" s="448"/>
      <c r="I22" s="447"/>
      <c r="J22" s="448"/>
      <c r="K22" s="1386"/>
      <c r="L22" s="1143"/>
      <c r="M22" s="1134"/>
      <c r="N22" s="1134"/>
      <c r="O22" s="1134"/>
      <c r="P22" s="3261"/>
      <c r="Q22" s="1812"/>
      <c r="R22" s="774"/>
      <c r="S22" s="775"/>
      <c r="T22" s="774"/>
      <c r="U22" s="775"/>
      <c r="V22" s="774"/>
      <c r="W22" s="775"/>
      <c r="X22" s="1815"/>
      <c r="Y22" s="3254"/>
      <c r="Z22" s="1816"/>
      <c r="AA22" s="1813">
        <v>1</v>
      </c>
      <c r="AB22" s="1813">
        <v>1</v>
      </c>
      <c r="AC22" s="1813">
        <v>1</v>
      </c>
    </row>
    <row r="23" spans="1:29" ht="57">
      <c r="A23" s="428"/>
      <c r="B23" s="451" t="s">
        <v>2108</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61"/>
      <c r="Q23" s="1812" t="str">
        <f>B23</f>
        <v>自然及人文环境</v>
      </c>
      <c r="R23" s="774" t="s">
        <v>17</v>
      </c>
      <c r="S23" s="775">
        <f>F23</f>
        <v>100</v>
      </c>
      <c r="T23" s="774" t="s">
        <v>17</v>
      </c>
      <c r="U23" s="775">
        <f>H23</f>
        <v>100</v>
      </c>
      <c r="V23" s="774" t="s">
        <v>17</v>
      </c>
      <c r="W23" s="775">
        <f>J23</f>
        <v>100</v>
      </c>
      <c r="X23" s="1815"/>
      <c r="Y23" s="3254"/>
      <c r="Z23" s="1816" t="str">
        <f>Q23</f>
        <v>自然及人文环境</v>
      </c>
      <c r="AA23" s="1813">
        <f t="shared" si="3"/>
        <v>1</v>
      </c>
      <c r="AB23" s="1813">
        <f t="shared" si="4"/>
        <v>1</v>
      </c>
      <c r="AC23" s="1813">
        <f t="shared" si="5"/>
        <v>1</v>
      </c>
    </row>
    <row r="24" spans="1:29" ht="15">
      <c r="A24" s="428"/>
      <c r="B24" s="456"/>
      <c r="C24" s="447"/>
      <c r="D24" s="448"/>
      <c r="E24" s="2611"/>
      <c r="F24" s="449"/>
      <c r="G24" s="2610"/>
      <c r="H24" s="448"/>
      <c r="I24" s="2611"/>
      <c r="J24" s="448"/>
      <c r="K24" s="615"/>
      <c r="L24" s="1143"/>
      <c r="M24" s="1134"/>
      <c r="N24" s="1134"/>
      <c r="O24" s="1134"/>
      <c r="P24" s="3261"/>
      <c r="Q24" s="1812"/>
      <c r="R24" s="774"/>
      <c r="S24" s="775"/>
      <c r="T24" s="774"/>
      <c r="U24" s="775"/>
      <c r="V24" s="774"/>
      <c r="W24" s="775"/>
      <c r="X24" s="1815"/>
      <c r="Y24" s="3254"/>
      <c r="Z24" s="1816"/>
      <c r="AA24" s="1813">
        <v>1</v>
      </c>
      <c r="AB24" s="1813">
        <v>1</v>
      </c>
      <c r="AC24" s="1813">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61"/>
      <c r="Q25" s="1812" t="str">
        <f t="shared" ref="Q25:Q46" si="11">B25</f>
        <v>临街状况</v>
      </c>
      <c r="R25" s="774" t="s">
        <v>17</v>
      </c>
      <c r="S25" s="775">
        <f>F25</f>
        <v>100</v>
      </c>
      <c r="T25" s="774" t="s">
        <v>17</v>
      </c>
      <c r="U25" s="775">
        <f>H25</f>
        <v>100</v>
      </c>
      <c r="V25" s="774" t="s">
        <v>17</v>
      </c>
      <c r="W25" s="775">
        <f>J25</f>
        <v>100</v>
      </c>
      <c r="X25" s="1815"/>
      <c r="Y25" s="3254"/>
      <c r="Z25" s="1816" t="str">
        <f>Q25</f>
        <v>临街状况</v>
      </c>
      <c r="AA25" s="1813">
        <f t="shared" si="3"/>
        <v>1</v>
      </c>
      <c r="AB25" s="1813">
        <f t="shared" si="4"/>
        <v>1</v>
      </c>
      <c r="AC25" s="1813">
        <f t="shared" si="5"/>
        <v>1</v>
      </c>
    </row>
    <row r="26" spans="1:29" ht="15">
      <c r="A26" s="428"/>
      <c r="B26" s="1389" t="s">
        <v>2660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61"/>
      <c r="Q26" s="1812" t="str">
        <f t="shared" si="11"/>
        <v>平面位置/可视性</v>
      </c>
      <c r="R26" s="774" t="s">
        <v>17</v>
      </c>
      <c r="S26" s="775">
        <f>F26</f>
        <v>100</v>
      </c>
      <c r="T26" s="774" t="s">
        <v>17</v>
      </c>
      <c r="U26" s="775">
        <f>H26</f>
        <v>100</v>
      </c>
      <c r="V26" s="774" t="s">
        <v>17</v>
      </c>
      <c r="W26" s="775">
        <f>J26</f>
        <v>100</v>
      </c>
      <c r="X26" s="1815"/>
      <c r="Y26" s="3254"/>
      <c r="Z26" s="1816" t="str">
        <f>Q26</f>
        <v>平面位置/可视性</v>
      </c>
      <c r="AA26" s="1813">
        <f t="shared" si="3"/>
        <v>1</v>
      </c>
      <c r="AB26" s="1813">
        <f t="shared" si="4"/>
        <v>1</v>
      </c>
      <c r="AC26" s="1813">
        <f t="shared" si="5"/>
        <v>1</v>
      </c>
    </row>
    <row r="27" spans="1:29" s="117" customFormat="1" ht="15">
      <c r="A27" s="431"/>
      <c r="B27" s="451" t="s">
        <v>2661</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61"/>
      <c r="Q27" s="1797" t="str">
        <f t="shared" si="11"/>
        <v>人流量</v>
      </c>
      <c r="R27" s="770" t="s">
        <v>17</v>
      </c>
      <c r="S27" s="771">
        <f>F27</f>
        <v>100</v>
      </c>
      <c r="T27" s="770" t="s">
        <v>17</v>
      </c>
      <c r="U27" s="771">
        <f>H27</f>
        <v>100</v>
      </c>
      <c r="V27" s="770" t="s">
        <v>17</v>
      </c>
      <c r="W27" s="771">
        <f>J27</f>
        <v>100</v>
      </c>
      <c r="X27" s="772"/>
      <c r="Y27" s="3254"/>
      <c r="Z27" s="55" t="str">
        <f>Q27</f>
        <v>人流量</v>
      </c>
      <c r="AA27" s="1813">
        <f>D27/F27</f>
        <v>1</v>
      </c>
      <c r="AB27" s="1813">
        <f>D27/H27</f>
        <v>1</v>
      </c>
      <c r="AC27" s="1813">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61"/>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54"/>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61"/>
      <c r="Q29" s="1812">
        <f t="shared" si="11"/>
        <v>111</v>
      </c>
      <c r="R29" s="774" t="s">
        <v>17</v>
      </c>
      <c r="S29" s="775">
        <f t="shared" si="12"/>
        <v>100</v>
      </c>
      <c r="T29" s="774" t="s">
        <v>17</v>
      </c>
      <c r="U29" s="775">
        <f t="shared" si="13"/>
        <v>100</v>
      </c>
      <c r="V29" s="774" t="s">
        <v>17</v>
      </c>
      <c r="W29" s="775">
        <f t="shared" si="14"/>
        <v>100</v>
      </c>
      <c r="X29" s="1815"/>
      <c r="Y29" s="3254"/>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61"/>
      <c r="Q30" s="1812">
        <f t="shared" si="11"/>
        <v>111</v>
      </c>
      <c r="R30" s="774" t="s">
        <v>17</v>
      </c>
      <c r="S30" s="775">
        <f t="shared" si="12"/>
        <v>100</v>
      </c>
      <c r="T30" s="774" t="s">
        <v>17</v>
      </c>
      <c r="U30" s="775">
        <f t="shared" si="13"/>
        <v>100</v>
      </c>
      <c r="V30" s="774" t="s">
        <v>17</v>
      </c>
      <c r="W30" s="775">
        <f t="shared" si="14"/>
        <v>100</v>
      </c>
      <c r="X30" s="1815"/>
      <c r="Y30" s="3254"/>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61"/>
      <c r="Q31" s="1812">
        <f t="shared" si="11"/>
        <v>111</v>
      </c>
      <c r="R31" s="774" t="s">
        <v>17</v>
      </c>
      <c r="S31" s="775">
        <f t="shared" si="12"/>
        <v>100</v>
      </c>
      <c r="T31" s="774" t="s">
        <v>17</v>
      </c>
      <c r="U31" s="775">
        <f t="shared" si="13"/>
        <v>100</v>
      </c>
      <c r="V31" s="774" t="s">
        <v>17</v>
      </c>
      <c r="W31" s="775">
        <f t="shared" si="14"/>
        <v>100</v>
      </c>
      <c r="X31" s="1815"/>
      <c r="Y31" s="3254"/>
      <c r="Z31" s="1816">
        <f t="shared" si="15"/>
        <v>111</v>
      </c>
      <c r="AA31" s="1813">
        <f t="shared" si="3"/>
        <v>1</v>
      </c>
      <c r="AB31" s="1813">
        <f t="shared" si="4"/>
        <v>1</v>
      </c>
      <c r="AC31" s="1813">
        <f t="shared" si="5"/>
        <v>1</v>
      </c>
    </row>
    <row r="32" spans="1:29" ht="15">
      <c r="A32" s="440" t="s">
        <v>2566</v>
      </c>
      <c r="B32" s="71" t="s">
        <v>2663</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55" t="s">
        <v>2568</v>
      </c>
      <c r="Q32" s="1812" t="str">
        <f t="shared" si="11"/>
        <v>商业类型</v>
      </c>
      <c r="R32" s="774" t="s">
        <v>17</v>
      </c>
      <c r="S32" s="775">
        <f t="shared" si="12"/>
        <v>100</v>
      </c>
      <c r="T32" s="774" t="s">
        <v>17</v>
      </c>
      <c r="U32" s="775">
        <f t="shared" si="13"/>
        <v>100</v>
      </c>
      <c r="V32" s="774" t="s">
        <v>17</v>
      </c>
      <c r="W32" s="775">
        <f t="shared" si="14"/>
        <v>100</v>
      </c>
      <c r="X32" s="1815"/>
      <c r="Y32" s="3258" t="s">
        <v>2568</v>
      </c>
      <c r="Z32" s="1816" t="str">
        <f t="shared" si="15"/>
        <v>商业类型</v>
      </c>
      <c r="AA32" s="1813">
        <f t="shared" si="3"/>
        <v>1</v>
      </c>
      <c r="AB32" s="1813">
        <f t="shared" si="4"/>
        <v>1</v>
      </c>
      <c r="AC32" s="1813">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56"/>
      <c r="Q33" s="776" t="str">
        <f t="shared" si="11"/>
        <v>项目建筑规模</v>
      </c>
      <c r="R33" s="777" t="s">
        <v>17</v>
      </c>
      <c r="S33" s="778" t="e">
        <f t="shared" si="12"/>
        <v>#N/A</v>
      </c>
      <c r="T33" s="777" t="s">
        <v>17</v>
      </c>
      <c r="U33" s="778" t="e">
        <f t="shared" si="13"/>
        <v>#N/A</v>
      </c>
      <c r="V33" s="777" t="s">
        <v>17</v>
      </c>
      <c r="W33" s="778" t="e">
        <f t="shared" si="14"/>
        <v>#N/A</v>
      </c>
      <c r="X33" s="779"/>
      <c r="Y33" s="3258"/>
      <c r="Z33" s="780" t="str">
        <f t="shared" si="15"/>
        <v>项目建筑规模</v>
      </c>
      <c r="AA33" s="1813" t="e">
        <f t="shared" si="3"/>
        <v>#N/A</v>
      </c>
      <c r="AB33" s="1813" t="e">
        <f t="shared" si="4"/>
        <v>#N/A</v>
      </c>
      <c r="AC33" s="1813" t="e">
        <f t="shared" si="5"/>
        <v>#N/A</v>
      </c>
    </row>
    <row r="34" spans="1:29" ht="15">
      <c r="A34" s="472"/>
      <c r="B34" s="422" t="s">
        <v>2570</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56"/>
      <c r="Q34" s="1812" t="str">
        <f t="shared" si="11"/>
        <v>建筑结构</v>
      </c>
      <c r="R34" s="774" t="s">
        <v>17</v>
      </c>
      <c r="S34" s="775">
        <f t="shared" si="12"/>
        <v>100</v>
      </c>
      <c r="T34" s="774" t="s">
        <v>17</v>
      </c>
      <c r="U34" s="775">
        <f t="shared" si="13"/>
        <v>100</v>
      </c>
      <c r="V34" s="774" t="s">
        <v>17</v>
      </c>
      <c r="W34" s="775">
        <f t="shared" si="14"/>
        <v>100</v>
      </c>
      <c r="X34" s="1815"/>
      <c r="Y34" s="3258"/>
      <c r="Z34" s="1816" t="str">
        <f t="shared" si="15"/>
        <v>建筑结构</v>
      </c>
      <c r="AA34" s="1813">
        <f t="shared" si="3"/>
        <v>1</v>
      </c>
      <c r="AB34" s="1813">
        <f t="shared" si="4"/>
        <v>1</v>
      </c>
      <c r="AC34" s="1813">
        <f t="shared" si="5"/>
        <v>1</v>
      </c>
    </row>
    <row r="35" spans="1:29" ht="15">
      <c r="A35" s="472"/>
      <c r="B35" s="422" t="s">
        <v>2664</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56"/>
      <c r="Q35" s="1812" t="str">
        <f t="shared" si="11"/>
        <v>公共部分装修</v>
      </c>
      <c r="R35" s="774" t="s">
        <v>17</v>
      </c>
      <c r="S35" s="775">
        <f t="shared" si="12"/>
        <v>100</v>
      </c>
      <c r="T35" s="774" t="s">
        <v>17</v>
      </c>
      <c r="U35" s="775">
        <f t="shared" si="13"/>
        <v>100</v>
      </c>
      <c r="V35" s="774" t="s">
        <v>17</v>
      </c>
      <c r="W35" s="775">
        <f t="shared" si="14"/>
        <v>100</v>
      </c>
      <c r="X35" s="1815"/>
      <c r="Y35" s="3258"/>
      <c r="Z35" s="1816" t="str">
        <f t="shared" si="15"/>
        <v>公共部分装修</v>
      </c>
      <c r="AA35" s="1813">
        <f t="shared" si="3"/>
        <v>1</v>
      </c>
      <c r="AB35" s="1813">
        <f t="shared" si="4"/>
        <v>1</v>
      </c>
      <c r="AC35" s="1813">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56"/>
      <c r="Q36" s="1812" t="str">
        <f t="shared" si="11"/>
        <v>成新度</v>
      </c>
      <c r="R36" s="774" t="s">
        <v>17</v>
      </c>
      <c r="S36" s="775" t="e">
        <f t="shared" si="12"/>
        <v>#N/A</v>
      </c>
      <c r="T36" s="774" t="s">
        <v>17</v>
      </c>
      <c r="U36" s="775" t="e">
        <f t="shared" si="13"/>
        <v>#N/A</v>
      </c>
      <c r="V36" s="774" t="s">
        <v>17</v>
      </c>
      <c r="W36" s="775" t="e">
        <f t="shared" si="14"/>
        <v>#N/A</v>
      </c>
      <c r="X36" s="1815"/>
      <c r="Y36" s="3258"/>
      <c r="Z36" s="1816" t="str">
        <f t="shared" si="15"/>
        <v>成新度</v>
      </c>
      <c r="AA36" s="1813" t="e">
        <f t="shared" si="3"/>
        <v>#N/A</v>
      </c>
      <c r="AB36" s="1813" t="e">
        <f t="shared" si="4"/>
        <v>#N/A</v>
      </c>
      <c r="AC36" s="1813" t="e">
        <f t="shared" si="5"/>
        <v>#N/A</v>
      </c>
    </row>
    <row r="37" spans="1:29" s="117" customFormat="1" ht="15">
      <c r="A37" s="473"/>
      <c r="B37" s="422" t="s">
        <v>2666</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56"/>
      <c r="Q37" s="1797" t="str">
        <f t="shared" si="11"/>
        <v>市政基础设施</v>
      </c>
      <c r="R37" s="770" t="s">
        <v>17</v>
      </c>
      <c r="S37" s="771">
        <f t="shared" si="12"/>
        <v>100</v>
      </c>
      <c r="T37" s="770" t="s">
        <v>17</v>
      </c>
      <c r="U37" s="771">
        <f t="shared" si="13"/>
        <v>100</v>
      </c>
      <c r="V37" s="770" t="s">
        <v>17</v>
      </c>
      <c r="W37" s="771">
        <f t="shared" si="14"/>
        <v>100</v>
      </c>
      <c r="X37" s="772"/>
      <c r="Y37" s="3258"/>
      <c r="Z37" s="55" t="str">
        <f t="shared" si="15"/>
        <v>市政基础设施</v>
      </c>
      <c r="AA37" s="773">
        <f t="shared" si="3"/>
        <v>1</v>
      </c>
      <c r="AB37" s="773">
        <f t="shared" si="4"/>
        <v>1</v>
      </c>
      <c r="AC37" s="773">
        <f t="shared" si="5"/>
        <v>1</v>
      </c>
    </row>
    <row r="38" spans="1:29" ht="15">
      <c r="A38" s="472"/>
      <c r="B38" s="422" t="s">
        <v>2667</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56" t="s">
        <v>2568</v>
      </c>
      <c r="Q38" s="1812" t="str">
        <f t="shared" si="11"/>
        <v>业态</v>
      </c>
      <c r="R38" s="774" t="s">
        <v>17</v>
      </c>
      <c r="S38" s="775">
        <f t="shared" si="12"/>
        <v>100</v>
      </c>
      <c r="T38" s="774" t="s">
        <v>17</v>
      </c>
      <c r="U38" s="775">
        <f t="shared" si="13"/>
        <v>100</v>
      </c>
      <c r="V38" s="774" t="s">
        <v>17</v>
      </c>
      <c r="W38" s="775">
        <f t="shared" si="14"/>
        <v>100</v>
      </c>
      <c r="X38" s="1815"/>
      <c r="Y38" s="3258" t="s">
        <v>2568</v>
      </c>
      <c r="Z38" s="1816" t="str">
        <f t="shared" si="15"/>
        <v>业态</v>
      </c>
      <c r="AA38" s="1813">
        <f t="shared" si="3"/>
        <v>1</v>
      </c>
      <c r="AB38" s="1813">
        <f t="shared" si="4"/>
        <v>1</v>
      </c>
      <c r="AC38" s="1813">
        <f t="shared" si="5"/>
        <v>1</v>
      </c>
    </row>
    <row r="39" spans="1:29" ht="15">
      <c r="A39" s="472"/>
      <c r="B39" s="422" t="s">
        <v>2668</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56"/>
      <c r="Q39" s="1812" t="str">
        <f t="shared" si="11"/>
        <v>层高</v>
      </c>
      <c r="R39" s="774" t="s">
        <v>17</v>
      </c>
      <c r="S39" s="775">
        <f t="shared" si="12"/>
        <v>100</v>
      </c>
      <c r="T39" s="774" t="s">
        <v>17</v>
      </c>
      <c r="U39" s="775">
        <f t="shared" si="13"/>
        <v>100</v>
      </c>
      <c r="V39" s="774" t="s">
        <v>17</v>
      </c>
      <c r="W39" s="775">
        <f t="shared" si="14"/>
        <v>100</v>
      </c>
      <c r="X39" s="1815"/>
      <c r="Y39" s="3258"/>
      <c r="Z39" s="1816" t="str">
        <f t="shared" si="15"/>
        <v>层高</v>
      </c>
      <c r="AA39" s="1813">
        <f t="shared" si="3"/>
        <v>1</v>
      </c>
      <c r="AB39" s="1813">
        <f t="shared" si="4"/>
        <v>1</v>
      </c>
      <c r="AC39" s="1813">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56"/>
      <c r="Q40" s="1812" t="str">
        <f t="shared" si="11"/>
        <v>单套建筑面积</v>
      </c>
      <c r="R40" s="774" t="s">
        <v>17</v>
      </c>
      <c r="S40" s="775">
        <f t="shared" si="12"/>
        <v>100</v>
      </c>
      <c r="T40" s="774" t="s">
        <v>17</v>
      </c>
      <c r="U40" s="775">
        <f t="shared" si="13"/>
        <v>100</v>
      </c>
      <c r="V40" s="774" t="s">
        <v>17</v>
      </c>
      <c r="W40" s="775">
        <f t="shared" si="14"/>
        <v>100</v>
      </c>
      <c r="X40" s="1815"/>
      <c r="Y40" s="3258"/>
      <c r="Z40" s="1816" t="str">
        <f t="shared" si="15"/>
        <v>单套建筑面积</v>
      </c>
      <c r="AA40" s="1813">
        <f t="shared" si="3"/>
        <v>1</v>
      </c>
      <c r="AB40" s="1813">
        <f t="shared" si="4"/>
        <v>1</v>
      </c>
      <c r="AC40" s="1813">
        <f t="shared" si="5"/>
        <v>1</v>
      </c>
    </row>
    <row r="41" spans="1:29" s="471" customFormat="1" ht="15">
      <c r="A41" s="468"/>
      <c r="B41" s="1814"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56"/>
      <c r="Q41" s="776" t="str">
        <f t="shared" si="11"/>
        <v>进深比</v>
      </c>
      <c r="R41" s="777" t="s">
        <v>17</v>
      </c>
      <c r="S41" s="778">
        <f t="shared" si="12"/>
        <v>100</v>
      </c>
      <c r="T41" s="777" t="s">
        <v>17</v>
      </c>
      <c r="U41" s="778">
        <f t="shared" si="13"/>
        <v>100</v>
      </c>
      <c r="V41" s="777" t="s">
        <v>17</v>
      </c>
      <c r="W41" s="778">
        <f t="shared" si="14"/>
        <v>100</v>
      </c>
      <c r="X41" s="779"/>
      <c r="Y41" s="3258"/>
      <c r="Z41" s="780" t="str">
        <f t="shared" si="15"/>
        <v>进深比</v>
      </c>
      <c r="AA41" s="1813">
        <f t="shared" si="3"/>
        <v>1</v>
      </c>
      <c r="AB41" s="1813">
        <f t="shared" si="4"/>
        <v>1</v>
      </c>
      <c r="AC41" s="1813">
        <f t="shared" si="5"/>
        <v>1</v>
      </c>
    </row>
    <row r="42" spans="1:29" ht="15">
      <c r="A42" s="472"/>
      <c r="B42" s="422" t="s">
        <v>2671</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56"/>
      <c r="Q42" s="1812" t="str">
        <f t="shared" si="11"/>
        <v>内部装修</v>
      </c>
      <c r="R42" s="774" t="s">
        <v>17</v>
      </c>
      <c r="S42" s="775">
        <f t="shared" si="12"/>
        <v>100</v>
      </c>
      <c r="T42" s="774" t="s">
        <v>17</v>
      </c>
      <c r="U42" s="775">
        <f t="shared" si="13"/>
        <v>100</v>
      </c>
      <c r="V42" s="774" t="s">
        <v>17</v>
      </c>
      <c r="W42" s="775">
        <f t="shared" si="14"/>
        <v>100</v>
      </c>
      <c r="X42" s="1815"/>
      <c r="Y42" s="3258"/>
      <c r="Z42" s="1816" t="str">
        <f t="shared" si="15"/>
        <v>内部装修</v>
      </c>
      <c r="AA42" s="1813">
        <f t="shared" si="3"/>
        <v>1</v>
      </c>
      <c r="AB42" s="1813">
        <f t="shared" si="4"/>
        <v>1</v>
      </c>
      <c r="AC42" s="1813">
        <f t="shared" si="5"/>
        <v>1</v>
      </c>
    </row>
    <row r="43" spans="1:29" ht="15">
      <c r="A43" s="472"/>
      <c r="B43" s="422" t="s">
        <v>2579</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56"/>
      <c r="Q43" s="1812" t="str">
        <f t="shared" si="11"/>
        <v>内部装修维护情况</v>
      </c>
      <c r="R43" s="774" t="s">
        <v>17</v>
      </c>
      <c r="S43" s="775">
        <f t="shared" si="12"/>
        <v>100</v>
      </c>
      <c r="T43" s="774" t="s">
        <v>17</v>
      </c>
      <c r="U43" s="775">
        <f t="shared" si="13"/>
        <v>100</v>
      </c>
      <c r="V43" s="774" t="s">
        <v>17</v>
      </c>
      <c r="W43" s="775">
        <f t="shared" si="14"/>
        <v>100</v>
      </c>
      <c r="X43" s="1815"/>
      <c r="Y43" s="3258"/>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56"/>
      <c r="Q44" s="1797">
        <f t="shared" si="11"/>
        <v>111</v>
      </c>
      <c r="R44" s="770" t="s">
        <v>17</v>
      </c>
      <c r="S44" s="771">
        <f t="shared" si="12"/>
        <v>100</v>
      </c>
      <c r="T44" s="770" t="s">
        <v>17</v>
      </c>
      <c r="U44" s="771">
        <f t="shared" si="13"/>
        <v>100</v>
      </c>
      <c r="V44" s="770" t="s">
        <v>17</v>
      </c>
      <c r="W44" s="771">
        <f t="shared" si="14"/>
        <v>100</v>
      </c>
      <c r="X44" s="772"/>
      <c r="Y44" s="325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56"/>
      <c r="Q45" s="1812">
        <f t="shared" si="11"/>
        <v>111</v>
      </c>
      <c r="R45" s="774" t="s">
        <v>17</v>
      </c>
      <c r="S45" s="775">
        <f t="shared" si="12"/>
        <v>100</v>
      </c>
      <c r="T45" s="774" t="s">
        <v>17</v>
      </c>
      <c r="U45" s="775">
        <f t="shared" si="13"/>
        <v>100</v>
      </c>
      <c r="V45" s="774" t="s">
        <v>17</v>
      </c>
      <c r="W45" s="775">
        <f t="shared" si="14"/>
        <v>100</v>
      </c>
      <c r="X45" s="1815"/>
      <c r="Y45" s="3258"/>
      <c r="Z45" s="1816">
        <f t="shared" si="15"/>
        <v>111</v>
      </c>
      <c r="AA45" s="1813">
        <f t="shared" si="3"/>
        <v>1</v>
      </c>
      <c r="AB45" s="1813">
        <f t="shared" si="4"/>
        <v>1</v>
      </c>
      <c r="AC45" s="1813">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57"/>
      <c r="Q46" s="1812">
        <f t="shared" si="11"/>
        <v>111</v>
      </c>
      <c r="R46" s="774" t="s">
        <v>17</v>
      </c>
      <c r="S46" s="775">
        <f t="shared" si="12"/>
        <v>100</v>
      </c>
      <c r="T46" s="774" t="s">
        <v>17</v>
      </c>
      <c r="U46" s="775">
        <f t="shared" si="13"/>
        <v>100</v>
      </c>
      <c r="V46" s="774" t="s">
        <v>17</v>
      </c>
      <c r="W46" s="775">
        <f t="shared" si="14"/>
        <v>100</v>
      </c>
      <c r="X46" s="1815"/>
      <c r="Y46" s="3259"/>
      <c r="Z46" s="1816">
        <f t="shared" si="15"/>
        <v>111</v>
      </c>
      <c r="AA46" s="1813">
        <f t="shared" si="3"/>
        <v>1</v>
      </c>
      <c r="AB46" s="1813">
        <f t="shared" si="4"/>
        <v>1</v>
      </c>
      <c r="AC46" s="1813">
        <f t="shared" si="5"/>
        <v>1</v>
      </c>
    </row>
    <row r="47" spans="1:29" ht="15">
      <c r="A47" s="479" t="s">
        <v>2580</v>
      </c>
      <c r="B47" s="480"/>
      <c r="C47" s="1410" t="s">
        <v>1</v>
      </c>
      <c r="D47" s="1411"/>
      <c r="E47" s="1412"/>
      <c r="F47" s="1413"/>
      <c r="G47" s="1414"/>
      <c r="H47" s="1415"/>
      <c r="I47" s="1412"/>
      <c r="J47" s="1415"/>
      <c r="K47" s="783"/>
      <c r="L47" s="1146"/>
      <c r="M47" s="1147"/>
      <c r="N47" s="1134"/>
      <c r="O47" s="1147"/>
      <c r="P47" s="3251" t="str">
        <f>A47</f>
        <v>成交单价（元/平方米）</v>
      </c>
      <c r="Q47" s="3251"/>
      <c r="R47" s="3282">
        <f>E47</f>
        <v>0</v>
      </c>
      <c r="S47" s="3282"/>
      <c r="T47" s="3282">
        <f>G47</f>
        <v>0</v>
      </c>
      <c r="U47" s="3282"/>
      <c r="V47" s="3282">
        <f>I47</f>
        <v>0</v>
      </c>
      <c r="W47" s="3282"/>
      <c r="X47" s="759"/>
      <c r="Y47" s="781"/>
      <c r="Z47" s="759"/>
      <c r="AA47" s="759"/>
      <c r="AB47" s="759"/>
      <c r="AC47" s="759"/>
    </row>
    <row r="48" spans="1:29" ht="15.75" thickBot="1">
      <c r="A48" s="486" t="s">
        <v>2672</v>
      </c>
      <c r="B48" s="487"/>
      <c r="C48" s="1416" t="e">
        <f>R49</f>
        <v>#DIV/0!</v>
      </c>
      <c r="D48" s="1417"/>
      <c r="E48" s="1418" t="e">
        <f>R48</f>
        <v>#DIV/0!</v>
      </c>
      <c r="F48" s="1418"/>
      <c r="G48" s="1416" t="e">
        <f>T48</f>
        <v>#DIV/0!</v>
      </c>
      <c r="H48" s="1417"/>
      <c r="I48" s="1418" t="e">
        <f>V48</f>
        <v>#DIV/0!</v>
      </c>
      <c r="J48" s="1417"/>
      <c r="K48" s="784"/>
      <c r="L48" s="1146"/>
      <c r="M48" s="1147"/>
      <c r="N48" s="1134"/>
      <c r="O48" s="1147"/>
      <c r="P48" s="3251" t="str">
        <f>A48</f>
        <v>比较价值（元/平方米）</v>
      </c>
      <c r="Q48" s="3251"/>
      <c r="R48" s="3252" t="e">
        <f>IF(F1="售价",ROUND(PRODUCT(R47,AA7:AA46),0),ROUND(PRODUCT(R47,AA7:AA46),1))</f>
        <v>#DIV/0!</v>
      </c>
      <c r="S48" s="3252"/>
      <c r="T48" s="3252" t="e">
        <f>IF(F1="售价",ROUND(PRODUCT(T47,AB7:AB46),0),ROUND(PRODUCT(T47,AB7:AB46),1))</f>
        <v>#DIV/0!</v>
      </c>
      <c r="U48" s="3252"/>
      <c r="V48" s="3252" t="e">
        <f>IF(F1="售价",ROUND(PRODUCT(V47,AC7:AC46),0),ROUND(PRODUCT(V47,AC7:AC46),1))</f>
        <v>#DIV/0!</v>
      </c>
      <c r="W48" s="3252"/>
      <c r="X48" s="759"/>
      <c r="Y48" s="759"/>
      <c r="Z48" s="759"/>
      <c r="AA48" s="759"/>
      <c r="AB48" s="759"/>
      <c r="AC48" s="759"/>
    </row>
    <row r="49" spans="1:29" ht="15.75" thickBot="1">
      <c r="A49" s="492" t="s">
        <v>2673</v>
      </c>
      <c r="B49" s="493"/>
      <c r="C49" s="1420" t="e">
        <f>R49</f>
        <v>#DIV/0!</v>
      </c>
      <c r="D49" s="1420"/>
      <c r="E49" s="1420"/>
      <c r="F49" s="1420"/>
      <c r="G49" s="1420"/>
      <c r="H49" s="1420"/>
      <c r="I49" s="1420"/>
      <c r="J49" s="1420"/>
      <c r="K49" s="785"/>
      <c r="L49" s="1146"/>
      <c r="M49" s="1147"/>
      <c r="N49" s="1134"/>
      <c r="O49" s="1147"/>
      <c r="P49" s="3248" t="str">
        <f>A49</f>
        <v>估价对象XX用房的比较价值（楼面单价，元/平方米）</v>
      </c>
      <c r="Q49" s="3249"/>
      <c r="R49" s="3250" t="e">
        <f>IF(F1="售价",ROUND(AVERAGE(R48:V48),0),ROUND(AVERAGE(R48:V48),1))</f>
        <v>#DIV/0!</v>
      </c>
      <c r="S49" s="3250"/>
      <c r="T49" s="3250"/>
      <c r="U49" s="3250"/>
      <c r="V49" s="3250"/>
      <c r="W49" s="325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2551</v>
      </c>
      <c r="B58" s="506"/>
      <c r="C58" s="1577" t="str">
        <f>YEAR(C7)&amp;"-"&amp;MONTH(C7)</f>
        <v>2018-1</v>
      </c>
      <c r="D58" s="1578">
        <f>EDATE(C58,-1)</f>
        <v>43070</v>
      </c>
      <c r="E58" s="1578">
        <f t="shared" ref="E58:N58" si="16">EDATE(D58,-1)</f>
        <v>43040</v>
      </c>
      <c r="F58" s="1578">
        <f t="shared" si="16"/>
        <v>43009</v>
      </c>
      <c r="G58" s="1578">
        <f t="shared" si="16"/>
        <v>42979</v>
      </c>
      <c r="H58" s="1578">
        <f t="shared" si="16"/>
        <v>42948</v>
      </c>
      <c r="I58" s="1578">
        <f t="shared" si="16"/>
        <v>42917</v>
      </c>
      <c r="J58" s="1578">
        <f t="shared" si="16"/>
        <v>42887</v>
      </c>
      <c r="K58" s="1578">
        <f t="shared" si="16"/>
        <v>42856</v>
      </c>
      <c r="L58" s="1578">
        <f t="shared" si="16"/>
        <v>42826</v>
      </c>
      <c r="M58" s="1578">
        <f t="shared" si="16"/>
        <v>42795</v>
      </c>
      <c r="N58" s="1578">
        <f t="shared" si="16"/>
        <v>42767</v>
      </c>
      <c r="O58" s="1578">
        <f>EDATE(N58,-1)</f>
        <v>42736</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2588</v>
      </c>
      <c r="B60" s="516"/>
      <c r="C60" s="517"/>
      <c r="D60" s="518"/>
      <c r="E60" s="518"/>
      <c r="F60" s="518"/>
      <c r="G60" s="518"/>
      <c r="H60" s="518"/>
      <c r="I60" s="518"/>
      <c r="J60" s="518"/>
      <c r="K60" s="518"/>
      <c r="L60" s="518"/>
      <c r="M60" s="519"/>
      <c r="N60" s="518"/>
      <c r="O60" s="519"/>
      <c r="P60" s="2634"/>
      <c r="Q60" s="504"/>
    </row>
    <row r="61" spans="1:29" s="117" customFormat="1" ht="15">
      <c r="A61" s="521" t="s">
        <v>2553</v>
      </c>
      <c r="B61" s="510"/>
      <c r="C61" s="522" t="s">
        <v>2655</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2591</v>
      </c>
      <c r="B63" s="528" t="s">
        <v>2557</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2658</v>
      </c>
      <c r="C82" s="660" t="s">
        <v>2678</v>
      </c>
      <c r="D82" s="660" t="s">
        <v>2679</v>
      </c>
      <c r="E82" s="660" t="s">
        <v>2680</v>
      </c>
      <c r="F82" s="660" t="s">
        <v>2681</v>
      </c>
      <c r="G82" s="660" t="s">
        <v>2682</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2683</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2566</v>
      </c>
      <c r="B100" s="528" t="s">
        <v>2684</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2617</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2619</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2001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2621</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2685</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2686</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2687</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2688</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2623</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5" t="s">
        <v>2689</v>
      </c>
      <c r="C1" s="1623" t="s">
        <v>2533</v>
      </c>
      <c r="D1" s="1624"/>
      <c r="E1" s="1633"/>
      <c r="F1" s="2590"/>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IF(C2="——",ROUND(C50*D3/10000,0),ROUND(C50*D3/10000,0)-D2)</f>
        <v>#DIV/0!</v>
      </c>
      <c r="C2" s="2592"/>
      <c r="D2" s="1368" t="e">
        <f ca="1">SUMIF(INDIRECT("'"&amp;F2&amp;"'"&amp;"!A:A"),"承租人权益价值",INDIRECT("'"&amp;F2&amp;"'"&amp;"!c:c"))</f>
        <v>#REF!</v>
      </c>
      <c r="E2" s="2593" t="s">
        <v>2334</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IF(C2="——",C50,ROUND(B2*10000/D3,0))</f>
        <v>#DIV/0!</v>
      </c>
      <c r="C3" s="400" t="s">
        <v>2647</v>
      </c>
      <c r="D3" s="399">
        <f>IF(D1="",'数据-汇总表'!E3,SUMIF('数据-汇总表'!$C19:$C33,D1,'数据-汇总表'!$E19:$E33))</f>
        <v>41596.89</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2648</v>
      </c>
      <c r="B4" s="402"/>
      <c r="C4" s="3266" t="s">
        <v>2649</v>
      </c>
      <c r="D4" s="3267"/>
      <c r="E4" s="3268" t="s">
        <v>2650</v>
      </c>
      <c r="F4" s="3269"/>
      <c r="G4" s="3266" t="s">
        <v>2651</v>
      </c>
      <c r="H4" s="3267"/>
      <c r="I4" s="3266" t="s">
        <v>2652</v>
      </c>
      <c r="J4" s="3267"/>
      <c r="K4" s="610" t="s">
        <v>2653</v>
      </c>
      <c r="L4" s="1133"/>
      <c r="M4" s="1134"/>
      <c r="N4" s="1134"/>
      <c r="O4" s="1134"/>
      <c r="P4" s="3300" t="s">
        <v>2654</v>
      </c>
      <c r="Q4" s="3301"/>
      <c r="R4" s="3304" t="s">
        <v>2650</v>
      </c>
      <c r="S4" s="3305"/>
      <c r="T4" s="3304" t="s">
        <v>2651</v>
      </c>
      <c r="U4" s="3305"/>
      <c r="V4" s="3306" t="s">
        <v>2652</v>
      </c>
      <c r="W4" s="3306"/>
      <c r="X4" s="2676"/>
      <c r="Y4" s="3304" t="s">
        <v>2654</v>
      </c>
      <c r="Z4" s="3305"/>
      <c r="AA4" s="3308" t="s">
        <v>2650</v>
      </c>
      <c r="AB4" s="3308" t="s">
        <v>2651</v>
      </c>
      <c r="AC4" s="3297" t="s">
        <v>2652</v>
      </c>
    </row>
    <row r="5" spans="1:29" ht="15">
      <c r="A5" s="404"/>
      <c r="B5" s="405"/>
      <c r="C5" s="3285" t="s">
        <v>2545</v>
      </c>
      <c r="D5" s="3286"/>
      <c r="E5" s="3292" t="s">
        <v>2546</v>
      </c>
      <c r="F5" s="3293"/>
      <c r="G5" s="3285" t="s">
        <v>2547</v>
      </c>
      <c r="H5" s="3286"/>
      <c r="I5" s="3285" t="s">
        <v>2548</v>
      </c>
      <c r="J5" s="3286"/>
      <c r="K5" s="610"/>
      <c r="L5" s="1133"/>
      <c r="M5" s="1134"/>
      <c r="N5" s="1134"/>
      <c r="O5" s="1134"/>
      <c r="P5" s="3302"/>
      <c r="Q5" s="3273"/>
      <c r="R5" s="3278"/>
      <c r="S5" s="3279"/>
      <c r="T5" s="3278"/>
      <c r="U5" s="3279"/>
      <c r="V5" s="3282"/>
      <c r="W5" s="3282"/>
      <c r="X5" s="1815"/>
      <c r="Y5" s="3278"/>
      <c r="Z5" s="3279"/>
      <c r="AA5" s="3264"/>
      <c r="AB5" s="3264"/>
      <c r="AC5" s="3298"/>
    </row>
    <row r="6" spans="1:29" ht="15.75" thickBot="1">
      <c r="A6" s="406"/>
      <c r="B6" s="407"/>
      <c r="C6" s="3283" t="s">
        <v>2549</v>
      </c>
      <c r="D6" s="3284"/>
      <c r="E6" s="3290" t="s">
        <v>2549</v>
      </c>
      <c r="F6" s="3291"/>
      <c r="G6" s="3283" t="s">
        <v>2549</v>
      </c>
      <c r="H6" s="3284"/>
      <c r="I6" s="3283" t="s">
        <v>2549</v>
      </c>
      <c r="J6" s="3284"/>
      <c r="K6" s="610" t="s">
        <v>2550</v>
      </c>
      <c r="L6" s="1133"/>
      <c r="M6" s="1134"/>
      <c r="N6" s="1134"/>
      <c r="O6" s="1134"/>
      <c r="P6" s="3303"/>
      <c r="Q6" s="3275"/>
      <c r="R6" s="3278"/>
      <c r="S6" s="3279"/>
      <c r="T6" s="3280"/>
      <c r="U6" s="3281"/>
      <c r="V6" s="3282"/>
      <c r="W6" s="3282"/>
      <c r="X6" s="1815"/>
      <c r="Y6" s="3280"/>
      <c r="Z6" s="3281"/>
      <c r="AA6" s="3265"/>
      <c r="AB6" s="3265"/>
      <c r="AC6" s="3299"/>
    </row>
    <row r="7" spans="1:29" s="117" customFormat="1" ht="15.75" thickBot="1">
      <c r="A7" s="408" t="s">
        <v>2551</v>
      </c>
      <c r="B7" s="409"/>
      <c r="C7" s="410">
        <f>'数据-取费表'!B2</f>
        <v>43131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307" t="s">
        <v>2552</v>
      </c>
      <c r="Q7" s="3289"/>
      <c r="R7" s="770" t="s">
        <v>17</v>
      </c>
      <c r="S7" s="771">
        <f t="shared" ref="S7:S15" si="0">F7</f>
        <v>0</v>
      </c>
      <c r="T7" s="770" t="s">
        <v>17</v>
      </c>
      <c r="U7" s="771">
        <f t="shared" ref="U7:U15" si="1">H7</f>
        <v>0</v>
      </c>
      <c r="V7" s="770" t="s">
        <v>17</v>
      </c>
      <c r="W7" s="771">
        <f t="shared" ref="W7:W15" si="2">J7</f>
        <v>0</v>
      </c>
      <c r="X7" s="772"/>
      <c r="Y7" s="3287" t="s">
        <v>2552</v>
      </c>
      <c r="Z7" s="3288"/>
      <c r="AA7" s="773" t="e">
        <f>D7/F7</f>
        <v>#DIV/0!</v>
      </c>
      <c r="AB7" s="773" t="e">
        <f>D7/H7</f>
        <v>#DIV/0!</v>
      </c>
      <c r="AC7" s="2677"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307" t="s">
        <v>2555</v>
      </c>
      <c r="Q8" s="3288"/>
      <c r="R8" s="770" t="s">
        <v>17</v>
      </c>
      <c r="S8" s="771">
        <f t="shared" si="0"/>
        <v>0</v>
      </c>
      <c r="T8" s="770" t="s">
        <v>17</v>
      </c>
      <c r="U8" s="771">
        <f t="shared" si="1"/>
        <v>0</v>
      </c>
      <c r="V8" s="770" t="s">
        <v>17</v>
      </c>
      <c r="W8" s="771">
        <f t="shared" si="2"/>
        <v>0</v>
      </c>
      <c r="X8" s="772"/>
      <c r="Y8" s="3287" t="s">
        <v>2555</v>
      </c>
      <c r="Z8" s="3288"/>
      <c r="AA8" s="773" t="e">
        <f t="shared" ref="AA8:AA47" si="3">D8/F8</f>
        <v>#DIV/0!</v>
      </c>
      <c r="AB8" s="773" t="e">
        <f t="shared" ref="AB8:AB47" si="4">D8/H8</f>
        <v>#DIV/0!</v>
      </c>
      <c r="AC8" s="2677"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62" t="s">
        <v>2558</v>
      </c>
      <c r="Q9" s="1797" t="str">
        <f t="shared" ref="Q9:Q15" si="6">B9</f>
        <v>用途</v>
      </c>
      <c r="R9" s="770" t="s">
        <v>17</v>
      </c>
      <c r="S9" s="771">
        <f t="shared" si="0"/>
        <v>100</v>
      </c>
      <c r="T9" s="770" t="s">
        <v>17</v>
      </c>
      <c r="U9" s="771">
        <f t="shared" si="1"/>
        <v>100</v>
      </c>
      <c r="V9" s="770" t="s">
        <v>17</v>
      </c>
      <c r="W9" s="771">
        <f t="shared" si="2"/>
        <v>100</v>
      </c>
      <c r="X9" s="772"/>
      <c r="Y9" s="3046" t="s">
        <v>2559</v>
      </c>
      <c r="Z9" s="55" t="str">
        <f t="shared" ref="Z9:Z15" si="7">Q9</f>
        <v>用途</v>
      </c>
      <c r="AA9" s="773">
        <f t="shared" si="3"/>
        <v>1</v>
      </c>
      <c r="AB9" s="773">
        <f t="shared" si="4"/>
        <v>1</v>
      </c>
      <c r="AC9" s="2677">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62"/>
      <c r="Q10" s="1797"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2677">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62"/>
      <c r="Q11" s="1797"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262"/>
      <c r="Q12" s="1797">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262"/>
      <c r="Q13" s="1797">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262"/>
      <c r="Q14" s="1797">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2677">
        <f t="shared" si="5"/>
        <v>1</v>
      </c>
    </row>
    <row r="15" spans="1:29" ht="71.25">
      <c r="A15" s="440" t="s">
        <v>2562</v>
      </c>
      <c r="B15" s="629" t="s">
        <v>2690</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60" t="s">
        <v>2563</v>
      </c>
      <c r="Q15" s="1812" t="str">
        <f t="shared" si="6"/>
        <v>办公集聚程度</v>
      </c>
      <c r="R15" s="774" t="s">
        <v>17</v>
      </c>
      <c r="S15" s="775">
        <f t="shared" si="0"/>
        <v>100</v>
      </c>
      <c r="T15" s="774" t="s">
        <v>17</v>
      </c>
      <c r="U15" s="775">
        <f t="shared" si="1"/>
        <v>100</v>
      </c>
      <c r="V15" s="774" t="s">
        <v>17</v>
      </c>
      <c r="W15" s="775">
        <f t="shared" si="2"/>
        <v>100</v>
      </c>
      <c r="X15" s="1815"/>
      <c r="Y15" s="3253" t="s">
        <v>2563</v>
      </c>
      <c r="Z15" s="1816" t="str">
        <f t="shared" si="7"/>
        <v>办公集聚程度</v>
      </c>
      <c r="AA15" s="1813">
        <f t="shared" si="3"/>
        <v>1</v>
      </c>
      <c r="AB15" s="1813">
        <f t="shared" si="4"/>
        <v>1</v>
      </c>
      <c r="AC15" s="2680">
        <f t="shared" si="5"/>
        <v>1</v>
      </c>
    </row>
    <row r="16" spans="1:29" ht="15">
      <c r="A16" s="428"/>
      <c r="B16" s="630"/>
      <c r="C16" s="2617"/>
      <c r="D16" s="448"/>
      <c r="E16" s="447"/>
      <c r="F16" s="448"/>
      <c r="G16" s="2617"/>
      <c r="H16" s="450"/>
      <c r="I16" s="447"/>
      <c r="J16" s="448"/>
      <c r="K16" s="615"/>
      <c r="L16" s="1143"/>
      <c r="M16" s="1134"/>
      <c r="N16" s="1134"/>
      <c r="O16" s="1134"/>
      <c r="P16" s="3261"/>
      <c r="Q16" s="1812"/>
      <c r="R16" s="774"/>
      <c r="S16" s="775"/>
      <c r="T16" s="774"/>
      <c r="U16" s="775"/>
      <c r="V16" s="774"/>
      <c r="W16" s="775"/>
      <c r="X16" s="1815"/>
      <c r="Y16" s="3254"/>
      <c r="Z16" s="1816"/>
      <c r="AA16" s="1813">
        <v>1</v>
      </c>
      <c r="AB16" s="1813">
        <v>1</v>
      </c>
      <c r="AC16" s="2680">
        <v>1</v>
      </c>
    </row>
    <row r="17" spans="1:29" ht="71.25">
      <c r="A17" s="428"/>
      <c r="B17" s="631" t="s">
        <v>2103</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61"/>
      <c r="Q17" s="1812" t="str">
        <f>B17</f>
        <v>交通便捷度</v>
      </c>
      <c r="R17" s="774" t="s">
        <v>17</v>
      </c>
      <c r="S17" s="775">
        <f>F17</f>
        <v>100</v>
      </c>
      <c r="T17" s="774" t="s">
        <v>17</v>
      </c>
      <c r="U17" s="775">
        <f>H17</f>
        <v>100</v>
      </c>
      <c r="V17" s="774" t="s">
        <v>17</v>
      </c>
      <c r="W17" s="775">
        <f>J17</f>
        <v>100</v>
      </c>
      <c r="X17" s="1815"/>
      <c r="Y17" s="3254"/>
      <c r="Z17" s="1816" t="str">
        <f>Q17</f>
        <v>交通便捷度</v>
      </c>
      <c r="AA17" s="1813">
        <f t="shared" si="3"/>
        <v>1</v>
      </c>
      <c r="AB17" s="1813">
        <f t="shared" si="4"/>
        <v>1</v>
      </c>
      <c r="AC17" s="2680">
        <f t="shared" si="5"/>
        <v>1</v>
      </c>
    </row>
    <row r="18" spans="1:29" ht="15">
      <c r="A18" s="428"/>
      <c r="B18" s="632"/>
      <c r="C18" s="2682"/>
      <c r="D18" s="450"/>
      <c r="E18" s="2615"/>
      <c r="F18" s="450"/>
      <c r="G18" s="2616"/>
      <c r="H18" s="448"/>
      <c r="I18" s="2616"/>
      <c r="J18" s="448"/>
      <c r="K18" s="615"/>
      <c r="L18" s="1143"/>
      <c r="M18" s="1134"/>
      <c r="N18" s="1134"/>
      <c r="O18" s="1134"/>
      <c r="P18" s="3261"/>
      <c r="Q18" s="1812"/>
      <c r="R18" s="774"/>
      <c r="S18" s="775"/>
      <c r="T18" s="774"/>
      <c r="U18" s="775"/>
      <c r="V18" s="774"/>
      <c r="W18" s="775"/>
      <c r="X18" s="1815"/>
      <c r="Y18" s="3254"/>
      <c r="Z18" s="1816"/>
      <c r="AA18" s="1813">
        <v>1</v>
      </c>
      <c r="AB18" s="1813">
        <v>1</v>
      </c>
      <c r="AC18" s="2680">
        <v>1</v>
      </c>
    </row>
    <row r="19" spans="1:29" ht="42.75">
      <c r="A19" s="428"/>
      <c r="B19" s="631" t="s">
        <v>2691</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61"/>
      <c r="Q19" s="1812" t="str">
        <f>B19</f>
        <v>公共配套设施</v>
      </c>
      <c r="R19" s="774" t="s">
        <v>17</v>
      </c>
      <c r="S19" s="775">
        <f>F19</f>
        <v>100</v>
      </c>
      <c r="T19" s="774" t="s">
        <v>17</v>
      </c>
      <c r="U19" s="775">
        <f>H19</f>
        <v>100</v>
      </c>
      <c r="V19" s="774" t="s">
        <v>17</v>
      </c>
      <c r="W19" s="775">
        <f>J19</f>
        <v>100</v>
      </c>
      <c r="X19" s="1815"/>
      <c r="Y19" s="3254"/>
      <c r="Z19" s="1816" t="str">
        <f>Q19</f>
        <v>公共配套设施</v>
      </c>
      <c r="AA19" s="1813">
        <f t="shared" si="3"/>
        <v>1</v>
      </c>
      <c r="AB19" s="1813">
        <f t="shared" si="4"/>
        <v>1</v>
      </c>
      <c r="AC19" s="2680">
        <f t="shared" si="5"/>
        <v>1</v>
      </c>
    </row>
    <row r="20" spans="1:29" ht="15">
      <c r="A20" s="428"/>
      <c r="B20" s="632"/>
      <c r="C20" s="2617"/>
      <c r="D20" s="448"/>
      <c r="E20" s="2610"/>
      <c r="F20" s="448"/>
      <c r="G20" s="2611"/>
      <c r="H20" s="448"/>
      <c r="I20" s="2611"/>
      <c r="J20" s="448"/>
      <c r="K20" s="615"/>
      <c r="L20" s="1143"/>
      <c r="M20" s="1134"/>
      <c r="N20" s="1134"/>
      <c r="O20" s="1134"/>
      <c r="P20" s="3261"/>
      <c r="Q20" s="1812"/>
      <c r="R20" s="774"/>
      <c r="S20" s="775"/>
      <c r="T20" s="774"/>
      <c r="U20" s="775"/>
      <c r="V20" s="774"/>
      <c r="W20" s="775"/>
      <c r="X20" s="1815"/>
      <c r="Y20" s="3254"/>
      <c r="Z20" s="1816"/>
      <c r="AA20" s="1813">
        <v>1</v>
      </c>
      <c r="AB20" s="1813">
        <v>1</v>
      </c>
      <c r="AC20" s="2680">
        <v>1</v>
      </c>
    </row>
    <row r="21" spans="1:29" ht="28.5">
      <c r="A21" s="428"/>
      <c r="B21" s="633" t="s">
        <v>2692</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61"/>
      <c r="Q21" s="1812" t="str">
        <f>B21</f>
        <v>基础设施水平</v>
      </c>
      <c r="R21" s="774" t="s">
        <v>17</v>
      </c>
      <c r="S21" s="775">
        <f>F21</f>
        <v>100</v>
      </c>
      <c r="T21" s="774" t="s">
        <v>17</v>
      </c>
      <c r="U21" s="775">
        <f>H21</f>
        <v>100</v>
      </c>
      <c r="V21" s="774" t="s">
        <v>17</v>
      </c>
      <c r="W21" s="775">
        <f>J21</f>
        <v>100</v>
      </c>
      <c r="X21" s="1815"/>
      <c r="Y21" s="3254"/>
      <c r="Z21" s="1816" t="str">
        <f>Q21</f>
        <v>基础设施水平</v>
      </c>
      <c r="AA21" s="1813">
        <f t="shared" ref="AA21" si="8">D21/F21</f>
        <v>1</v>
      </c>
      <c r="AB21" s="1813">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261"/>
      <c r="Q22" s="1812"/>
      <c r="R22" s="774"/>
      <c r="S22" s="775"/>
      <c r="T22" s="774"/>
      <c r="U22" s="775"/>
      <c r="V22" s="774"/>
      <c r="W22" s="775"/>
      <c r="X22" s="1815"/>
      <c r="Y22" s="3254"/>
      <c r="Z22" s="1816"/>
      <c r="AA22" s="1813">
        <v>1</v>
      </c>
      <c r="AB22" s="1813">
        <v>1</v>
      </c>
      <c r="AC22" s="2680">
        <v>1</v>
      </c>
    </row>
    <row r="23" spans="1:29" ht="42.75">
      <c r="A23" s="428"/>
      <c r="B23" s="631" t="s">
        <v>2693</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61"/>
      <c r="Q23" s="1812" t="str">
        <f>B23</f>
        <v>环境质量</v>
      </c>
      <c r="R23" s="774" t="s">
        <v>17</v>
      </c>
      <c r="S23" s="775">
        <f>F23</f>
        <v>100</v>
      </c>
      <c r="T23" s="774" t="s">
        <v>17</v>
      </c>
      <c r="U23" s="775">
        <f>H23</f>
        <v>100</v>
      </c>
      <c r="V23" s="774" t="s">
        <v>17</v>
      </c>
      <c r="W23" s="775">
        <f>J23</f>
        <v>100</v>
      </c>
      <c r="X23" s="1815"/>
      <c r="Y23" s="3254"/>
      <c r="Z23" s="1816" t="str">
        <f>Q23</f>
        <v>环境质量</v>
      </c>
      <c r="AA23" s="1813">
        <f t="shared" si="3"/>
        <v>1</v>
      </c>
      <c r="AB23" s="1813">
        <f t="shared" si="4"/>
        <v>1</v>
      </c>
      <c r="AC23" s="2680">
        <f t="shared" si="5"/>
        <v>1</v>
      </c>
    </row>
    <row r="24" spans="1:29" ht="15">
      <c r="A24" s="428"/>
      <c r="B24" s="633"/>
      <c r="C24" s="2617"/>
      <c r="D24" s="448"/>
      <c r="E24" s="2610"/>
      <c r="F24" s="448"/>
      <c r="G24" s="2611"/>
      <c r="H24" s="448"/>
      <c r="I24" s="2611"/>
      <c r="J24" s="448"/>
      <c r="K24" s="615"/>
      <c r="L24" s="1143"/>
      <c r="M24" s="1134"/>
      <c r="N24" s="1134"/>
      <c r="O24" s="1134"/>
      <c r="P24" s="3261"/>
      <c r="Q24" s="1812"/>
      <c r="R24" s="774"/>
      <c r="S24" s="775"/>
      <c r="T24" s="774"/>
      <c r="U24" s="775"/>
      <c r="V24" s="774"/>
      <c r="W24" s="775"/>
      <c r="X24" s="1815"/>
      <c r="Y24" s="3254"/>
      <c r="Z24" s="1816"/>
      <c r="AA24" s="1813">
        <v>1</v>
      </c>
      <c r="AB24" s="1813">
        <v>1</v>
      </c>
      <c r="AC24" s="2680">
        <v>1</v>
      </c>
    </row>
    <row r="25" spans="1:29" ht="27">
      <c r="A25" s="404"/>
      <c r="B25" s="631" t="s">
        <v>2694</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61"/>
      <c r="Q25" s="1812" t="str">
        <f>B25</f>
        <v>毗邻道路的类型与等级</v>
      </c>
      <c r="R25" s="774" t="s">
        <v>17</v>
      </c>
      <c r="S25" s="775">
        <f>F25</f>
        <v>100</v>
      </c>
      <c r="T25" s="774" t="s">
        <v>17</v>
      </c>
      <c r="U25" s="775">
        <f>H25</f>
        <v>100</v>
      </c>
      <c r="V25" s="774" t="s">
        <v>17</v>
      </c>
      <c r="W25" s="775">
        <f>J25</f>
        <v>100</v>
      </c>
      <c r="X25" s="1815"/>
      <c r="Y25" s="3254"/>
      <c r="Z25" s="1816" t="str">
        <f>Q25</f>
        <v>毗邻道路的类型与等级</v>
      </c>
      <c r="AA25" s="1813">
        <f t="shared" si="3"/>
        <v>1</v>
      </c>
      <c r="AB25" s="1813">
        <f t="shared" si="4"/>
        <v>1</v>
      </c>
      <c r="AC25" s="2680">
        <f t="shared" si="5"/>
        <v>1</v>
      </c>
    </row>
    <row r="26" spans="1:29" ht="15">
      <c r="A26" s="404"/>
      <c r="B26" s="632"/>
      <c r="C26" s="634"/>
      <c r="D26" s="435"/>
      <c r="E26" s="616"/>
      <c r="F26" s="435"/>
      <c r="G26" s="634"/>
      <c r="H26" s="435"/>
      <c r="I26" s="616"/>
      <c r="J26" s="435"/>
      <c r="K26" s="615"/>
      <c r="L26" s="1143"/>
      <c r="M26" s="1134"/>
      <c r="N26" s="1134"/>
      <c r="O26" s="1134"/>
      <c r="P26" s="3261"/>
      <c r="Q26" s="1812"/>
      <c r="R26" s="774"/>
      <c r="S26" s="775"/>
      <c r="T26" s="774"/>
      <c r="U26" s="775"/>
      <c r="V26" s="774"/>
      <c r="W26" s="775"/>
      <c r="X26" s="1815"/>
      <c r="Y26" s="3254"/>
      <c r="Z26" s="1816"/>
      <c r="AA26" s="1813">
        <v>1</v>
      </c>
      <c r="AB26" s="1813">
        <v>1</v>
      </c>
      <c r="AC26" s="2680">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61"/>
      <c r="Q27" s="1812" t="str">
        <f t="shared" ref="Q27:Q47" si="11">B27</f>
        <v>楼层</v>
      </c>
      <c r="R27" s="774" t="s">
        <v>17</v>
      </c>
      <c r="S27" s="775">
        <f>F27</f>
        <v>100</v>
      </c>
      <c r="T27" s="774" t="s">
        <v>17</v>
      </c>
      <c r="U27" s="775">
        <f>H27</f>
        <v>100</v>
      </c>
      <c r="V27" s="774" t="s">
        <v>17</v>
      </c>
      <c r="W27" s="775">
        <f>J27</f>
        <v>100</v>
      </c>
      <c r="X27" s="1815"/>
      <c r="Y27" s="3254"/>
      <c r="Z27" s="1816" t="str">
        <f>Q27</f>
        <v>楼层</v>
      </c>
      <c r="AA27" s="1813">
        <f t="shared" si="3"/>
        <v>1</v>
      </c>
      <c r="AB27" s="1813">
        <f t="shared" si="4"/>
        <v>1</v>
      </c>
      <c r="AC27" s="2680">
        <f t="shared" si="5"/>
        <v>1</v>
      </c>
    </row>
    <row r="28" spans="1:29" s="117" customFormat="1" ht="15">
      <c r="A28" s="431"/>
      <c r="B28" s="631" t="s">
        <v>2695</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261"/>
      <c r="Q28" s="1797" t="str">
        <f t="shared" si="11"/>
        <v>朝向</v>
      </c>
      <c r="R28" s="770" t="s">
        <v>17</v>
      </c>
      <c r="S28" s="771">
        <f>F28</f>
        <v>100</v>
      </c>
      <c r="T28" s="770" t="s">
        <v>17</v>
      </c>
      <c r="U28" s="771">
        <f>H28</f>
        <v>100</v>
      </c>
      <c r="V28" s="770" t="s">
        <v>17</v>
      </c>
      <c r="W28" s="771">
        <f>J28</f>
        <v>100</v>
      </c>
      <c r="X28" s="772"/>
      <c r="Y28" s="3254"/>
      <c r="Z28" s="55" t="str">
        <f>Q28</f>
        <v>朝向</v>
      </c>
      <c r="AA28" s="1813">
        <f>D28/F28</f>
        <v>1</v>
      </c>
      <c r="AB28" s="1813">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61"/>
      <c r="Q29" s="1812">
        <f t="shared" si="11"/>
        <v>111</v>
      </c>
      <c r="R29" s="774" t="s">
        <v>17</v>
      </c>
      <c r="S29" s="775">
        <f t="shared" ref="S29:S47" si="12">F29</f>
        <v>100</v>
      </c>
      <c r="T29" s="774" t="s">
        <v>17</v>
      </c>
      <c r="U29" s="775">
        <f t="shared" ref="U29:U47" si="13">H29</f>
        <v>100</v>
      </c>
      <c r="V29" s="774" t="s">
        <v>17</v>
      </c>
      <c r="W29" s="775">
        <f t="shared" ref="W29:W47" si="14">J29</f>
        <v>100</v>
      </c>
      <c r="X29" s="1815"/>
      <c r="Y29" s="3254"/>
      <c r="Z29" s="1816">
        <f t="shared" ref="Z29:Z47" si="15">Q29</f>
        <v>111</v>
      </c>
      <c r="AA29" s="1813">
        <f t="shared" si="3"/>
        <v>1</v>
      </c>
      <c r="AB29" s="1813">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61"/>
      <c r="Q30" s="1812">
        <f t="shared" si="11"/>
        <v>111</v>
      </c>
      <c r="R30" s="774" t="s">
        <v>17</v>
      </c>
      <c r="S30" s="775">
        <f t="shared" si="12"/>
        <v>100</v>
      </c>
      <c r="T30" s="774" t="s">
        <v>17</v>
      </c>
      <c r="U30" s="775">
        <f t="shared" si="13"/>
        <v>100</v>
      </c>
      <c r="V30" s="774" t="s">
        <v>17</v>
      </c>
      <c r="W30" s="775">
        <f t="shared" si="14"/>
        <v>100</v>
      </c>
      <c r="X30" s="1815"/>
      <c r="Y30" s="3254"/>
      <c r="Z30" s="1816">
        <f t="shared" si="15"/>
        <v>111</v>
      </c>
      <c r="AA30" s="1813">
        <f t="shared" si="3"/>
        <v>1</v>
      </c>
      <c r="AB30" s="1813">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61"/>
      <c r="Q31" s="1812">
        <f t="shared" si="11"/>
        <v>111</v>
      </c>
      <c r="R31" s="774" t="s">
        <v>17</v>
      </c>
      <c r="S31" s="775">
        <f t="shared" si="12"/>
        <v>100</v>
      </c>
      <c r="T31" s="774" t="s">
        <v>17</v>
      </c>
      <c r="U31" s="775">
        <f t="shared" si="13"/>
        <v>100</v>
      </c>
      <c r="V31" s="774" t="s">
        <v>17</v>
      </c>
      <c r="W31" s="775">
        <f t="shared" si="14"/>
        <v>100</v>
      </c>
      <c r="X31" s="1815"/>
      <c r="Y31" s="3254"/>
      <c r="Z31" s="1816">
        <f t="shared" si="15"/>
        <v>111</v>
      </c>
      <c r="AA31" s="1813">
        <f t="shared" si="3"/>
        <v>1</v>
      </c>
      <c r="AB31" s="1813">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61"/>
      <c r="Q32" s="1812">
        <f t="shared" si="11"/>
        <v>111</v>
      </c>
      <c r="R32" s="774" t="s">
        <v>17</v>
      </c>
      <c r="S32" s="775">
        <f t="shared" si="12"/>
        <v>100</v>
      </c>
      <c r="T32" s="774" t="s">
        <v>17</v>
      </c>
      <c r="U32" s="775">
        <f t="shared" si="13"/>
        <v>100</v>
      </c>
      <c r="V32" s="774" t="s">
        <v>17</v>
      </c>
      <c r="W32" s="775">
        <f t="shared" si="14"/>
        <v>100</v>
      </c>
      <c r="X32" s="1815"/>
      <c r="Y32" s="3254"/>
      <c r="Z32" s="1816">
        <f t="shared" si="15"/>
        <v>111</v>
      </c>
      <c r="AA32" s="1813">
        <f t="shared" si="3"/>
        <v>1</v>
      </c>
      <c r="AB32" s="1813">
        <f t="shared" si="4"/>
        <v>1</v>
      </c>
      <c r="AC32" s="2680">
        <f t="shared" si="5"/>
        <v>1</v>
      </c>
    </row>
    <row r="33" spans="1:29" ht="15">
      <c r="A33" s="440" t="s">
        <v>2566</v>
      </c>
      <c r="B33" s="71" t="s">
        <v>2696</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255" t="s">
        <v>2568</v>
      </c>
      <c r="Q33" s="1812" t="str">
        <f t="shared" si="11"/>
        <v>建筑类型</v>
      </c>
      <c r="R33" s="774" t="s">
        <v>17</v>
      </c>
      <c r="S33" s="775">
        <f t="shared" si="12"/>
        <v>100</v>
      </c>
      <c r="T33" s="774" t="s">
        <v>17</v>
      </c>
      <c r="U33" s="775">
        <f t="shared" si="13"/>
        <v>100</v>
      </c>
      <c r="V33" s="774" t="s">
        <v>17</v>
      </c>
      <c r="W33" s="775">
        <f t="shared" si="14"/>
        <v>100</v>
      </c>
      <c r="X33" s="1815"/>
      <c r="Y33" s="3258" t="s">
        <v>2568</v>
      </c>
      <c r="Z33" s="1816" t="str">
        <f t="shared" si="15"/>
        <v>建筑类型</v>
      </c>
      <c r="AA33" s="1813">
        <f t="shared" si="3"/>
        <v>1</v>
      </c>
      <c r="AB33" s="1813">
        <f t="shared" si="4"/>
        <v>1</v>
      </c>
      <c r="AC33" s="2680">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56"/>
      <c r="Q34" s="776" t="str">
        <f t="shared" si="11"/>
        <v>项目建筑规模</v>
      </c>
      <c r="R34" s="777" t="s">
        <v>17</v>
      </c>
      <c r="S34" s="778" t="e">
        <f t="shared" si="12"/>
        <v>#N/A</v>
      </c>
      <c r="T34" s="777" t="s">
        <v>17</v>
      </c>
      <c r="U34" s="778" t="e">
        <f t="shared" si="13"/>
        <v>#N/A</v>
      </c>
      <c r="V34" s="777" t="s">
        <v>17</v>
      </c>
      <c r="W34" s="778" t="e">
        <f t="shared" si="14"/>
        <v>#N/A</v>
      </c>
      <c r="X34" s="779"/>
      <c r="Y34" s="3258"/>
      <c r="Z34" s="780" t="str">
        <f t="shared" si="15"/>
        <v>项目建筑规模</v>
      </c>
      <c r="AA34" s="1813" t="e">
        <f t="shared" si="3"/>
        <v>#N/A</v>
      </c>
      <c r="AB34" s="1813" t="e">
        <f t="shared" si="4"/>
        <v>#N/A</v>
      </c>
      <c r="AC34" s="2680"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56"/>
      <c r="Q35" s="1812" t="str">
        <f t="shared" si="11"/>
        <v>建筑结构</v>
      </c>
      <c r="R35" s="774" t="s">
        <v>17</v>
      </c>
      <c r="S35" s="775">
        <f t="shared" si="12"/>
        <v>100</v>
      </c>
      <c r="T35" s="774" t="s">
        <v>17</v>
      </c>
      <c r="U35" s="775">
        <f t="shared" si="13"/>
        <v>100</v>
      </c>
      <c r="V35" s="774" t="s">
        <v>17</v>
      </c>
      <c r="W35" s="775">
        <f t="shared" si="14"/>
        <v>100</v>
      </c>
      <c r="X35" s="1815"/>
      <c r="Y35" s="3258"/>
      <c r="Z35" s="1816" t="str">
        <f t="shared" si="15"/>
        <v>建筑结构</v>
      </c>
      <c r="AA35" s="1813">
        <f t="shared" si="3"/>
        <v>1</v>
      </c>
      <c r="AB35" s="1813">
        <f t="shared" si="4"/>
        <v>1</v>
      </c>
      <c r="AC35" s="2680">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56"/>
      <c r="Q36" s="1812" t="str">
        <f t="shared" si="11"/>
        <v>公共部分装修</v>
      </c>
      <c r="R36" s="774" t="s">
        <v>17</v>
      </c>
      <c r="S36" s="775">
        <f t="shared" si="12"/>
        <v>100</v>
      </c>
      <c r="T36" s="774" t="s">
        <v>17</v>
      </c>
      <c r="U36" s="775">
        <f t="shared" si="13"/>
        <v>100</v>
      </c>
      <c r="V36" s="774" t="s">
        <v>17</v>
      </c>
      <c r="W36" s="775">
        <f t="shared" si="14"/>
        <v>100</v>
      </c>
      <c r="X36" s="1815"/>
      <c r="Y36" s="3258"/>
      <c r="Z36" s="1816" t="str">
        <f t="shared" si="15"/>
        <v>公共部分装修</v>
      </c>
      <c r="AA36" s="1813">
        <f t="shared" si="3"/>
        <v>1</v>
      </c>
      <c r="AB36" s="1813">
        <f t="shared" si="4"/>
        <v>1</v>
      </c>
      <c r="AC36" s="2680">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56"/>
      <c r="Q37" s="1812" t="str">
        <f t="shared" si="11"/>
        <v>成新度</v>
      </c>
      <c r="R37" s="774" t="s">
        <v>17</v>
      </c>
      <c r="S37" s="775" t="e">
        <f t="shared" si="12"/>
        <v>#N/A</v>
      </c>
      <c r="T37" s="774" t="s">
        <v>17</v>
      </c>
      <c r="U37" s="775" t="e">
        <f t="shared" si="13"/>
        <v>#N/A</v>
      </c>
      <c r="V37" s="774" t="s">
        <v>17</v>
      </c>
      <c r="W37" s="775" t="e">
        <f t="shared" si="14"/>
        <v>#N/A</v>
      </c>
      <c r="X37" s="1815"/>
      <c r="Y37" s="3258"/>
      <c r="Z37" s="1816" t="str">
        <f t="shared" si="15"/>
        <v>成新度</v>
      </c>
      <c r="AA37" s="1813" t="e">
        <f t="shared" si="3"/>
        <v>#N/A</v>
      </c>
      <c r="AB37" s="1813" t="e">
        <f t="shared" si="4"/>
        <v>#N/A</v>
      </c>
      <c r="AC37" s="2680"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56"/>
      <c r="Q38" s="1797" t="str">
        <f t="shared" si="11"/>
        <v>写字楼等级</v>
      </c>
      <c r="R38" s="770" t="s">
        <v>17</v>
      </c>
      <c r="S38" s="771">
        <f t="shared" si="12"/>
        <v>100</v>
      </c>
      <c r="T38" s="770" t="s">
        <v>17</v>
      </c>
      <c r="U38" s="771">
        <f t="shared" si="13"/>
        <v>100</v>
      </c>
      <c r="V38" s="770" t="s">
        <v>17</v>
      </c>
      <c r="W38" s="771">
        <f t="shared" si="14"/>
        <v>100</v>
      </c>
      <c r="X38" s="772"/>
      <c r="Y38" s="3258"/>
      <c r="Z38" s="55" t="str">
        <f t="shared" si="15"/>
        <v>写字楼等级</v>
      </c>
      <c r="AA38" s="773">
        <f t="shared" si="3"/>
        <v>1</v>
      </c>
      <c r="AB38" s="773">
        <f t="shared" si="4"/>
        <v>1</v>
      </c>
      <c r="AC38" s="2677">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56" t="s">
        <v>2568</v>
      </c>
      <c r="Q39" s="1812" t="str">
        <f t="shared" si="11"/>
        <v>物业管理</v>
      </c>
      <c r="R39" s="774" t="s">
        <v>17</v>
      </c>
      <c r="S39" s="775">
        <f t="shared" si="12"/>
        <v>100</v>
      </c>
      <c r="T39" s="774" t="s">
        <v>17</v>
      </c>
      <c r="U39" s="775">
        <f t="shared" si="13"/>
        <v>100</v>
      </c>
      <c r="V39" s="774" t="s">
        <v>17</v>
      </c>
      <c r="W39" s="775">
        <f t="shared" si="14"/>
        <v>100</v>
      </c>
      <c r="X39" s="1815"/>
      <c r="Y39" s="3258" t="s">
        <v>2568</v>
      </c>
      <c r="Z39" s="1816" t="str">
        <f t="shared" si="15"/>
        <v>物业管理</v>
      </c>
      <c r="AA39" s="1813">
        <f t="shared" si="3"/>
        <v>1</v>
      </c>
      <c r="AB39" s="1813">
        <f t="shared" si="4"/>
        <v>1</v>
      </c>
      <c r="AC39" s="2680">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56"/>
      <c r="Q40" s="1812" t="str">
        <f t="shared" si="11"/>
        <v>市政基础设施</v>
      </c>
      <c r="R40" s="774" t="s">
        <v>17</v>
      </c>
      <c r="S40" s="775">
        <f t="shared" si="12"/>
        <v>100</v>
      </c>
      <c r="T40" s="774" t="s">
        <v>17</v>
      </c>
      <c r="U40" s="775">
        <f t="shared" si="13"/>
        <v>100</v>
      </c>
      <c r="V40" s="774" t="s">
        <v>17</v>
      </c>
      <c r="W40" s="775">
        <f t="shared" si="14"/>
        <v>100</v>
      </c>
      <c r="X40" s="1815"/>
      <c r="Y40" s="3258"/>
      <c r="Z40" s="1816" t="str">
        <f t="shared" si="15"/>
        <v>市政基础设施</v>
      </c>
      <c r="AA40" s="1813">
        <f t="shared" si="3"/>
        <v>1</v>
      </c>
      <c r="AB40" s="1813">
        <f t="shared" si="4"/>
        <v>1</v>
      </c>
      <c r="AC40" s="2680">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56"/>
      <c r="Q41" s="1812" t="str">
        <f t="shared" si="11"/>
        <v>层高</v>
      </c>
      <c r="R41" s="774" t="s">
        <v>17</v>
      </c>
      <c r="S41" s="775">
        <f t="shared" si="12"/>
        <v>100</v>
      </c>
      <c r="T41" s="774" t="s">
        <v>17</v>
      </c>
      <c r="U41" s="775">
        <f t="shared" si="13"/>
        <v>100</v>
      </c>
      <c r="V41" s="774" t="s">
        <v>17</v>
      </c>
      <c r="W41" s="775">
        <f t="shared" si="14"/>
        <v>100</v>
      </c>
      <c r="X41" s="1815"/>
      <c r="Y41" s="3258"/>
      <c r="Z41" s="1816" t="str">
        <f t="shared" si="15"/>
        <v>层高</v>
      </c>
      <c r="AA41" s="1813">
        <f t="shared" si="3"/>
        <v>1</v>
      </c>
      <c r="AB41" s="1813">
        <f t="shared" si="4"/>
        <v>1</v>
      </c>
      <c r="AC41" s="2680">
        <f t="shared" si="5"/>
        <v>1</v>
      </c>
    </row>
    <row r="42" spans="1:29" s="471" customFormat="1" ht="15">
      <c r="A42" s="468"/>
      <c r="B42" s="1814"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56"/>
      <c r="Q42" s="776" t="str">
        <f t="shared" si="11"/>
        <v>单套建筑面积</v>
      </c>
      <c r="R42" s="777" t="s">
        <v>17</v>
      </c>
      <c r="S42" s="778">
        <f t="shared" si="12"/>
        <v>100</v>
      </c>
      <c r="T42" s="777" t="s">
        <v>17</v>
      </c>
      <c r="U42" s="778">
        <f t="shared" si="13"/>
        <v>100</v>
      </c>
      <c r="V42" s="777" t="s">
        <v>17</v>
      </c>
      <c r="W42" s="778">
        <f t="shared" si="14"/>
        <v>100</v>
      </c>
      <c r="X42" s="779"/>
      <c r="Y42" s="3258"/>
      <c r="Z42" s="780" t="str">
        <f t="shared" si="15"/>
        <v>单套建筑面积</v>
      </c>
      <c r="AA42" s="1813">
        <f t="shared" si="3"/>
        <v>1</v>
      </c>
      <c r="AB42" s="1813">
        <f t="shared" si="4"/>
        <v>1</v>
      </c>
      <c r="AC42" s="2680">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56"/>
      <c r="Q43" s="1812" t="str">
        <f t="shared" si="11"/>
        <v>内部装修</v>
      </c>
      <c r="R43" s="774" t="s">
        <v>17</v>
      </c>
      <c r="S43" s="775">
        <f t="shared" si="12"/>
        <v>100</v>
      </c>
      <c r="T43" s="774" t="s">
        <v>17</v>
      </c>
      <c r="U43" s="775">
        <f t="shared" si="13"/>
        <v>100</v>
      </c>
      <c r="V43" s="774" t="s">
        <v>17</v>
      </c>
      <c r="W43" s="775">
        <f t="shared" si="14"/>
        <v>100</v>
      </c>
      <c r="X43" s="1815"/>
      <c r="Y43" s="3258"/>
      <c r="Z43" s="1816" t="str">
        <f t="shared" si="15"/>
        <v>内部装修</v>
      </c>
      <c r="AA43" s="1813">
        <f t="shared" si="3"/>
        <v>1</v>
      </c>
      <c r="AB43" s="1813">
        <f t="shared" si="4"/>
        <v>1</v>
      </c>
      <c r="AC43" s="2680">
        <f t="shared" si="5"/>
        <v>1</v>
      </c>
    </row>
    <row r="44" spans="1:29" ht="15">
      <c r="A44" s="472"/>
      <c r="B44" s="422" t="s">
        <v>2579</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56"/>
      <c r="Q44" s="1812" t="str">
        <f t="shared" si="11"/>
        <v>内部装修维护情况</v>
      </c>
      <c r="R44" s="774" t="s">
        <v>17</v>
      </c>
      <c r="S44" s="775">
        <f t="shared" si="12"/>
        <v>100</v>
      </c>
      <c r="T44" s="774" t="s">
        <v>17</v>
      </c>
      <c r="U44" s="775">
        <f t="shared" si="13"/>
        <v>100</v>
      </c>
      <c r="V44" s="774" t="s">
        <v>17</v>
      </c>
      <c r="W44" s="775">
        <f t="shared" si="14"/>
        <v>100</v>
      </c>
      <c r="X44" s="1815"/>
      <c r="Y44" s="3258"/>
      <c r="Z44" s="1816" t="str">
        <f t="shared" si="15"/>
        <v>内部装修维护情况</v>
      </c>
      <c r="AA44" s="1813">
        <f t="shared" si="3"/>
        <v>1</v>
      </c>
      <c r="AB44" s="1813">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56"/>
      <c r="Q45" s="1797">
        <f t="shared" si="11"/>
        <v>111</v>
      </c>
      <c r="R45" s="770" t="s">
        <v>17</v>
      </c>
      <c r="S45" s="771">
        <f t="shared" si="12"/>
        <v>100</v>
      </c>
      <c r="T45" s="770" t="s">
        <v>17</v>
      </c>
      <c r="U45" s="771">
        <f t="shared" si="13"/>
        <v>100</v>
      </c>
      <c r="V45" s="770" t="s">
        <v>17</v>
      </c>
      <c r="W45" s="771">
        <f t="shared" si="14"/>
        <v>100</v>
      </c>
      <c r="X45" s="772"/>
      <c r="Y45" s="3258"/>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56"/>
      <c r="Q46" s="1812">
        <f t="shared" si="11"/>
        <v>111</v>
      </c>
      <c r="R46" s="774" t="s">
        <v>17</v>
      </c>
      <c r="S46" s="775">
        <f t="shared" si="12"/>
        <v>100</v>
      </c>
      <c r="T46" s="774" t="s">
        <v>17</v>
      </c>
      <c r="U46" s="775">
        <f t="shared" si="13"/>
        <v>100</v>
      </c>
      <c r="V46" s="774" t="s">
        <v>17</v>
      </c>
      <c r="W46" s="775">
        <f t="shared" si="14"/>
        <v>100</v>
      </c>
      <c r="X46" s="1815"/>
      <c r="Y46" s="3258"/>
      <c r="Z46" s="1816">
        <f t="shared" si="15"/>
        <v>111</v>
      </c>
      <c r="AA46" s="1813">
        <f t="shared" si="3"/>
        <v>1</v>
      </c>
      <c r="AB46" s="1813">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57"/>
      <c r="Q47" s="1812">
        <f t="shared" si="11"/>
        <v>111</v>
      </c>
      <c r="R47" s="774" t="s">
        <v>17</v>
      </c>
      <c r="S47" s="775">
        <f t="shared" si="12"/>
        <v>100</v>
      </c>
      <c r="T47" s="774" t="s">
        <v>17</v>
      </c>
      <c r="U47" s="775">
        <f t="shared" si="13"/>
        <v>100</v>
      </c>
      <c r="V47" s="774" t="s">
        <v>17</v>
      </c>
      <c r="W47" s="775">
        <f t="shared" si="14"/>
        <v>100</v>
      </c>
      <c r="X47" s="1815"/>
      <c r="Y47" s="3259"/>
      <c r="Z47" s="1816">
        <f t="shared" si="15"/>
        <v>111</v>
      </c>
      <c r="AA47" s="1813">
        <f t="shared" si="3"/>
        <v>1</v>
      </c>
      <c r="AB47" s="1813">
        <f t="shared" si="4"/>
        <v>1</v>
      </c>
      <c r="AC47" s="2680">
        <f t="shared" si="5"/>
        <v>1</v>
      </c>
    </row>
    <row r="48" spans="1:29" ht="15">
      <c r="A48" s="479" t="s">
        <v>2580</v>
      </c>
      <c r="B48" s="480"/>
      <c r="C48" s="1410" t="s">
        <v>1</v>
      </c>
      <c r="D48" s="1411"/>
      <c r="E48" s="1412"/>
      <c r="F48" s="1413"/>
      <c r="G48" s="1414"/>
      <c r="H48" s="1415"/>
      <c r="I48" s="1412"/>
      <c r="J48" s="485"/>
      <c r="K48" s="783"/>
      <c r="L48" s="1146"/>
      <c r="M48" s="1134"/>
      <c r="N48" s="1134"/>
      <c r="O48" s="1134"/>
      <c r="P48" s="3262" t="str">
        <f>A48</f>
        <v>成交单价（元/平方米）</v>
      </c>
      <c r="Q48" s="3251"/>
      <c r="R48" s="3252">
        <f>E48</f>
        <v>0</v>
      </c>
      <c r="S48" s="3252"/>
      <c r="T48" s="3252">
        <f>G48</f>
        <v>0</v>
      </c>
      <c r="U48" s="3252"/>
      <c r="V48" s="3252">
        <f>I48</f>
        <v>0</v>
      </c>
      <c r="W48" s="3252"/>
      <c r="X48" s="446"/>
      <c r="Y48" s="781"/>
      <c r="Z48" s="446"/>
      <c r="AA48" s="446"/>
      <c r="AB48" s="446"/>
      <c r="AC48" s="630"/>
    </row>
    <row r="49" spans="1:29" ht="15.75" thickBot="1">
      <c r="A49" s="486" t="s">
        <v>2672</v>
      </c>
      <c r="B49" s="487"/>
      <c r="C49" s="1416" t="e">
        <f>R50</f>
        <v>#DIV/0!</v>
      </c>
      <c r="D49" s="1417"/>
      <c r="E49" s="1418" t="e">
        <f>R49</f>
        <v>#DIV/0!</v>
      </c>
      <c r="F49" s="1418"/>
      <c r="G49" s="1416" t="e">
        <f>T49</f>
        <v>#DIV/0!</v>
      </c>
      <c r="H49" s="1417"/>
      <c r="I49" s="1418" t="e">
        <f>V49</f>
        <v>#DIV/0!</v>
      </c>
      <c r="J49" s="489"/>
      <c r="K49" s="784"/>
      <c r="L49" s="1146"/>
      <c r="M49" s="1134"/>
      <c r="N49" s="1134"/>
      <c r="O49" s="1134"/>
      <c r="P49" s="3262" t="str">
        <f>A49</f>
        <v>比较价值（元/平方米）</v>
      </c>
      <c r="Q49" s="3251"/>
      <c r="R49" s="3252" t="e">
        <f>IF(F1="售价",ROUND(PRODUCT(R48,AA7:AA47),0),ROUND(PRODUCT(R48,AA7:AA47),1))</f>
        <v>#DIV/0!</v>
      </c>
      <c r="S49" s="3252"/>
      <c r="T49" s="3252" t="e">
        <f>IF(F1="售价",ROUND(PRODUCT(T48,AB7:AB47),0),ROUND(PRODUCT(T48,AB7:AB47),1))</f>
        <v>#DIV/0!</v>
      </c>
      <c r="U49" s="3252"/>
      <c r="V49" s="3252" t="e">
        <f>IF(F1="售价",ROUND(PRODUCT(V48,AC7:AC47),0),ROUND(PRODUCT(V48,AC7:AC47),1))</f>
        <v>#DIV/0!</v>
      </c>
      <c r="W49" s="3252"/>
      <c r="X49" s="446"/>
      <c r="Y49" s="446"/>
      <c r="Z49" s="446"/>
      <c r="AA49" s="446"/>
      <c r="AB49" s="446"/>
      <c r="AC49" s="630"/>
    </row>
    <row r="50" spans="1:29" ht="15.75" thickBot="1">
      <c r="A50" s="492" t="s">
        <v>2673</v>
      </c>
      <c r="B50" s="493"/>
      <c r="C50" s="1420" t="e">
        <f>R50</f>
        <v>#DIV/0!</v>
      </c>
      <c r="D50" s="1420"/>
      <c r="E50" s="1420"/>
      <c r="F50" s="1420"/>
      <c r="G50" s="1420"/>
      <c r="H50" s="1420"/>
      <c r="I50" s="1420"/>
      <c r="J50" s="494"/>
      <c r="K50" s="785"/>
      <c r="L50" s="1146"/>
      <c r="M50" s="1134"/>
      <c r="N50" s="1134"/>
      <c r="O50" s="1134"/>
      <c r="P50" s="3294" t="str">
        <f>A50</f>
        <v>估价对象XX用房的比较价值（楼面单价，元/平方米）</v>
      </c>
      <c r="Q50" s="3295"/>
      <c r="R50" s="3296" t="e">
        <f>IF(F1="售价",ROUND(AVERAGE(R49:V49),0),ROUND(AVERAGE(R49:V49),1))</f>
        <v>#DIV/0!</v>
      </c>
      <c r="S50" s="3296"/>
      <c r="T50" s="3296"/>
      <c r="U50" s="3296"/>
      <c r="V50" s="3296"/>
      <c r="W50" s="3296"/>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2677</v>
      </c>
      <c r="B58" s="759"/>
      <c r="C58" s="764"/>
      <c r="D58" s="764"/>
      <c r="E58" s="764"/>
      <c r="F58" s="765"/>
      <c r="G58" s="765"/>
      <c r="H58" s="764"/>
      <c r="I58" s="764"/>
      <c r="J58" s="764"/>
      <c r="K58" s="766"/>
      <c r="L58" s="1164"/>
      <c r="M58" s="1162"/>
      <c r="N58" s="1162"/>
      <c r="O58" s="1162"/>
      <c r="P58" s="2687"/>
      <c r="Q58" s="504"/>
    </row>
    <row r="59" spans="1:29" s="508" customFormat="1" ht="15">
      <c r="A59" s="505" t="s">
        <v>2551</v>
      </c>
      <c r="B59" s="506"/>
      <c r="C59" s="1577" t="str">
        <f>YEAR(C7)&amp;"-"&amp;MONTH(C7)</f>
        <v>2018-1</v>
      </c>
      <c r="D59" s="1578">
        <f>EDATE(C59,-1)</f>
        <v>43070</v>
      </c>
      <c r="E59" s="1578">
        <f>EDATE(D59,-1)</f>
        <v>43040</v>
      </c>
      <c r="F59" s="1578">
        <f t="shared" ref="F59:O59" si="16">EDATE(E59,-1)</f>
        <v>43009</v>
      </c>
      <c r="G59" s="1578">
        <f t="shared" si="16"/>
        <v>42979</v>
      </c>
      <c r="H59" s="1578">
        <f t="shared" si="16"/>
        <v>42948</v>
      </c>
      <c r="I59" s="1578">
        <f t="shared" si="16"/>
        <v>42917</v>
      </c>
      <c r="J59" s="1578">
        <f t="shared" si="16"/>
        <v>42887</v>
      </c>
      <c r="K59" s="1578">
        <f t="shared" si="16"/>
        <v>42856</v>
      </c>
      <c r="L59" s="1578">
        <f t="shared" si="16"/>
        <v>42826</v>
      </c>
      <c r="M59" s="1578">
        <f t="shared" si="16"/>
        <v>42795</v>
      </c>
      <c r="N59" s="1578">
        <f t="shared" si="16"/>
        <v>42767</v>
      </c>
      <c r="O59" s="1578">
        <f t="shared" si="16"/>
        <v>42736</v>
      </c>
      <c r="P59" s="1574"/>
    </row>
    <row r="60" spans="1:29" s="117" customFormat="1" ht="15">
      <c r="A60" s="509"/>
      <c r="B60" s="510"/>
      <c r="C60" s="1576">
        <v>100</v>
      </c>
      <c r="D60" s="512"/>
      <c r="E60" s="512"/>
      <c r="F60" s="512"/>
      <c r="G60" s="512"/>
      <c r="H60" s="512"/>
      <c r="I60" s="512"/>
      <c r="J60" s="512"/>
      <c r="K60" s="512"/>
      <c r="L60" s="512"/>
      <c r="M60" s="513"/>
      <c r="N60" s="512"/>
      <c r="O60" s="513"/>
      <c r="P60" s="2688"/>
    </row>
    <row r="61" spans="1:29" s="117" customFormat="1" ht="15.75" thickBot="1">
      <c r="A61" s="515" t="s">
        <v>2588</v>
      </c>
      <c r="B61" s="516"/>
      <c r="C61" s="517"/>
      <c r="D61" s="518"/>
      <c r="E61" s="518"/>
      <c r="F61" s="518"/>
      <c r="G61" s="518"/>
      <c r="H61" s="518"/>
      <c r="I61" s="518"/>
      <c r="J61" s="518"/>
      <c r="K61" s="518"/>
      <c r="L61" s="518"/>
      <c r="M61" s="519"/>
      <c r="N61" s="518"/>
      <c r="O61" s="519"/>
      <c r="P61" s="2688"/>
      <c r="Q61" s="504"/>
    </row>
    <row r="62" spans="1:29" s="117" customFormat="1" ht="15">
      <c r="A62" s="521" t="s">
        <v>2553</v>
      </c>
      <c r="B62" s="510"/>
      <c r="C62" s="522" t="s">
        <v>2655</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2591</v>
      </c>
      <c r="B64" s="528" t="s">
        <v>2557</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2692</v>
      </c>
      <c r="C83" s="660" t="s">
        <v>2678</v>
      </c>
      <c r="D83" s="660" t="s">
        <v>2679</v>
      </c>
      <c r="E83" s="660" t="s">
        <v>2680</v>
      </c>
      <c r="F83" s="660" t="s">
        <v>2681</v>
      </c>
      <c r="G83" s="660" t="s">
        <v>2682</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2702</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2566</v>
      </c>
      <c r="B101" s="528" t="s">
        <v>2615</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2617</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2619</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2001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2703</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2620</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2621</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2704</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2687</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2623</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5" t="s">
        <v>2705</v>
      </c>
      <c r="C1" s="1623" t="s">
        <v>2533</v>
      </c>
      <c r="D1" s="1624"/>
      <c r="E1" s="1633"/>
      <c r="F1" s="2590"/>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IF(C2="——",ROUND(C43*D3/10000,0),ROUND(C43*D3/10000,0)-D2)</f>
        <v>#DIV/0!</v>
      </c>
      <c r="C2" s="2592"/>
      <c r="D2" s="1127" t="e">
        <f ca="1">SUMIF(INDIRECT("'"&amp;F2&amp;"'"&amp;"!A:A"),"承租人权益价值",INDIRECT("'"&amp;F2&amp;"'"&amp;"!c:c"))</f>
        <v>#REF!</v>
      </c>
      <c r="E2" s="2593" t="s">
        <v>2334</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2335</v>
      </c>
      <c r="B3" s="609" t="e">
        <f ca="1">IF(C2="——",C43,ROUND(B2*10000/D3,0))</f>
        <v>#DIV/0!</v>
      </c>
      <c r="C3" s="400" t="s">
        <v>2647</v>
      </c>
      <c r="D3" s="399">
        <f>IF(D1="",'数据-汇总表'!E3,SUMIF('数据-汇总表'!$C19:$C33,D1,'数据-汇总表'!$E19:$E33))</f>
        <v>41596.89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266" t="s">
        <v>2649</v>
      </c>
      <c r="D4" s="3267"/>
      <c r="E4" s="3268" t="s">
        <v>2650</v>
      </c>
      <c r="F4" s="3269"/>
      <c r="G4" s="3266" t="s">
        <v>2651</v>
      </c>
      <c r="H4" s="3267"/>
      <c r="I4" s="3266" t="s">
        <v>2652</v>
      </c>
      <c r="J4" s="3267"/>
      <c r="K4" s="610" t="s">
        <v>2653</v>
      </c>
      <c r="L4" s="1133"/>
      <c r="M4" s="1134"/>
      <c r="N4" s="1134"/>
      <c r="O4" s="1134"/>
      <c r="P4" s="3270" t="s">
        <v>2654</v>
      </c>
      <c r="Q4" s="3271"/>
      <c r="R4" s="3276" t="s">
        <v>2650</v>
      </c>
      <c r="S4" s="3277"/>
      <c r="T4" s="3276" t="s">
        <v>2651</v>
      </c>
      <c r="U4" s="3277"/>
      <c r="V4" s="3282" t="s">
        <v>2652</v>
      </c>
      <c r="W4" s="3282"/>
      <c r="X4" s="1815"/>
      <c r="Y4" s="3276" t="s">
        <v>2654</v>
      </c>
      <c r="Z4" s="3277"/>
      <c r="AA4" s="3263" t="s">
        <v>2650</v>
      </c>
      <c r="AB4" s="3264" t="s">
        <v>2651</v>
      </c>
      <c r="AC4" s="3263" t="s">
        <v>2652</v>
      </c>
    </row>
    <row r="5" spans="1:29" ht="15">
      <c r="A5" s="404"/>
      <c r="B5" s="405"/>
      <c r="C5" s="3285" t="s">
        <v>2545</v>
      </c>
      <c r="D5" s="3286"/>
      <c r="E5" s="3292" t="s">
        <v>2546</v>
      </c>
      <c r="F5" s="3293"/>
      <c r="G5" s="3285" t="s">
        <v>2547</v>
      </c>
      <c r="H5" s="3286"/>
      <c r="I5" s="3285" t="s">
        <v>2548</v>
      </c>
      <c r="J5" s="3286"/>
      <c r="K5" s="610"/>
      <c r="L5" s="1133"/>
      <c r="M5" s="1134"/>
      <c r="N5" s="1134"/>
      <c r="O5" s="1134"/>
      <c r="P5" s="3272"/>
      <c r="Q5" s="3273"/>
      <c r="R5" s="3278"/>
      <c r="S5" s="3279"/>
      <c r="T5" s="3278"/>
      <c r="U5" s="3279"/>
      <c r="V5" s="3282"/>
      <c r="W5" s="3282"/>
      <c r="X5" s="1815"/>
      <c r="Y5" s="3278"/>
      <c r="Z5" s="3279"/>
      <c r="AA5" s="3264"/>
      <c r="AB5" s="3264"/>
      <c r="AC5" s="3264"/>
    </row>
    <row r="6" spans="1:29" ht="15.75" thickBot="1">
      <c r="A6" s="406"/>
      <c r="B6" s="407"/>
      <c r="C6" s="3283" t="s">
        <v>2549</v>
      </c>
      <c r="D6" s="3284"/>
      <c r="E6" s="3290" t="s">
        <v>2549</v>
      </c>
      <c r="F6" s="3291"/>
      <c r="G6" s="3283" t="s">
        <v>2549</v>
      </c>
      <c r="H6" s="3284"/>
      <c r="I6" s="3283" t="s">
        <v>2549</v>
      </c>
      <c r="J6" s="3284"/>
      <c r="K6" s="610" t="s">
        <v>2550</v>
      </c>
      <c r="L6" s="1133"/>
      <c r="M6" s="1134"/>
      <c r="N6" s="1134"/>
      <c r="O6" s="1134"/>
      <c r="P6" s="3274"/>
      <c r="Q6" s="3275"/>
      <c r="R6" s="3278"/>
      <c r="S6" s="3279"/>
      <c r="T6" s="3280"/>
      <c r="U6" s="3281"/>
      <c r="V6" s="3282"/>
      <c r="W6" s="3282"/>
      <c r="X6" s="1815"/>
      <c r="Y6" s="3280"/>
      <c r="Z6" s="3281"/>
      <c r="AA6" s="3265"/>
      <c r="AB6" s="3265"/>
      <c r="AC6" s="3265"/>
    </row>
    <row r="7" spans="1:29" s="117" customFormat="1" ht="15.75" thickBot="1">
      <c r="A7" s="408" t="s">
        <v>2551</v>
      </c>
      <c r="B7" s="409"/>
      <c r="C7" s="410">
        <f>'数据-取费表'!B2</f>
        <v>43131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87" t="s">
        <v>2552</v>
      </c>
      <c r="Q7" s="3289"/>
      <c r="R7" s="770" t="s">
        <v>17</v>
      </c>
      <c r="S7" s="771">
        <f t="shared" ref="S7:S15" si="0">F7</f>
        <v>0</v>
      </c>
      <c r="T7" s="770" t="s">
        <v>17</v>
      </c>
      <c r="U7" s="771">
        <f t="shared" ref="U7:U15" si="1">H7</f>
        <v>0</v>
      </c>
      <c r="V7" s="770" t="s">
        <v>17</v>
      </c>
      <c r="W7" s="771">
        <f t="shared" ref="W7:W15" si="2">J7</f>
        <v>0</v>
      </c>
      <c r="X7" s="772"/>
      <c r="Y7" s="3287" t="s">
        <v>2552</v>
      </c>
      <c r="Z7" s="3288"/>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87" t="s">
        <v>2555</v>
      </c>
      <c r="Q8" s="3288"/>
      <c r="R8" s="770" t="s">
        <v>17</v>
      </c>
      <c r="S8" s="771">
        <f t="shared" si="0"/>
        <v>0</v>
      </c>
      <c r="T8" s="770" t="s">
        <v>17</v>
      </c>
      <c r="U8" s="771">
        <f t="shared" si="1"/>
        <v>0</v>
      </c>
      <c r="V8" s="770" t="s">
        <v>17</v>
      </c>
      <c r="W8" s="771">
        <f t="shared" si="2"/>
        <v>0</v>
      </c>
      <c r="X8" s="772"/>
      <c r="Y8" s="3287" t="s">
        <v>2555</v>
      </c>
      <c r="Z8" s="3288"/>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51" t="s">
        <v>2558</v>
      </c>
      <c r="Q9" s="1797" t="str">
        <f t="shared" ref="Q9:Q15" si="6">B9</f>
        <v>用途</v>
      </c>
      <c r="R9" s="770" t="s">
        <v>17</v>
      </c>
      <c r="S9" s="771">
        <f t="shared" si="0"/>
        <v>100</v>
      </c>
      <c r="T9" s="770" t="s">
        <v>17</v>
      </c>
      <c r="U9" s="771">
        <f t="shared" si="1"/>
        <v>100</v>
      </c>
      <c r="V9" s="770" t="s">
        <v>17</v>
      </c>
      <c r="W9" s="771">
        <f t="shared" si="2"/>
        <v>100</v>
      </c>
      <c r="X9" s="772"/>
      <c r="Y9" s="3046"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51"/>
      <c r="Q10" s="1797"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51"/>
      <c r="Q11" s="1797"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251"/>
      <c r="Q12" s="1797">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251"/>
      <c r="Q13" s="1797">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251"/>
      <c r="Q14" s="1797">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773">
        <f t="shared" si="5"/>
        <v>1</v>
      </c>
    </row>
    <row r="15" spans="1:29" ht="57">
      <c r="A15" s="440" t="s">
        <v>2562</v>
      </c>
      <c r="B15" s="69" t="s">
        <v>2706</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53" t="s">
        <v>2563</v>
      </c>
      <c r="Q15" s="1812" t="str">
        <f t="shared" si="6"/>
        <v>产业集聚程度</v>
      </c>
      <c r="R15" s="774" t="s">
        <v>17</v>
      </c>
      <c r="S15" s="775">
        <f t="shared" si="0"/>
        <v>100</v>
      </c>
      <c r="T15" s="774" t="s">
        <v>17</v>
      </c>
      <c r="U15" s="775">
        <f t="shared" si="1"/>
        <v>100</v>
      </c>
      <c r="V15" s="774" t="s">
        <v>17</v>
      </c>
      <c r="W15" s="775">
        <f t="shared" si="2"/>
        <v>100</v>
      </c>
      <c r="X15" s="1815"/>
      <c r="Y15" s="3253" t="s">
        <v>2563</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54"/>
      <c r="Q16" s="1812"/>
      <c r="R16" s="774"/>
      <c r="S16" s="775"/>
      <c r="T16" s="774"/>
      <c r="U16" s="775"/>
      <c r="V16" s="774"/>
      <c r="W16" s="775"/>
      <c r="X16" s="1815"/>
      <c r="Y16" s="3254"/>
      <c r="Z16" s="1816"/>
      <c r="AA16" s="1813">
        <v>1</v>
      </c>
      <c r="AB16" s="1813">
        <v>1</v>
      </c>
      <c r="AC16" s="1813">
        <v>1</v>
      </c>
    </row>
    <row r="17" spans="1:29" ht="85.5">
      <c r="A17" s="428"/>
      <c r="B17" s="451" t="s">
        <v>2103</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54"/>
      <c r="Q17" s="1812" t="str">
        <f>B17</f>
        <v>交通便捷度</v>
      </c>
      <c r="R17" s="774" t="s">
        <v>17</v>
      </c>
      <c r="S17" s="775">
        <f>F17</f>
        <v>100</v>
      </c>
      <c r="T17" s="774" t="s">
        <v>17</v>
      </c>
      <c r="U17" s="775">
        <f>H17</f>
        <v>100</v>
      </c>
      <c r="V17" s="774" t="s">
        <v>17</v>
      </c>
      <c r="W17" s="775">
        <f>J17</f>
        <v>100</v>
      </c>
      <c r="X17" s="1815"/>
      <c r="Y17" s="3254"/>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42"/>
      <c r="P18" s="3254"/>
      <c r="Q18" s="1812"/>
      <c r="R18" s="774"/>
      <c r="S18" s="775"/>
      <c r="T18" s="774"/>
      <c r="U18" s="775"/>
      <c r="V18" s="774"/>
      <c r="W18" s="775"/>
      <c r="X18" s="1815"/>
      <c r="Y18" s="3254"/>
      <c r="Z18" s="1816"/>
      <c r="AA18" s="1813">
        <v>1</v>
      </c>
      <c r="AB18" s="1813">
        <v>1</v>
      </c>
      <c r="AC18" s="1813">
        <v>1</v>
      </c>
    </row>
    <row r="19" spans="1:29" ht="42.75">
      <c r="A19" s="428"/>
      <c r="B19" s="451" t="s">
        <v>2691</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54"/>
      <c r="Q19" s="1812" t="str">
        <f>B19</f>
        <v>公共配套设施</v>
      </c>
      <c r="R19" s="774" t="s">
        <v>17</v>
      </c>
      <c r="S19" s="775">
        <f>F19</f>
        <v>100</v>
      </c>
      <c r="T19" s="774" t="s">
        <v>17</v>
      </c>
      <c r="U19" s="775">
        <f>H19</f>
        <v>100</v>
      </c>
      <c r="V19" s="774" t="s">
        <v>17</v>
      </c>
      <c r="W19" s="775">
        <f>J19</f>
        <v>100</v>
      </c>
      <c r="X19" s="1815"/>
      <c r="Y19" s="3254"/>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42"/>
      <c r="P20" s="3254"/>
      <c r="Q20" s="1812"/>
      <c r="R20" s="774"/>
      <c r="S20" s="775"/>
      <c r="T20" s="774"/>
      <c r="U20" s="775"/>
      <c r="V20" s="774"/>
      <c r="W20" s="775"/>
      <c r="X20" s="1815"/>
      <c r="Y20" s="3254"/>
      <c r="Z20" s="1816"/>
      <c r="AA20" s="1813">
        <v>1</v>
      </c>
      <c r="AB20" s="1813">
        <v>1</v>
      </c>
      <c r="AC20" s="1813">
        <v>1</v>
      </c>
    </row>
    <row r="21" spans="1:29" ht="28.5">
      <c r="A21" s="428"/>
      <c r="B21" s="1387" t="s">
        <v>2692</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54"/>
      <c r="Q21" s="1812" t="str">
        <f>B21</f>
        <v>基础设施水平</v>
      </c>
      <c r="R21" s="774" t="s">
        <v>17</v>
      </c>
      <c r="S21" s="775">
        <f>F21</f>
        <v>100</v>
      </c>
      <c r="T21" s="774" t="s">
        <v>17</v>
      </c>
      <c r="U21" s="775">
        <f>H21</f>
        <v>100</v>
      </c>
      <c r="V21" s="774" t="s">
        <v>17</v>
      </c>
      <c r="W21" s="775">
        <f>J21</f>
        <v>100</v>
      </c>
      <c r="X21" s="1815"/>
      <c r="Y21" s="3254"/>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9"/>
      <c r="G22" s="447"/>
      <c r="H22" s="448"/>
      <c r="I22" s="447"/>
      <c r="J22" s="448"/>
      <c r="K22" s="1386"/>
      <c r="L22" s="1143"/>
      <c r="M22" s="1134"/>
      <c r="N22" s="1134"/>
      <c r="O22" s="1142"/>
      <c r="P22" s="3254"/>
      <c r="Q22" s="1812"/>
      <c r="R22" s="774"/>
      <c r="S22" s="775"/>
      <c r="T22" s="774"/>
      <c r="U22" s="775"/>
      <c r="V22" s="774"/>
      <c r="W22" s="775"/>
      <c r="X22" s="1815"/>
      <c r="Y22" s="3254"/>
      <c r="Z22" s="1816"/>
      <c r="AA22" s="1813">
        <v>1</v>
      </c>
      <c r="AB22" s="1813">
        <v>1</v>
      </c>
      <c r="AC22" s="1813">
        <v>1</v>
      </c>
    </row>
    <row r="23" spans="1:29" ht="71.25">
      <c r="A23" s="428"/>
      <c r="B23" s="451" t="s">
        <v>2693</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54"/>
      <c r="Q23" s="1812" t="str">
        <f>B23</f>
        <v>环境质量</v>
      </c>
      <c r="R23" s="774" t="s">
        <v>17</v>
      </c>
      <c r="S23" s="775">
        <f>F23</f>
        <v>100</v>
      </c>
      <c r="T23" s="774" t="s">
        <v>17</v>
      </c>
      <c r="U23" s="775">
        <f>H23</f>
        <v>100</v>
      </c>
      <c r="V23" s="774" t="s">
        <v>17</v>
      </c>
      <c r="W23" s="775">
        <f>J23</f>
        <v>100</v>
      </c>
      <c r="X23" s="1815"/>
      <c r="Y23" s="3254"/>
      <c r="Z23" s="1816" t="str">
        <f>Q23</f>
        <v>环境质量</v>
      </c>
      <c r="AA23" s="1813">
        <f t="shared" si="3"/>
        <v>1</v>
      </c>
      <c r="AB23" s="1813">
        <f t="shared" si="4"/>
        <v>1</v>
      </c>
      <c r="AC23" s="1813">
        <f t="shared" si="5"/>
        <v>1</v>
      </c>
    </row>
    <row r="24" spans="1:29" ht="15">
      <c r="A24" s="428"/>
      <c r="B24" s="1387"/>
      <c r="C24" s="447"/>
      <c r="D24" s="448"/>
      <c r="E24" s="2611"/>
      <c r="F24" s="449"/>
      <c r="G24" s="2610"/>
      <c r="H24" s="448"/>
      <c r="I24" s="2611"/>
      <c r="J24" s="448"/>
      <c r="K24" s="615"/>
      <c r="L24" s="1143"/>
      <c r="M24" s="1134"/>
      <c r="N24" s="1134"/>
      <c r="O24" s="1142"/>
      <c r="P24" s="3254"/>
      <c r="Q24" s="1812"/>
      <c r="R24" s="774"/>
      <c r="S24" s="775"/>
      <c r="T24" s="774"/>
      <c r="U24" s="775"/>
      <c r="V24" s="774"/>
      <c r="W24" s="775"/>
      <c r="X24" s="1815"/>
      <c r="Y24" s="3254"/>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54"/>
      <c r="Q25" s="1812">
        <f>B25</f>
        <v>111</v>
      </c>
      <c r="R25" s="774" t="s">
        <v>17</v>
      </c>
      <c r="S25" s="775">
        <f>F25</f>
        <v>100</v>
      </c>
      <c r="T25" s="774" t="s">
        <v>17</v>
      </c>
      <c r="U25" s="775">
        <f>H25</f>
        <v>100</v>
      </c>
      <c r="V25" s="774" t="s">
        <v>17</v>
      </c>
      <c r="W25" s="775">
        <f>J25</f>
        <v>100</v>
      </c>
      <c r="X25" s="1815"/>
      <c r="Y25" s="3254"/>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54"/>
      <c r="Q26" s="1812">
        <f t="shared" ref="Q26:Q40" si="11">B26</f>
        <v>111</v>
      </c>
      <c r="R26" s="774" t="s">
        <v>17</v>
      </c>
      <c r="S26" s="775">
        <f>F26</f>
        <v>100</v>
      </c>
      <c r="T26" s="774" t="s">
        <v>17</v>
      </c>
      <c r="U26" s="775">
        <f>H26</f>
        <v>100</v>
      </c>
      <c r="V26" s="774" t="s">
        <v>17</v>
      </c>
      <c r="W26" s="775">
        <f>J26</f>
        <v>100</v>
      </c>
      <c r="X26" s="1815"/>
      <c r="Y26" s="3254"/>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54"/>
      <c r="Q27" s="1797">
        <f t="shared" si="11"/>
        <v>111</v>
      </c>
      <c r="R27" s="770" t="s">
        <v>17</v>
      </c>
      <c r="S27" s="771">
        <f>F27</f>
        <v>100</v>
      </c>
      <c r="T27" s="770" t="s">
        <v>17</v>
      </c>
      <c r="U27" s="771">
        <f>H27</f>
        <v>100</v>
      </c>
      <c r="V27" s="770" t="s">
        <v>17</v>
      </c>
      <c r="W27" s="771">
        <f>J27</f>
        <v>100</v>
      </c>
      <c r="X27" s="772"/>
      <c r="Y27" s="3254"/>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54"/>
      <c r="Q28" s="1812">
        <f t="shared" si="11"/>
        <v>111</v>
      </c>
      <c r="R28" s="774" t="s">
        <v>17</v>
      </c>
      <c r="S28" s="775">
        <f t="shared" ref="S28:S40" si="12">F28</f>
        <v>100</v>
      </c>
      <c r="T28" s="774" t="s">
        <v>17</v>
      </c>
      <c r="U28" s="775">
        <f t="shared" ref="U28:U40" si="13">H28</f>
        <v>100</v>
      </c>
      <c r="V28" s="774" t="s">
        <v>17</v>
      </c>
      <c r="W28" s="775">
        <f t="shared" ref="W28:W40" si="14">J28</f>
        <v>100</v>
      </c>
      <c r="X28" s="1815"/>
      <c r="Y28" s="3254"/>
      <c r="Z28" s="1816">
        <f t="shared" ref="Z28:Z40" si="15">Q28</f>
        <v>111</v>
      </c>
      <c r="AA28" s="1813">
        <f t="shared" si="3"/>
        <v>1</v>
      </c>
      <c r="AB28" s="1813">
        <f t="shared" si="4"/>
        <v>1</v>
      </c>
      <c r="AC28" s="1813">
        <f t="shared" si="5"/>
        <v>1</v>
      </c>
    </row>
    <row r="29" spans="1:29" ht="15">
      <c r="A29" s="466" t="s">
        <v>2566</v>
      </c>
      <c r="B29" s="71" t="s">
        <v>2696</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309" t="s">
        <v>2568</v>
      </c>
      <c r="Q29" s="1812" t="str">
        <f t="shared" si="11"/>
        <v>建筑类型</v>
      </c>
      <c r="R29" s="774" t="s">
        <v>17</v>
      </c>
      <c r="S29" s="775">
        <f t="shared" si="12"/>
        <v>100</v>
      </c>
      <c r="T29" s="774" t="s">
        <v>17</v>
      </c>
      <c r="U29" s="775">
        <f t="shared" si="13"/>
        <v>100</v>
      </c>
      <c r="V29" s="774" t="s">
        <v>17</v>
      </c>
      <c r="W29" s="775">
        <f t="shared" si="14"/>
        <v>100</v>
      </c>
      <c r="X29" s="1815"/>
      <c r="Y29" s="3258" t="s">
        <v>2568</v>
      </c>
      <c r="Z29" s="1816" t="str">
        <f t="shared" si="15"/>
        <v>建筑类型</v>
      </c>
      <c r="AA29" s="1813">
        <f t="shared" si="3"/>
        <v>1</v>
      </c>
      <c r="AB29" s="1813">
        <f t="shared" si="4"/>
        <v>1</v>
      </c>
      <c r="AC29" s="1813">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58"/>
      <c r="Q30" s="776" t="str">
        <f t="shared" si="11"/>
        <v>项目建筑规模</v>
      </c>
      <c r="R30" s="777" t="s">
        <v>17</v>
      </c>
      <c r="S30" s="778" t="e">
        <f t="shared" si="12"/>
        <v>#N/A</v>
      </c>
      <c r="T30" s="777" t="s">
        <v>17</v>
      </c>
      <c r="U30" s="778" t="e">
        <f t="shared" si="13"/>
        <v>#N/A</v>
      </c>
      <c r="V30" s="777" t="s">
        <v>17</v>
      </c>
      <c r="W30" s="778" t="e">
        <f t="shared" si="14"/>
        <v>#N/A</v>
      </c>
      <c r="X30" s="779"/>
      <c r="Y30" s="3258"/>
      <c r="Z30" s="780" t="str">
        <f t="shared" si="15"/>
        <v>项目建筑规模</v>
      </c>
      <c r="AA30" s="1813" t="e">
        <f t="shared" si="3"/>
        <v>#N/A</v>
      </c>
      <c r="AB30" s="1813" t="e">
        <f t="shared" si="4"/>
        <v>#N/A</v>
      </c>
      <c r="AC30" s="1813"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58"/>
      <c r="Q31" s="1812" t="str">
        <f t="shared" si="11"/>
        <v>建筑结构</v>
      </c>
      <c r="R31" s="774" t="s">
        <v>17</v>
      </c>
      <c r="S31" s="775">
        <f t="shared" si="12"/>
        <v>100</v>
      </c>
      <c r="T31" s="774" t="s">
        <v>17</v>
      </c>
      <c r="U31" s="775">
        <f t="shared" si="13"/>
        <v>100</v>
      </c>
      <c r="V31" s="774" t="s">
        <v>17</v>
      </c>
      <c r="W31" s="775">
        <f t="shared" si="14"/>
        <v>100</v>
      </c>
      <c r="X31" s="1815"/>
      <c r="Y31" s="3258"/>
      <c r="Z31" s="1816" t="str">
        <f t="shared" si="15"/>
        <v>建筑结构</v>
      </c>
      <c r="AA31" s="1813">
        <f t="shared" si="3"/>
        <v>1</v>
      </c>
      <c r="AB31" s="1813">
        <f t="shared" si="4"/>
        <v>1</v>
      </c>
      <c r="AC31" s="1813">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58"/>
      <c r="Q32" s="1812" t="str">
        <f t="shared" si="11"/>
        <v>公共部分装修</v>
      </c>
      <c r="R32" s="774" t="s">
        <v>17</v>
      </c>
      <c r="S32" s="775">
        <f t="shared" si="12"/>
        <v>100</v>
      </c>
      <c r="T32" s="774" t="s">
        <v>17</v>
      </c>
      <c r="U32" s="775">
        <f t="shared" si="13"/>
        <v>100</v>
      </c>
      <c r="V32" s="774" t="s">
        <v>17</v>
      </c>
      <c r="W32" s="775">
        <f t="shared" si="14"/>
        <v>100</v>
      </c>
      <c r="X32" s="1815"/>
      <c r="Y32" s="3258"/>
      <c r="Z32" s="1816" t="str">
        <f t="shared" si="15"/>
        <v>公共部分装修</v>
      </c>
      <c r="AA32" s="1813">
        <f t="shared" si="3"/>
        <v>1</v>
      </c>
      <c r="AB32" s="1813">
        <f t="shared" si="4"/>
        <v>1</v>
      </c>
      <c r="AC32" s="1813">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58"/>
      <c r="Q33" s="1812" t="str">
        <f t="shared" si="11"/>
        <v>成新度</v>
      </c>
      <c r="R33" s="774" t="s">
        <v>17</v>
      </c>
      <c r="S33" s="775" t="e">
        <f t="shared" si="12"/>
        <v>#N/A</v>
      </c>
      <c r="T33" s="774" t="s">
        <v>17</v>
      </c>
      <c r="U33" s="775" t="e">
        <f t="shared" si="13"/>
        <v>#N/A</v>
      </c>
      <c r="V33" s="774" t="s">
        <v>17</v>
      </c>
      <c r="W33" s="775" t="e">
        <f t="shared" si="14"/>
        <v>#N/A</v>
      </c>
      <c r="X33" s="1815"/>
      <c r="Y33" s="3258"/>
      <c r="Z33" s="1816" t="str">
        <f t="shared" si="15"/>
        <v>成新度</v>
      </c>
      <c r="AA33" s="1813" t="e">
        <f t="shared" si="3"/>
        <v>#N/A</v>
      </c>
      <c r="AB33" s="1813" t="e">
        <f t="shared" si="4"/>
        <v>#N/A</v>
      </c>
      <c r="AC33" s="1813"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58"/>
      <c r="Q34" s="1797" t="str">
        <f t="shared" si="11"/>
        <v>物业管理</v>
      </c>
      <c r="R34" s="770" t="s">
        <v>17</v>
      </c>
      <c r="S34" s="771">
        <f t="shared" si="12"/>
        <v>100</v>
      </c>
      <c r="T34" s="770" t="s">
        <v>17</v>
      </c>
      <c r="U34" s="771">
        <f t="shared" si="13"/>
        <v>100</v>
      </c>
      <c r="V34" s="770" t="s">
        <v>17</v>
      </c>
      <c r="W34" s="771">
        <f t="shared" si="14"/>
        <v>100</v>
      </c>
      <c r="X34" s="772"/>
      <c r="Y34" s="3258"/>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58" t="s">
        <v>2568</v>
      </c>
      <c r="Q35" s="1812" t="str">
        <f t="shared" si="11"/>
        <v>市政基础设施</v>
      </c>
      <c r="R35" s="774" t="s">
        <v>17</v>
      </c>
      <c r="S35" s="775">
        <f t="shared" si="12"/>
        <v>100</v>
      </c>
      <c r="T35" s="774" t="s">
        <v>17</v>
      </c>
      <c r="U35" s="775">
        <f t="shared" si="13"/>
        <v>100</v>
      </c>
      <c r="V35" s="774" t="s">
        <v>17</v>
      </c>
      <c r="W35" s="775">
        <f t="shared" si="14"/>
        <v>100</v>
      </c>
      <c r="X35" s="1815"/>
      <c r="Y35" s="3258" t="s">
        <v>2568</v>
      </c>
      <c r="Z35" s="1816" t="str">
        <f t="shared" si="15"/>
        <v>市政基础设施</v>
      </c>
      <c r="AA35" s="1813">
        <f t="shared" si="3"/>
        <v>1</v>
      </c>
      <c r="AB35" s="1813">
        <f t="shared" si="4"/>
        <v>1</v>
      </c>
      <c r="AC35" s="1813">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58"/>
      <c r="Q36" s="1812" t="str">
        <f t="shared" si="11"/>
        <v>内部装修</v>
      </c>
      <c r="R36" s="774" t="s">
        <v>17</v>
      </c>
      <c r="S36" s="775">
        <f t="shared" si="12"/>
        <v>100</v>
      </c>
      <c r="T36" s="774" t="s">
        <v>17</v>
      </c>
      <c r="U36" s="775">
        <f t="shared" si="13"/>
        <v>100</v>
      </c>
      <c r="V36" s="774" t="s">
        <v>17</v>
      </c>
      <c r="W36" s="775">
        <f t="shared" si="14"/>
        <v>100</v>
      </c>
      <c r="X36" s="1815"/>
      <c r="Y36" s="3258"/>
      <c r="Z36" s="1816" t="str">
        <f t="shared" si="15"/>
        <v>内部装修</v>
      </c>
      <c r="AA36" s="1813">
        <f t="shared" si="3"/>
        <v>1</v>
      </c>
      <c r="AB36" s="1813">
        <f t="shared" si="4"/>
        <v>1</v>
      </c>
      <c r="AC36" s="1813">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58"/>
      <c r="Q37" s="1812" t="str">
        <f t="shared" si="11"/>
        <v>内部装修状况</v>
      </c>
      <c r="R37" s="774" t="s">
        <v>17</v>
      </c>
      <c r="S37" s="775">
        <f t="shared" si="12"/>
        <v>100</v>
      </c>
      <c r="T37" s="774" t="s">
        <v>17</v>
      </c>
      <c r="U37" s="775">
        <f t="shared" si="13"/>
        <v>100</v>
      </c>
      <c r="V37" s="774" t="s">
        <v>17</v>
      </c>
      <c r="W37" s="775">
        <f t="shared" si="14"/>
        <v>100</v>
      </c>
      <c r="X37" s="1815"/>
      <c r="Y37" s="3258"/>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58"/>
      <c r="Q38" s="776">
        <f t="shared" si="11"/>
        <v>111</v>
      </c>
      <c r="R38" s="777" t="s">
        <v>17</v>
      </c>
      <c r="S38" s="778">
        <f t="shared" si="12"/>
        <v>100</v>
      </c>
      <c r="T38" s="777" t="s">
        <v>17</v>
      </c>
      <c r="U38" s="778">
        <f t="shared" si="13"/>
        <v>100</v>
      </c>
      <c r="V38" s="777" t="s">
        <v>17</v>
      </c>
      <c r="W38" s="778">
        <f t="shared" si="14"/>
        <v>100</v>
      </c>
      <c r="X38" s="779"/>
      <c r="Y38" s="3258"/>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58"/>
      <c r="Q39" s="1812">
        <f t="shared" si="11"/>
        <v>111</v>
      </c>
      <c r="R39" s="774" t="s">
        <v>17</v>
      </c>
      <c r="S39" s="775">
        <f t="shared" si="12"/>
        <v>100</v>
      </c>
      <c r="T39" s="774" t="s">
        <v>17</v>
      </c>
      <c r="U39" s="775">
        <f t="shared" si="13"/>
        <v>100</v>
      </c>
      <c r="V39" s="774" t="s">
        <v>17</v>
      </c>
      <c r="W39" s="775">
        <f t="shared" si="14"/>
        <v>100</v>
      </c>
      <c r="X39" s="1815"/>
      <c r="Y39" s="3258"/>
      <c r="Z39" s="1816">
        <f t="shared" si="15"/>
        <v>111</v>
      </c>
      <c r="AA39" s="1813">
        <f t="shared" si="3"/>
        <v>1</v>
      </c>
      <c r="AB39" s="1813">
        <f t="shared" si="4"/>
        <v>1</v>
      </c>
      <c r="AC39" s="1813">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59"/>
      <c r="Q40" s="1812">
        <f t="shared" si="11"/>
        <v>111</v>
      </c>
      <c r="R40" s="774" t="s">
        <v>17</v>
      </c>
      <c r="S40" s="775">
        <f t="shared" si="12"/>
        <v>100</v>
      </c>
      <c r="T40" s="774" t="s">
        <v>17</v>
      </c>
      <c r="U40" s="775">
        <f t="shared" si="13"/>
        <v>100</v>
      </c>
      <c r="V40" s="774" t="s">
        <v>17</v>
      </c>
      <c r="W40" s="775">
        <f t="shared" si="14"/>
        <v>100</v>
      </c>
      <c r="X40" s="1815"/>
      <c r="Y40" s="3259"/>
      <c r="Z40" s="1816">
        <f t="shared" si="15"/>
        <v>111</v>
      </c>
      <c r="AA40" s="1813">
        <f t="shared" si="3"/>
        <v>1</v>
      </c>
      <c r="AB40" s="1813">
        <f t="shared" si="4"/>
        <v>1</v>
      </c>
      <c r="AC40" s="1813">
        <f t="shared" si="5"/>
        <v>1</v>
      </c>
    </row>
    <row r="41" spans="1:29" ht="15">
      <c r="A41" s="479" t="s">
        <v>2580</v>
      </c>
      <c r="B41" s="480"/>
      <c r="C41" s="1410" t="s">
        <v>1</v>
      </c>
      <c r="D41" s="1411"/>
      <c r="E41" s="1412"/>
      <c r="F41" s="1413"/>
      <c r="G41" s="1414"/>
      <c r="H41" s="1415"/>
      <c r="I41" s="1412"/>
      <c r="J41" s="1415"/>
      <c r="K41" s="783"/>
      <c r="L41" s="1146"/>
      <c r="M41" s="1147"/>
      <c r="N41" s="1134"/>
      <c r="O41" s="1147"/>
      <c r="P41" s="3251" t="str">
        <f>A41</f>
        <v>成交单价（元/平方米）</v>
      </c>
      <c r="Q41" s="3251"/>
      <c r="R41" s="3252">
        <f>E41</f>
        <v>0</v>
      </c>
      <c r="S41" s="3252"/>
      <c r="T41" s="3252">
        <f>G41</f>
        <v>0</v>
      </c>
      <c r="U41" s="3252"/>
      <c r="V41" s="3252">
        <f>I41</f>
        <v>0</v>
      </c>
      <c r="W41" s="3252"/>
      <c r="X41" s="759"/>
      <c r="Y41" s="781"/>
      <c r="Z41" s="759"/>
      <c r="AA41" s="759"/>
      <c r="AB41" s="759"/>
      <c r="AC41" s="759"/>
    </row>
    <row r="42" spans="1:29" ht="15.75" thickBot="1">
      <c r="A42" s="486" t="s">
        <v>2672</v>
      </c>
      <c r="B42" s="487"/>
      <c r="C42" s="1416" t="e">
        <f>R43</f>
        <v>#DIV/0!</v>
      </c>
      <c r="D42" s="1417"/>
      <c r="E42" s="1418" t="e">
        <f>R42</f>
        <v>#DIV/0!</v>
      </c>
      <c r="F42" s="1418"/>
      <c r="G42" s="1416" t="e">
        <f>T42</f>
        <v>#DIV/0!</v>
      </c>
      <c r="H42" s="1417"/>
      <c r="I42" s="1418" t="e">
        <f>V42</f>
        <v>#DIV/0!</v>
      </c>
      <c r="J42" s="1417"/>
      <c r="K42" s="784"/>
      <c r="L42" s="1146"/>
      <c r="M42" s="1147"/>
      <c r="N42" s="1134"/>
      <c r="O42" s="1147"/>
      <c r="P42" s="3251" t="str">
        <f>A42</f>
        <v>比较价值（元/平方米）</v>
      </c>
      <c r="Q42" s="3251"/>
      <c r="R42" s="3252" t="e">
        <f>IF(F1="售价",ROUND(PRODUCT(R41,AA7:AA40),0),ROUND(PRODUCT(R41,AA7:AA40),1))</f>
        <v>#DIV/0!</v>
      </c>
      <c r="S42" s="3252"/>
      <c r="T42" s="3252" t="e">
        <f>IF(F1="售价",ROUND(PRODUCT(T41,AB7:AB40),0),ROUND(PRODUCT(T41,AB7:AB40),1))</f>
        <v>#DIV/0!</v>
      </c>
      <c r="U42" s="3252"/>
      <c r="V42" s="3252" t="e">
        <f>IF(F1="售价",ROUND(PRODUCT(V41,AC7:AC40),0),ROUND(PRODUCT(V41,AC7:AC40),1))</f>
        <v>#DIV/0!</v>
      </c>
      <c r="W42" s="3252"/>
      <c r="X42" s="759"/>
      <c r="Y42" s="759"/>
      <c r="Z42" s="759"/>
      <c r="AA42" s="759"/>
      <c r="AB42" s="759"/>
      <c r="AC42" s="759"/>
    </row>
    <row r="43" spans="1:29" ht="15.75" thickBot="1">
      <c r="A43" s="492" t="s">
        <v>2673</v>
      </c>
      <c r="B43" s="493"/>
      <c r="C43" s="1420" t="e">
        <f>R43</f>
        <v>#DIV/0!</v>
      </c>
      <c r="D43" s="1420"/>
      <c r="E43" s="1420"/>
      <c r="F43" s="1420"/>
      <c r="G43" s="1420"/>
      <c r="H43" s="1420"/>
      <c r="I43" s="1420"/>
      <c r="J43" s="1420"/>
      <c r="K43" s="785"/>
      <c r="L43" s="1146"/>
      <c r="M43" s="1147"/>
      <c r="N43" s="1147"/>
      <c r="O43" s="1147"/>
      <c r="P43" s="3248" t="str">
        <f>A43</f>
        <v>估价对象XX用房的比较价值（楼面单价，元/平方米）</v>
      </c>
      <c r="Q43" s="3249"/>
      <c r="R43" s="3250" t="e">
        <f>IF(F1="售价",ROUND(AVERAGE(R42:V42),0),ROUND(AVERAGE(R42:V42),1))</f>
        <v>#DIV/0!</v>
      </c>
      <c r="S43" s="3250"/>
      <c r="T43" s="3250"/>
      <c r="U43" s="3250"/>
      <c r="V43" s="3250"/>
      <c r="W43" s="325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2677</v>
      </c>
      <c r="B51" s="759"/>
      <c r="C51" s="764"/>
      <c r="D51" s="764"/>
      <c r="E51" s="764"/>
      <c r="F51" s="765"/>
      <c r="G51" s="765"/>
      <c r="H51" s="764"/>
      <c r="I51" s="764"/>
      <c r="J51" s="764"/>
      <c r="K51" s="1163"/>
      <c r="L51" s="1164"/>
      <c r="M51" s="1162"/>
      <c r="N51" s="1162"/>
      <c r="O51" s="1162"/>
      <c r="P51" s="503"/>
      <c r="Q51" s="504"/>
    </row>
    <row r="52" spans="1:17" s="508" customFormat="1" ht="15">
      <c r="A52" s="505" t="s">
        <v>2551</v>
      </c>
      <c r="B52" s="506"/>
      <c r="C52" s="1577" t="str">
        <f>YEAR(C7)&amp;"-"&amp;MONTH(C7)</f>
        <v>2018-1</v>
      </c>
      <c r="D52" s="1578">
        <f>EDATE(C52,-1)</f>
        <v>43070</v>
      </c>
      <c r="E52" s="1578">
        <f t="shared" ref="E52:O52" si="16">EDATE(D52,-1)</f>
        <v>43040</v>
      </c>
      <c r="F52" s="1578">
        <f t="shared" si="16"/>
        <v>43009</v>
      </c>
      <c r="G52" s="1578">
        <f t="shared" si="16"/>
        <v>42979</v>
      </c>
      <c r="H52" s="1578">
        <f t="shared" si="16"/>
        <v>42948</v>
      </c>
      <c r="I52" s="1578">
        <f t="shared" si="16"/>
        <v>42917</v>
      </c>
      <c r="J52" s="1578">
        <f t="shared" si="16"/>
        <v>42887</v>
      </c>
      <c r="K52" s="1578">
        <f t="shared" si="16"/>
        <v>42856</v>
      </c>
      <c r="L52" s="1578">
        <f t="shared" si="16"/>
        <v>42826</v>
      </c>
      <c r="M52" s="1578">
        <f t="shared" si="16"/>
        <v>42795</v>
      </c>
      <c r="N52" s="1578">
        <f t="shared" si="16"/>
        <v>42767</v>
      </c>
      <c r="O52" s="1578">
        <f t="shared" si="16"/>
        <v>42736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2591</v>
      </c>
      <c r="B57" s="528" t="s">
        <v>2557</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2566</v>
      </c>
      <c r="B88" s="528" t="s">
        <v>2615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2617</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2619</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2001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25"/>
      <c r="F1" s="2590"/>
      <c r="G1" s="1626" t="s">
        <v>2646</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2333</v>
      </c>
      <c r="B2" s="1421" t="e">
        <f ca="1">IF(C2="——",IF(B37="元/平方米",ROUND(C39*D3/10000,0),ROUND(F3*C39/10000,0)),IF(B37="元/平方米",ROUND(C39*D3/10000,0),ROUND(F3*C39/10000,0))-D2)</f>
        <v>#DIV/0!</v>
      </c>
      <c r="C2" s="2592"/>
      <c r="D2" s="1127" t="e">
        <f ca="1">SUMIF(INDIRECT("'"&amp;F2&amp;"'"&amp;"!A:A"),"承租人权益价值",INDIRECT("'"&amp;F2&amp;"'"&amp;"!c:c"))</f>
        <v>#REF!</v>
      </c>
      <c r="E2" s="2593" t="s">
        <v>2334</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2335</v>
      </c>
      <c r="B3" s="609" t="e">
        <f ca="1">IF(AND(C2="——",B37="元/平方米"),C39,ROUND(B2*10000/D3,0))</f>
        <v>#DIV/0!</v>
      </c>
      <c r="C3" s="400" t="s">
        <v>2647</v>
      </c>
      <c r="D3" s="399">
        <f>SUMIF('数据-汇总表'!$C19:$C33,D1,'数据-汇总表'!$E19:$E33)</f>
        <v>0</v>
      </c>
      <c r="E3" s="400" t="s">
        <v>2711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2648</v>
      </c>
      <c r="B4" s="402"/>
      <c r="C4" s="3266" t="s">
        <v>2649</v>
      </c>
      <c r="D4" s="3267"/>
      <c r="E4" s="3268" t="s">
        <v>2650</v>
      </c>
      <c r="F4" s="3269"/>
      <c r="G4" s="3266" t="s">
        <v>2651</v>
      </c>
      <c r="H4" s="3267"/>
      <c r="I4" s="3266" t="s">
        <v>2652</v>
      </c>
      <c r="J4" s="3267"/>
      <c r="K4" s="610" t="s">
        <v>2653</v>
      </c>
      <c r="L4" s="1133"/>
      <c r="M4" s="1134"/>
      <c r="N4" s="1134"/>
      <c r="O4" s="1134"/>
      <c r="P4" s="3270" t="s">
        <v>2654</v>
      </c>
      <c r="Q4" s="3271"/>
      <c r="R4" s="3276" t="s">
        <v>2650</v>
      </c>
      <c r="S4" s="3277"/>
      <c r="T4" s="3276" t="s">
        <v>2651</v>
      </c>
      <c r="U4" s="3277"/>
      <c r="V4" s="3282" t="s">
        <v>2652</v>
      </c>
      <c r="W4" s="3282"/>
      <c r="X4" s="1815"/>
      <c r="Y4" s="3276" t="s">
        <v>2654</v>
      </c>
      <c r="Z4" s="3277"/>
      <c r="AA4" s="3263" t="s">
        <v>2650</v>
      </c>
      <c r="AB4" s="3264" t="s">
        <v>2651</v>
      </c>
      <c r="AC4" s="3263" t="s">
        <v>2652</v>
      </c>
    </row>
    <row r="5" spans="1:29" ht="15">
      <c r="A5" s="404"/>
      <c r="B5" s="405"/>
      <c r="C5" s="3285" t="s">
        <v>2545</v>
      </c>
      <c r="D5" s="3286"/>
      <c r="E5" s="3292" t="s">
        <v>2546</v>
      </c>
      <c r="F5" s="3293"/>
      <c r="G5" s="3285" t="s">
        <v>2547</v>
      </c>
      <c r="H5" s="3286"/>
      <c r="I5" s="3285" t="s">
        <v>2548</v>
      </c>
      <c r="J5" s="3286"/>
      <c r="K5" s="610"/>
      <c r="L5" s="1133"/>
      <c r="M5" s="1134"/>
      <c r="N5" s="1134"/>
      <c r="O5" s="1134"/>
      <c r="P5" s="3272"/>
      <c r="Q5" s="3273"/>
      <c r="R5" s="3278"/>
      <c r="S5" s="3279"/>
      <c r="T5" s="3278"/>
      <c r="U5" s="3279"/>
      <c r="V5" s="3282"/>
      <c r="W5" s="3282"/>
      <c r="X5" s="1815"/>
      <c r="Y5" s="3278"/>
      <c r="Z5" s="3279"/>
      <c r="AA5" s="3264"/>
      <c r="AB5" s="3264"/>
      <c r="AC5" s="3264"/>
    </row>
    <row r="6" spans="1:29" ht="15.75" thickBot="1">
      <c r="A6" s="406"/>
      <c r="B6" s="407"/>
      <c r="C6" s="3283" t="s">
        <v>2549</v>
      </c>
      <c r="D6" s="3284"/>
      <c r="E6" s="3290" t="s">
        <v>2549</v>
      </c>
      <c r="F6" s="3291"/>
      <c r="G6" s="3283" t="s">
        <v>2549</v>
      </c>
      <c r="H6" s="3284"/>
      <c r="I6" s="3283" t="s">
        <v>2549</v>
      </c>
      <c r="J6" s="3284"/>
      <c r="K6" s="610" t="s">
        <v>2550</v>
      </c>
      <c r="L6" s="1133"/>
      <c r="M6" s="1134"/>
      <c r="N6" s="1134"/>
      <c r="O6" s="1134"/>
      <c r="P6" s="3274"/>
      <c r="Q6" s="3275"/>
      <c r="R6" s="3278"/>
      <c r="S6" s="3279"/>
      <c r="T6" s="3280"/>
      <c r="U6" s="3281"/>
      <c r="V6" s="3282"/>
      <c r="W6" s="3282"/>
      <c r="X6" s="1815"/>
      <c r="Y6" s="3280"/>
      <c r="Z6" s="3281"/>
      <c r="AA6" s="3265"/>
      <c r="AB6" s="3265"/>
      <c r="AC6" s="3265"/>
    </row>
    <row r="7" spans="1:29" s="117" customFormat="1" ht="15.75" thickBot="1">
      <c r="A7" s="408" t="s">
        <v>2551</v>
      </c>
      <c r="B7" s="409"/>
      <c r="C7" s="410">
        <f>'数据-取费表'!B2</f>
        <v>43131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87" t="s">
        <v>2552</v>
      </c>
      <c r="Q7" s="3289"/>
      <c r="R7" s="770" t="s">
        <v>17</v>
      </c>
      <c r="S7" s="771">
        <f t="shared" ref="S7:S14" si="0">F7</f>
        <v>0</v>
      </c>
      <c r="T7" s="770" t="s">
        <v>17</v>
      </c>
      <c r="U7" s="771">
        <f t="shared" ref="U7:U14" si="1">H7</f>
        <v>0</v>
      </c>
      <c r="V7" s="770" t="s">
        <v>17</v>
      </c>
      <c r="W7" s="771">
        <f t="shared" ref="W7:W14" si="2">J7</f>
        <v>0</v>
      </c>
      <c r="X7" s="772"/>
      <c r="Y7" s="3287" t="s">
        <v>2552</v>
      </c>
      <c r="Z7" s="3288"/>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87" t="s">
        <v>2555</v>
      </c>
      <c r="Q8" s="3288"/>
      <c r="R8" s="770" t="s">
        <v>17</v>
      </c>
      <c r="S8" s="771">
        <f t="shared" si="0"/>
        <v>0</v>
      </c>
      <c r="T8" s="770" t="s">
        <v>17</v>
      </c>
      <c r="U8" s="771">
        <f t="shared" si="1"/>
        <v>0</v>
      </c>
      <c r="V8" s="770" t="s">
        <v>17</v>
      </c>
      <c r="W8" s="771">
        <f t="shared" si="2"/>
        <v>0</v>
      </c>
      <c r="X8" s="772"/>
      <c r="Y8" s="3287" t="s">
        <v>2555</v>
      </c>
      <c r="Z8" s="3288"/>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51" t="s">
        <v>2558</v>
      </c>
      <c r="Q9" s="1797" t="str">
        <f t="shared" ref="Q9:Q14" si="6">B9</f>
        <v>用途</v>
      </c>
      <c r="R9" s="770" t="s">
        <v>17</v>
      </c>
      <c r="S9" s="771">
        <f t="shared" si="0"/>
        <v>100</v>
      </c>
      <c r="T9" s="770" t="s">
        <v>17</v>
      </c>
      <c r="U9" s="771">
        <f t="shared" si="1"/>
        <v>100</v>
      </c>
      <c r="V9" s="770" t="s">
        <v>17</v>
      </c>
      <c r="W9" s="771">
        <f t="shared" si="2"/>
        <v>100</v>
      </c>
      <c r="X9" s="772"/>
      <c r="Y9" s="3046"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51"/>
      <c r="Q10" s="1797"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51"/>
      <c r="Q11" s="1797">
        <f t="shared" si="6"/>
        <v>111</v>
      </c>
      <c r="R11" s="770" t="s">
        <v>17</v>
      </c>
      <c r="S11" s="771">
        <f t="shared" si="0"/>
        <v>100</v>
      </c>
      <c r="T11" s="770" t="s">
        <v>17</v>
      </c>
      <c r="U11" s="771">
        <f t="shared" si="1"/>
        <v>100</v>
      </c>
      <c r="V11" s="770" t="s">
        <v>17</v>
      </c>
      <c r="W11" s="771">
        <f t="shared" si="2"/>
        <v>100</v>
      </c>
      <c r="X11" s="772"/>
      <c r="Y11" s="304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51"/>
      <c r="Q12" s="1797">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51"/>
      <c r="Q13" s="1797">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85.5">
      <c r="A14" s="401" t="s">
        <v>2562</v>
      </c>
      <c r="B14" s="629" t="s">
        <v>2712</v>
      </c>
      <c r="C14" s="269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53" t="s">
        <v>2563</v>
      </c>
      <c r="Q14" s="1812" t="str">
        <f t="shared" si="6"/>
        <v>交通便捷度</v>
      </c>
      <c r="R14" s="774" t="s">
        <v>17</v>
      </c>
      <c r="S14" s="775">
        <f t="shared" si="0"/>
        <v>100</v>
      </c>
      <c r="T14" s="774" t="s">
        <v>17</v>
      </c>
      <c r="U14" s="775">
        <f t="shared" si="1"/>
        <v>100</v>
      </c>
      <c r="V14" s="774" t="s">
        <v>17</v>
      </c>
      <c r="W14" s="775">
        <f t="shared" si="2"/>
        <v>100</v>
      </c>
      <c r="X14" s="1815"/>
      <c r="Y14" s="3253" t="s">
        <v>2563</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254"/>
      <c r="Q15" s="1812"/>
      <c r="R15" s="774"/>
      <c r="S15" s="775"/>
      <c r="T15" s="774"/>
      <c r="U15" s="775"/>
      <c r="V15" s="774"/>
      <c r="W15" s="775"/>
      <c r="X15" s="1815"/>
      <c r="Y15" s="3254"/>
      <c r="Z15" s="1816"/>
      <c r="AA15" s="1813">
        <v>1</v>
      </c>
      <c r="AB15" s="1813">
        <v>1</v>
      </c>
      <c r="AC15" s="1813">
        <v>1</v>
      </c>
    </row>
    <row r="16" spans="1:29" ht="42.75">
      <c r="A16" s="404"/>
      <c r="B16" s="631" t="s">
        <v>2691</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54"/>
      <c r="Q16" s="1812" t="str">
        <f>B16</f>
        <v>公共配套设施</v>
      </c>
      <c r="R16" s="774" t="s">
        <v>17</v>
      </c>
      <c r="S16" s="775">
        <f>F16</f>
        <v>100</v>
      </c>
      <c r="T16" s="774" t="s">
        <v>17</v>
      </c>
      <c r="U16" s="775">
        <f>H16</f>
        <v>100</v>
      </c>
      <c r="V16" s="774" t="s">
        <v>17</v>
      </c>
      <c r="W16" s="775">
        <f>J16</f>
        <v>100</v>
      </c>
      <c r="X16" s="1815"/>
      <c r="Y16" s="3254"/>
      <c r="Z16" s="1816" t="str">
        <f>Q16</f>
        <v>公共配套设施</v>
      </c>
      <c r="AA16" s="1813">
        <f t="shared" si="3"/>
        <v>1</v>
      </c>
      <c r="AB16" s="1813">
        <f t="shared" si="4"/>
        <v>1</v>
      </c>
      <c r="AC16" s="1813">
        <f t="shared" si="5"/>
        <v>1</v>
      </c>
    </row>
    <row r="17" spans="1:29" ht="15">
      <c r="A17" s="404"/>
      <c r="B17" s="632"/>
      <c r="C17" s="2614"/>
      <c r="D17" s="448"/>
      <c r="E17" s="447"/>
      <c r="F17" s="449"/>
      <c r="G17" s="447"/>
      <c r="H17" s="448"/>
      <c r="I17" s="447"/>
      <c r="J17" s="448"/>
      <c r="K17" s="615"/>
      <c r="L17" s="1143"/>
      <c r="M17" s="1134"/>
      <c r="N17" s="1134"/>
      <c r="O17" s="1134"/>
      <c r="P17" s="3254"/>
      <c r="Q17" s="1812"/>
      <c r="R17" s="774"/>
      <c r="S17" s="775"/>
      <c r="T17" s="774"/>
      <c r="U17" s="775"/>
      <c r="V17" s="774"/>
      <c r="W17" s="775"/>
      <c r="X17" s="1815"/>
      <c r="Y17" s="3254"/>
      <c r="Z17" s="1816"/>
      <c r="AA17" s="1813">
        <v>1</v>
      </c>
      <c r="AB17" s="1813">
        <v>1</v>
      </c>
      <c r="AC17" s="1813">
        <v>1</v>
      </c>
    </row>
    <row r="18" spans="1:29" ht="28.5">
      <c r="A18" s="404"/>
      <c r="B18" s="633" t="s">
        <v>2692</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54"/>
      <c r="Q18" s="1812" t="str">
        <f>B18</f>
        <v>基础设施水平</v>
      </c>
      <c r="R18" s="774" t="s">
        <v>17</v>
      </c>
      <c r="S18" s="775">
        <f>F18</f>
        <v>100</v>
      </c>
      <c r="T18" s="774" t="s">
        <v>17</v>
      </c>
      <c r="U18" s="775">
        <f>H18</f>
        <v>100</v>
      </c>
      <c r="V18" s="774" t="s">
        <v>17</v>
      </c>
      <c r="W18" s="775">
        <f>J18</f>
        <v>100</v>
      </c>
      <c r="X18" s="1815"/>
      <c r="Y18" s="3254"/>
      <c r="Z18" s="1816" t="str">
        <f>Q18</f>
        <v>基础设施水平</v>
      </c>
      <c r="AA18" s="1813">
        <f t="shared" ref="AA18" si="8">D18/F18</f>
        <v>1</v>
      </c>
      <c r="AB18" s="1813">
        <f t="shared" ref="AB18" si="9">D18/H18</f>
        <v>1</v>
      </c>
      <c r="AC18" s="1813">
        <f t="shared" ref="AC18" si="10">D18/J18</f>
        <v>1</v>
      </c>
    </row>
    <row r="19" spans="1:29" ht="15">
      <c r="A19" s="404"/>
      <c r="B19" s="633"/>
      <c r="C19" s="2614"/>
      <c r="D19" s="450"/>
      <c r="E19" s="2614"/>
      <c r="F19" s="453"/>
      <c r="G19" s="2614"/>
      <c r="H19" s="448"/>
      <c r="I19" s="447"/>
      <c r="J19" s="448"/>
      <c r="K19" s="1386"/>
      <c r="L19" s="1143"/>
      <c r="M19" s="1134"/>
      <c r="N19" s="1134"/>
      <c r="O19" s="1134"/>
      <c r="P19" s="3254"/>
      <c r="Q19" s="1812"/>
      <c r="R19" s="774"/>
      <c r="S19" s="775"/>
      <c r="T19" s="774"/>
      <c r="U19" s="775"/>
      <c r="V19" s="774"/>
      <c r="W19" s="775"/>
      <c r="X19" s="1815"/>
      <c r="Y19" s="3254"/>
      <c r="Z19" s="1816"/>
      <c r="AA19" s="1813">
        <v>1</v>
      </c>
      <c r="AB19" s="1813">
        <v>1</v>
      </c>
      <c r="AC19" s="1813">
        <v>1</v>
      </c>
    </row>
    <row r="20" spans="1:29" ht="57">
      <c r="A20" s="404"/>
      <c r="B20" s="631" t="s">
        <v>2713</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54"/>
      <c r="Q20" s="1812" t="str">
        <f>B20</f>
        <v>自然及人文环境</v>
      </c>
      <c r="R20" s="774" t="s">
        <v>17</v>
      </c>
      <c r="S20" s="775">
        <f>F20</f>
        <v>100</v>
      </c>
      <c r="T20" s="774" t="s">
        <v>17</v>
      </c>
      <c r="U20" s="775">
        <f>H20</f>
        <v>100</v>
      </c>
      <c r="V20" s="774" t="s">
        <v>17</v>
      </c>
      <c r="W20" s="775">
        <f>J20</f>
        <v>100</v>
      </c>
      <c r="X20" s="1815"/>
      <c r="Y20" s="3254"/>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254"/>
      <c r="Q21" s="1812"/>
      <c r="R21" s="774"/>
      <c r="S21" s="775"/>
      <c r="T21" s="774"/>
      <c r="U21" s="775"/>
      <c r="V21" s="774"/>
      <c r="W21" s="775"/>
      <c r="X21" s="1815"/>
      <c r="Y21" s="3254"/>
      <c r="Z21" s="1816"/>
      <c r="AA21" s="1813">
        <v>1</v>
      </c>
      <c r="AB21" s="1813">
        <v>1</v>
      </c>
      <c r="AC21" s="1813">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54"/>
      <c r="Q22" s="1812" t="str">
        <f>B22</f>
        <v>楼层</v>
      </c>
      <c r="R22" s="774" t="s">
        <v>17</v>
      </c>
      <c r="S22" s="775">
        <f>F22</f>
        <v>100</v>
      </c>
      <c r="T22" s="774" t="s">
        <v>17</v>
      </c>
      <c r="U22" s="775">
        <f>H22</f>
        <v>100</v>
      </c>
      <c r="V22" s="774" t="s">
        <v>17</v>
      </c>
      <c r="W22" s="775">
        <f>J22</f>
        <v>100</v>
      </c>
      <c r="X22" s="1815"/>
      <c r="Y22" s="3254"/>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54"/>
      <c r="Q23" s="1812">
        <f>B23</f>
        <v>111</v>
      </c>
      <c r="R23" s="774" t="s">
        <v>17</v>
      </c>
      <c r="S23" s="775">
        <f>F23</f>
        <v>100</v>
      </c>
      <c r="T23" s="774" t="s">
        <v>17</v>
      </c>
      <c r="U23" s="775">
        <f>H23</f>
        <v>100</v>
      </c>
      <c r="V23" s="774" t="s">
        <v>17</v>
      </c>
      <c r="W23" s="775">
        <f>J23</f>
        <v>100</v>
      </c>
      <c r="X23" s="1815"/>
      <c r="Y23" s="3254"/>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54"/>
      <c r="Q24" s="1812">
        <f t="shared" ref="Q24:Q36" si="11">B24</f>
        <v>111</v>
      </c>
      <c r="R24" s="774" t="s">
        <v>17</v>
      </c>
      <c r="S24" s="775">
        <f>F24</f>
        <v>100</v>
      </c>
      <c r="T24" s="774" t="s">
        <v>17</v>
      </c>
      <c r="U24" s="775">
        <f>H24</f>
        <v>100</v>
      </c>
      <c r="V24" s="774" t="s">
        <v>17</v>
      </c>
      <c r="W24" s="775">
        <f>J24</f>
        <v>100</v>
      </c>
      <c r="X24" s="1815"/>
      <c r="Y24" s="3254"/>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54"/>
      <c r="Q25" s="1797">
        <f t="shared" si="11"/>
        <v>111</v>
      </c>
      <c r="R25" s="770" t="s">
        <v>17</v>
      </c>
      <c r="S25" s="771">
        <f>F25</f>
        <v>100</v>
      </c>
      <c r="T25" s="770" t="s">
        <v>17</v>
      </c>
      <c r="U25" s="771">
        <f>H25</f>
        <v>100</v>
      </c>
      <c r="V25" s="770" t="s">
        <v>17</v>
      </c>
      <c r="W25" s="771">
        <f>J25</f>
        <v>100</v>
      </c>
      <c r="X25" s="772"/>
      <c r="Y25" s="3254"/>
      <c r="Z25" s="55">
        <f>Q25</f>
        <v>111</v>
      </c>
      <c r="AA25" s="1813">
        <f>D25/F25</f>
        <v>1</v>
      </c>
      <c r="AB25" s="1813">
        <f>D25/H25</f>
        <v>1</v>
      </c>
      <c r="AC25" s="1813">
        <f>D25/J25</f>
        <v>1</v>
      </c>
    </row>
    <row r="26" spans="1:29" ht="15">
      <c r="A26" s="652" t="s">
        <v>2566</v>
      </c>
      <c r="B26" s="70" t="s">
        <v>2715</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09" t="s">
        <v>2568</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58" t="s">
        <v>2568</v>
      </c>
      <c r="Z26" s="1816" t="str">
        <f t="shared" ref="Z26:Z36" si="15">Q26</f>
        <v>配套类型</v>
      </c>
      <c r="AA26" s="1813">
        <f t="shared" si="3"/>
        <v>1</v>
      </c>
      <c r="AB26" s="1813">
        <f t="shared" si="4"/>
        <v>1</v>
      </c>
      <c r="AC26" s="1813">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58"/>
      <c r="Q27" s="776" t="str">
        <f t="shared" si="11"/>
        <v>项目停车位配比</v>
      </c>
      <c r="R27" s="777" t="s">
        <v>17</v>
      </c>
      <c r="S27" s="778">
        <f t="shared" si="12"/>
        <v>100</v>
      </c>
      <c r="T27" s="777" t="s">
        <v>17</v>
      </c>
      <c r="U27" s="778">
        <f t="shared" si="13"/>
        <v>100</v>
      </c>
      <c r="V27" s="777" t="s">
        <v>17</v>
      </c>
      <c r="W27" s="778">
        <f t="shared" si="14"/>
        <v>100</v>
      </c>
      <c r="X27" s="779"/>
      <c r="Y27" s="3258"/>
      <c r="Z27" s="780" t="str">
        <f t="shared" si="15"/>
        <v>项目停车位配比</v>
      </c>
      <c r="AA27" s="1813">
        <f t="shared" si="3"/>
        <v>1</v>
      </c>
      <c r="AB27" s="1813">
        <f t="shared" si="4"/>
        <v>1</v>
      </c>
      <c r="AC27" s="1813">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58"/>
      <c r="Q28" s="1812" t="str">
        <f t="shared" si="11"/>
        <v>公共部分装修</v>
      </c>
      <c r="R28" s="774" t="s">
        <v>17</v>
      </c>
      <c r="S28" s="775">
        <f t="shared" si="12"/>
        <v>100</v>
      </c>
      <c r="T28" s="774" t="s">
        <v>17</v>
      </c>
      <c r="U28" s="775">
        <f t="shared" si="13"/>
        <v>100</v>
      </c>
      <c r="V28" s="774" t="s">
        <v>17</v>
      </c>
      <c r="W28" s="775">
        <f t="shared" si="14"/>
        <v>100</v>
      </c>
      <c r="X28" s="1815"/>
      <c r="Y28" s="3258"/>
      <c r="Z28" s="1816" t="str">
        <f t="shared" si="15"/>
        <v>公共部分装修</v>
      </c>
      <c r="AA28" s="1813">
        <f t="shared" si="3"/>
        <v>1</v>
      </c>
      <c r="AB28" s="1813">
        <f t="shared" si="4"/>
        <v>1</v>
      </c>
      <c r="AC28" s="1813">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58"/>
      <c r="Q29" s="1812" t="str">
        <f t="shared" si="11"/>
        <v>成新率</v>
      </c>
      <c r="R29" s="774" t="s">
        <v>17</v>
      </c>
      <c r="S29" s="775" t="e">
        <f t="shared" si="12"/>
        <v>#N/A</v>
      </c>
      <c r="T29" s="774" t="s">
        <v>17</v>
      </c>
      <c r="U29" s="775" t="e">
        <f t="shared" si="13"/>
        <v>#N/A</v>
      </c>
      <c r="V29" s="774" t="s">
        <v>17</v>
      </c>
      <c r="W29" s="775" t="e">
        <f t="shared" si="14"/>
        <v>#N/A</v>
      </c>
      <c r="X29" s="1815"/>
      <c r="Y29" s="3258"/>
      <c r="Z29" s="1816" t="str">
        <f t="shared" si="15"/>
        <v>成新率</v>
      </c>
      <c r="AA29" s="1813" t="e">
        <f t="shared" si="3"/>
        <v>#N/A</v>
      </c>
      <c r="AB29" s="1813" t="e">
        <f t="shared" si="4"/>
        <v>#N/A</v>
      </c>
      <c r="AC29" s="1813"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58"/>
      <c r="Q30" s="1812" t="str">
        <f t="shared" si="11"/>
        <v>物业等级</v>
      </c>
      <c r="R30" s="774" t="s">
        <v>17</v>
      </c>
      <c r="S30" s="775">
        <f t="shared" si="12"/>
        <v>100</v>
      </c>
      <c r="T30" s="774" t="s">
        <v>17</v>
      </c>
      <c r="U30" s="775">
        <f t="shared" si="13"/>
        <v>100</v>
      </c>
      <c r="V30" s="774" t="s">
        <v>17</v>
      </c>
      <c r="W30" s="775">
        <f t="shared" si="14"/>
        <v>100</v>
      </c>
      <c r="X30" s="1815"/>
      <c r="Y30" s="3258"/>
      <c r="Z30" s="1816" t="str">
        <f t="shared" si="15"/>
        <v>物业等级</v>
      </c>
      <c r="AA30" s="1813">
        <f t="shared" si="3"/>
        <v>1</v>
      </c>
      <c r="AB30" s="1813">
        <f t="shared" si="4"/>
        <v>1</v>
      </c>
      <c r="AC30" s="1813">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58"/>
      <c r="Q31" s="1797" t="str">
        <f t="shared" si="11"/>
        <v>停车位面积</v>
      </c>
      <c r="R31" s="770" t="s">
        <v>17</v>
      </c>
      <c r="S31" s="771" t="e">
        <f t="shared" si="12"/>
        <v>#N/A</v>
      </c>
      <c r="T31" s="770" t="s">
        <v>17</v>
      </c>
      <c r="U31" s="771" t="e">
        <f t="shared" si="13"/>
        <v>#N/A</v>
      </c>
      <c r="V31" s="770" t="s">
        <v>17</v>
      </c>
      <c r="W31" s="771" t="e">
        <f t="shared" si="14"/>
        <v>#N/A</v>
      </c>
      <c r="X31" s="772"/>
      <c r="Y31" s="3258"/>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58" t="s">
        <v>2568</v>
      </c>
      <c r="Q32" s="1812" t="str">
        <f t="shared" si="11"/>
        <v>车位类型</v>
      </c>
      <c r="R32" s="774" t="s">
        <v>17</v>
      </c>
      <c r="S32" s="775">
        <f t="shared" si="12"/>
        <v>100</v>
      </c>
      <c r="T32" s="774" t="s">
        <v>17</v>
      </c>
      <c r="U32" s="775">
        <f t="shared" si="13"/>
        <v>100</v>
      </c>
      <c r="V32" s="774" t="s">
        <v>17</v>
      </c>
      <c r="W32" s="775">
        <f t="shared" si="14"/>
        <v>100</v>
      </c>
      <c r="X32" s="1815"/>
      <c r="Y32" s="3258" t="s">
        <v>2568</v>
      </c>
      <c r="Z32" s="1816" t="str">
        <f t="shared" si="15"/>
        <v>车位类型</v>
      </c>
      <c r="AA32" s="1813">
        <f t="shared" si="3"/>
        <v>1</v>
      </c>
      <c r="AB32" s="1813">
        <f t="shared" si="4"/>
        <v>1</v>
      </c>
      <c r="AC32" s="1813">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58"/>
      <c r="Q33" s="1812" t="str">
        <f t="shared" si="11"/>
        <v>是否直接入户</v>
      </c>
      <c r="R33" s="774" t="s">
        <v>17</v>
      </c>
      <c r="S33" s="775">
        <f t="shared" si="12"/>
        <v>100</v>
      </c>
      <c r="T33" s="774" t="s">
        <v>17</v>
      </c>
      <c r="U33" s="775">
        <f t="shared" si="13"/>
        <v>100</v>
      </c>
      <c r="V33" s="774" t="s">
        <v>17</v>
      </c>
      <c r="W33" s="775">
        <f t="shared" si="14"/>
        <v>100</v>
      </c>
      <c r="X33" s="1815"/>
      <c r="Y33" s="3258"/>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58"/>
      <c r="Q34" s="1812">
        <f t="shared" si="11"/>
        <v>111</v>
      </c>
      <c r="R34" s="774" t="s">
        <v>17</v>
      </c>
      <c r="S34" s="775">
        <f t="shared" si="12"/>
        <v>100</v>
      </c>
      <c r="T34" s="774" t="s">
        <v>17</v>
      </c>
      <c r="U34" s="775">
        <f t="shared" si="13"/>
        <v>100</v>
      </c>
      <c r="V34" s="774" t="s">
        <v>17</v>
      </c>
      <c r="W34" s="775">
        <f t="shared" si="14"/>
        <v>100</v>
      </c>
      <c r="X34" s="1815"/>
      <c r="Y34" s="3258"/>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58"/>
      <c r="Q35" s="776">
        <f t="shared" si="11"/>
        <v>111</v>
      </c>
      <c r="R35" s="777" t="s">
        <v>17</v>
      </c>
      <c r="S35" s="778">
        <f t="shared" si="12"/>
        <v>100</v>
      </c>
      <c r="T35" s="777" t="s">
        <v>17</v>
      </c>
      <c r="U35" s="778">
        <f t="shared" si="13"/>
        <v>100</v>
      </c>
      <c r="V35" s="777" t="s">
        <v>17</v>
      </c>
      <c r="W35" s="778">
        <f t="shared" si="14"/>
        <v>100</v>
      </c>
      <c r="X35" s="779"/>
      <c r="Y35" s="3258"/>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58"/>
      <c r="Q36" s="1812">
        <f t="shared" si="11"/>
        <v>111</v>
      </c>
      <c r="R36" s="774" t="s">
        <v>17</v>
      </c>
      <c r="S36" s="775">
        <f t="shared" si="12"/>
        <v>100</v>
      </c>
      <c r="T36" s="774" t="s">
        <v>17</v>
      </c>
      <c r="U36" s="775">
        <f t="shared" si="13"/>
        <v>100</v>
      </c>
      <c r="V36" s="774" t="s">
        <v>17</v>
      </c>
      <c r="W36" s="775">
        <f t="shared" si="14"/>
        <v>100</v>
      </c>
      <c r="X36" s="1815"/>
      <c r="Y36" s="3258"/>
      <c r="Z36" s="1816">
        <f t="shared" si="15"/>
        <v>111</v>
      </c>
      <c r="AA36" s="1813">
        <f t="shared" si="3"/>
        <v>1</v>
      </c>
      <c r="AB36" s="1813">
        <f t="shared" si="4"/>
        <v>1</v>
      </c>
      <c r="AC36" s="1813">
        <f t="shared" si="5"/>
        <v>1</v>
      </c>
    </row>
    <row r="37" spans="1:29" ht="15">
      <c r="A37" s="479" t="s">
        <v>2723</v>
      </c>
      <c r="B37" s="2701" t="s">
        <v>2724</v>
      </c>
      <c r="C37" s="1410" t="s">
        <v>1</v>
      </c>
      <c r="D37" s="1411"/>
      <c r="E37" s="1412"/>
      <c r="F37" s="1413"/>
      <c r="G37" s="1414"/>
      <c r="H37" s="1415"/>
      <c r="I37" s="1412"/>
      <c r="J37" s="1415"/>
      <c r="K37" s="619"/>
      <c r="L37" s="1146"/>
      <c r="M37" s="1147"/>
      <c r="N37" s="1134"/>
      <c r="O37" s="1147"/>
      <c r="P37" s="3251" t="str">
        <f>A37</f>
        <v>成交单价</v>
      </c>
      <c r="Q37" s="3251"/>
      <c r="R37" s="3252">
        <f>E37</f>
        <v>0</v>
      </c>
      <c r="S37" s="3252"/>
      <c r="T37" s="3252">
        <f>G37</f>
        <v>0</v>
      </c>
      <c r="U37" s="3252"/>
      <c r="V37" s="3252">
        <f>I37</f>
        <v>0</v>
      </c>
      <c r="W37" s="3252"/>
      <c r="X37" s="759"/>
      <c r="Y37" s="781"/>
      <c r="Z37" s="759"/>
      <c r="AA37" s="759"/>
      <c r="AB37" s="759"/>
      <c r="AC37" s="759"/>
    </row>
    <row r="38" spans="1:29" ht="15.75" thickBot="1">
      <c r="A38" s="486" t="s">
        <v>2725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51" t="str">
        <f>A38</f>
        <v>比较价值（元/平方米）</v>
      </c>
      <c r="Q38" s="3251"/>
      <c r="R38" s="3252" t="e">
        <f>IF(F1="售价",ROUND(PRODUCT(R37,AA7:AA36),0),ROUND(PRODUCT(R37,AA7:AA36),1))</f>
        <v>#DIV/0!</v>
      </c>
      <c r="S38" s="3252"/>
      <c r="T38" s="3252" t="e">
        <f>IF(F1="售价",ROUND(PRODUCT(T37,AB7:AB36),0),ROUND(PRODUCT(T37,AB7:AB36),1))</f>
        <v>#DIV/0!</v>
      </c>
      <c r="U38" s="3252"/>
      <c r="V38" s="3252" t="e">
        <f>IF(F1="售价",ROUND(PRODUCT(V37,AC7:AC36),0),ROUND(PRODUCT(V37,AC7:AC36),1))</f>
        <v>#DIV/0!</v>
      </c>
      <c r="W38" s="3252"/>
      <c r="X38" s="759"/>
      <c r="Y38" s="759"/>
      <c r="Z38" s="759"/>
      <c r="AA38" s="759"/>
      <c r="AB38" s="759"/>
      <c r="AC38" s="759"/>
    </row>
    <row r="39" spans="1:29" ht="15.75" thickBot="1">
      <c r="A39" s="492" t="s">
        <v>2726</v>
      </c>
      <c r="B39" s="493"/>
      <c r="C39" s="1420" t="e">
        <f>R39</f>
        <v>#DIV/0!</v>
      </c>
      <c r="D39" s="1420"/>
      <c r="E39" s="1420"/>
      <c r="F39" s="1420"/>
      <c r="G39" s="1420"/>
      <c r="H39" s="1420"/>
      <c r="I39" s="1420"/>
      <c r="J39" s="1420"/>
      <c r="K39" s="621"/>
      <c r="L39" s="1146"/>
      <c r="M39" s="1147"/>
      <c r="N39" s="1147"/>
      <c r="O39" s="1147"/>
      <c r="P39" s="3248" t="str">
        <f>A39</f>
        <v>估价对象XX用房的比较价值（楼面单价，元/平方米）</v>
      </c>
      <c r="Q39" s="3249"/>
      <c r="R39" s="3250" t="e">
        <f>IF(F1="售价",ROUND(AVERAGE(R38:V38),0),ROUND(AVERAGE(R38:V38),1))</f>
        <v>#DIV/0!</v>
      </c>
      <c r="S39" s="3250"/>
      <c r="T39" s="3250"/>
      <c r="U39" s="3250"/>
      <c r="V39" s="3250"/>
      <c r="W39" s="325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2731</v>
      </c>
      <c r="B48" s="506"/>
      <c r="C48" s="1577" t="str">
        <f>YEAR(C7)&amp;"-"&amp;MONTH(C7)</f>
        <v>2018-1</v>
      </c>
      <c r="D48" s="1578">
        <f>EDATE(C48,-1)</f>
        <v>43070</v>
      </c>
      <c r="E48" s="1578">
        <f t="shared" ref="E48:O48" si="16">EDATE(D48,-1)</f>
        <v>43040</v>
      </c>
      <c r="F48" s="1578">
        <f t="shared" si="16"/>
        <v>43009</v>
      </c>
      <c r="G48" s="1578">
        <f t="shared" si="16"/>
        <v>42979</v>
      </c>
      <c r="H48" s="1578">
        <f t="shared" si="16"/>
        <v>42948</v>
      </c>
      <c r="I48" s="1578">
        <f t="shared" si="16"/>
        <v>42917</v>
      </c>
      <c r="J48" s="1578">
        <f t="shared" si="16"/>
        <v>42887</v>
      </c>
      <c r="K48" s="1578">
        <f t="shared" si="16"/>
        <v>42856</v>
      </c>
      <c r="L48" s="1578">
        <f t="shared" si="16"/>
        <v>42826</v>
      </c>
      <c r="M48" s="1578">
        <f t="shared" si="16"/>
        <v>42795</v>
      </c>
      <c r="N48" s="1578">
        <f t="shared" si="16"/>
        <v>42767</v>
      </c>
      <c r="O48" s="1578">
        <f t="shared" si="16"/>
        <v>42736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2553</v>
      </c>
      <c r="B51" s="510"/>
      <c r="C51" s="522" t="s">
        <v>2655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2591</v>
      </c>
      <c r="B53" s="528" t="s">
        <v>2557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2606</v>
      </c>
      <c r="C65" s="578" t="s">
        <v>2600</v>
      </c>
      <c r="D65" s="578" t="s">
        <v>2601</v>
      </c>
      <c r="E65" s="578" t="s">
        <v>2602</v>
      </c>
      <c r="F65" s="578" t="s">
        <v>2603</v>
      </c>
      <c r="G65" s="578" t="s">
        <v>2604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2692</v>
      </c>
      <c r="C67" s="660" t="s">
        <v>2678</v>
      </c>
      <c r="D67" s="660" t="s">
        <v>2679</v>
      </c>
      <c r="E67" s="660" t="s">
        <v>2680</v>
      </c>
      <c r="F67" s="660" t="s">
        <v>2681</v>
      </c>
      <c r="G67" s="660" t="s">
        <v>2682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2612</v>
      </c>
      <c r="C69" s="578" t="s">
        <v>2600</v>
      </c>
      <c r="D69" s="578" t="s">
        <v>2601</v>
      </c>
      <c r="E69" s="578" t="s">
        <v>2602</v>
      </c>
      <c r="F69" s="578" t="s">
        <v>2603</v>
      </c>
      <c r="G69" s="578" t="s">
        <v>2604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2566</v>
      </c>
      <c r="B79" s="528" t="s">
        <v>2733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33"/>
      <c r="F1" s="2590"/>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IF(C2="——",ROUND(C37*D3/10000,0),ROUND(C37*D3/10000,0)-D2)</f>
        <v>#DIV/0!</v>
      </c>
      <c r="C2" s="2592"/>
      <c r="D2" s="1127" t="e">
        <f ca="1">SUMIF(INDIRECT("'"&amp;F2&amp;"'"&amp;"!A:A"),"承租人权益价值",INDIRECT("'"&amp;F2&amp;"'"&amp;"!c:c"))</f>
        <v>#REF!</v>
      </c>
      <c r="E2" s="2593" t="s">
        <v>2334</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IF(C2="——",C37,ROUND(B2*10000/D3,0))</f>
        <v>#DIV/0!</v>
      </c>
      <c r="C3" s="400" t="s">
        <v>2647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266" t="s">
        <v>2649</v>
      </c>
      <c r="D4" s="3267"/>
      <c r="E4" s="3268" t="s">
        <v>2650</v>
      </c>
      <c r="F4" s="3269"/>
      <c r="G4" s="3266" t="s">
        <v>2651</v>
      </c>
      <c r="H4" s="3267"/>
      <c r="I4" s="3266" t="s">
        <v>2652</v>
      </c>
      <c r="J4" s="3267"/>
      <c r="K4" s="610" t="s">
        <v>2653</v>
      </c>
      <c r="L4" s="1133"/>
      <c r="M4" s="1134"/>
      <c r="N4" s="1134"/>
      <c r="O4" s="1134"/>
      <c r="P4" s="3270" t="s">
        <v>2654</v>
      </c>
      <c r="Q4" s="3271"/>
      <c r="R4" s="3276" t="s">
        <v>2650</v>
      </c>
      <c r="S4" s="3277"/>
      <c r="T4" s="3276" t="s">
        <v>2651</v>
      </c>
      <c r="U4" s="3277"/>
      <c r="V4" s="3282" t="s">
        <v>2652</v>
      </c>
      <c r="W4" s="3282"/>
      <c r="X4" s="1815"/>
      <c r="Y4" s="3276" t="s">
        <v>2654</v>
      </c>
      <c r="Z4" s="3277"/>
      <c r="AA4" s="3263" t="s">
        <v>2650</v>
      </c>
      <c r="AB4" s="3264" t="s">
        <v>2651</v>
      </c>
      <c r="AC4" s="3263" t="s">
        <v>2652</v>
      </c>
    </row>
    <row r="5" spans="1:29" ht="15">
      <c r="A5" s="404"/>
      <c r="B5" s="405"/>
      <c r="C5" s="3285" t="s">
        <v>2545</v>
      </c>
      <c r="D5" s="3286"/>
      <c r="E5" s="3292" t="s">
        <v>2546</v>
      </c>
      <c r="F5" s="3293"/>
      <c r="G5" s="3285" t="s">
        <v>2547</v>
      </c>
      <c r="H5" s="3286"/>
      <c r="I5" s="3285" t="s">
        <v>2548</v>
      </c>
      <c r="J5" s="3286"/>
      <c r="K5" s="610"/>
      <c r="L5" s="1133"/>
      <c r="M5" s="1134"/>
      <c r="N5" s="1134"/>
      <c r="O5" s="1134"/>
      <c r="P5" s="3272"/>
      <c r="Q5" s="3273"/>
      <c r="R5" s="3278"/>
      <c r="S5" s="3279"/>
      <c r="T5" s="3278"/>
      <c r="U5" s="3279"/>
      <c r="V5" s="3282"/>
      <c r="W5" s="3282"/>
      <c r="X5" s="1815"/>
      <c r="Y5" s="3278"/>
      <c r="Z5" s="3279"/>
      <c r="AA5" s="3264"/>
      <c r="AB5" s="3264"/>
      <c r="AC5" s="3264"/>
    </row>
    <row r="6" spans="1:29" ht="15.75" thickBot="1">
      <c r="A6" s="406"/>
      <c r="B6" s="407"/>
      <c r="C6" s="3283" t="s">
        <v>2549</v>
      </c>
      <c r="D6" s="3284"/>
      <c r="E6" s="3290" t="s">
        <v>2549</v>
      </c>
      <c r="F6" s="3291"/>
      <c r="G6" s="3283" t="s">
        <v>2549</v>
      </c>
      <c r="H6" s="3284"/>
      <c r="I6" s="3283" t="s">
        <v>2549</v>
      </c>
      <c r="J6" s="3284"/>
      <c r="K6" s="610" t="s">
        <v>2550</v>
      </c>
      <c r="L6" s="1133"/>
      <c r="M6" s="1134"/>
      <c r="N6" s="1134"/>
      <c r="O6" s="1134"/>
      <c r="P6" s="3274"/>
      <c r="Q6" s="3275"/>
      <c r="R6" s="3278"/>
      <c r="S6" s="3279"/>
      <c r="T6" s="3280"/>
      <c r="U6" s="3281"/>
      <c r="V6" s="3282"/>
      <c r="W6" s="3282"/>
      <c r="X6" s="1815"/>
      <c r="Y6" s="3280"/>
      <c r="Z6" s="3281"/>
      <c r="AA6" s="3265"/>
      <c r="AB6" s="3265"/>
      <c r="AC6" s="3265"/>
    </row>
    <row r="7" spans="1:29" s="117" customFormat="1" ht="15.75" thickBot="1">
      <c r="A7" s="408" t="s">
        <v>2551</v>
      </c>
      <c r="B7" s="409"/>
      <c r="C7" s="410">
        <f>'数据-取费表'!B2</f>
        <v>43131</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287" t="s">
        <v>2552</v>
      </c>
      <c r="Q7" s="3289"/>
      <c r="R7" s="770" t="s">
        <v>17</v>
      </c>
      <c r="S7" s="771">
        <f t="shared" ref="S7:S14" si="0">F7</f>
        <v>0</v>
      </c>
      <c r="T7" s="770" t="s">
        <v>17</v>
      </c>
      <c r="U7" s="771">
        <f t="shared" ref="U7:U14" si="1">H7</f>
        <v>0</v>
      </c>
      <c r="V7" s="770" t="s">
        <v>17</v>
      </c>
      <c r="W7" s="771">
        <f t="shared" ref="W7:W14" si="2">J7</f>
        <v>0</v>
      </c>
      <c r="X7" s="772"/>
      <c r="Y7" s="3287" t="s">
        <v>2552</v>
      </c>
      <c r="Z7" s="3288"/>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87" t="s">
        <v>2555</v>
      </c>
      <c r="Q8" s="3288"/>
      <c r="R8" s="770" t="s">
        <v>17</v>
      </c>
      <c r="S8" s="771">
        <f t="shared" si="0"/>
        <v>0</v>
      </c>
      <c r="T8" s="770" t="s">
        <v>17</v>
      </c>
      <c r="U8" s="771">
        <f t="shared" si="1"/>
        <v>0</v>
      </c>
      <c r="V8" s="770" t="s">
        <v>17</v>
      </c>
      <c r="W8" s="771">
        <f t="shared" si="2"/>
        <v>0</v>
      </c>
      <c r="X8" s="772"/>
      <c r="Y8" s="3287" t="s">
        <v>2555</v>
      </c>
      <c r="Z8" s="3288"/>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51" t="s">
        <v>2558</v>
      </c>
      <c r="Q9" s="1797" t="str">
        <f t="shared" ref="Q9:Q14" si="6">B9</f>
        <v>用途</v>
      </c>
      <c r="R9" s="770" t="s">
        <v>17</v>
      </c>
      <c r="S9" s="771">
        <f t="shared" si="0"/>
        <v>100</v>
      </c>
      <c r="T9" s="770" t="s">
        <v>17</v>
      </c>
      <c r="U9" s="771">
        <f t="shared" si="1"/>
        <v>100</v>
      </c>
      <c r="V9" s="770" t="s">
        <v>17</v>
      </c>
      <c r="W9" s="771">
        <f t="shared" si="2"/>
        <v>100</v>
      </c>
      <c r="X9" s="772"/>
      <c r="Y9" s="3046"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51"/>
      <c r="Q10" s="1797"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51"/>
      <c r="Q11" s="1797">
        <f t="shared" si="6"/>
        <v>111</v>
      </c>
      <c r="R11" s="770" t="s">
        <v>17</v>
      </c>
      <c r="S11" s="771">
        <f t="shared" si="0"/>
        <v>100</v>
      </c>
      <c r="T11" s="770" t="s">
        <v>17</v>
      </c>
      <c r="U11" s="771">
        <f t="shared" si="1"/>
        <v>100</v>
      </c>
      <c r="V11" s="770" t="s">
        <v>17</v>
      </c>
      <c r="W11" s="771">
        <f t="shared" si="2"/>
        <v>100</v>
      </c>
      <c r="X11" s="772"/>
      <c r="Y11" s="3046"/>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51"/>
      <c r="Q12" s="1797">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251"/>
      <c r="Q13" s="1797">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85.5">
      <c r="A14" s="440" t="s">
        <v>2562</v>
      </c>
      <c r="B14" s="69" t="s">
        <v>2712</v>
      </c>
      <c r="C14" s="269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53" t="s">
        <v>2563</v>
      </c>
      <c r="Q14" s="1812" t="str">
        <f t="shared" si="6"/>
        <v>交通便捷度</v>
      </c>
      <c r="R14" s="774" t="s">
        <v>17</v>
      </c>
      <c r="S14" s="775">
        <f t="shared" si="0"/>
        <v>100</v>
      </c>
      <c r="T14" s="774" t="s">
        <v>17</v>
      </c>
      <c r="U14" s="775">
        <f t="shared" si="1"/>
        <v>100</v>
      </c>
      <c r="V14" s="774" t="s">
        <v>17</v>
      </c>
      <c r="W14" s="775">
        <f t="shared" si="2"/>
        <v>100</v>
      </c>
      <c r="X14" s="1815"/>
      <c r="Y14" s="3253" t="s">
        <v>2563</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254"/>
      <c r="Q15" s="1812"/>
      <c r="R15" s="774"/>
      <c r="S15" s="775"/>
      <c r="T15" s="774"/>
      <c r="U15" s="775"/>
      <c r="V15" s="774"/>
      <c r="W15" s="775"/>
      <c r="X15" s="1815"/>
      <c r="Y15" s="3254"/>
      <c r="Z15" s="1816"/>
      <c r="AA15" s="1813">
        <v>1</v>
      </c>
      <c r="AB15" s="1813">
        <v>1</v>
      </c>
      <c r="AC15" s="1813">
        <v>1</v>
      </c>
    </row>
    <row r="16" spans="1:29" ht="42.75">
      <c r="A16" s="428"/>
      <c r="B16" s="451" t="s">
        <v>2691</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54"/>
      <c r="Q16" s="1812" t="str">
        <f>B16</f>
        <v>公共配套设施</v>
      </c>
      <c r="R16" s="774" t="s">
        <v>17</v>
      </c>
      <c r="S16" s="775">
        <f>F16</f>
        <v>100</v>
      </c>
      <c r="T16" s="774" t="s">
        <v>17</v>
      </c>
      <c r="U16" s="775">
        <f>H16</f>
        <v>100</v>
      </c>
      <c r="V16" s="774" t="s">
        <v>17</v>
      </c>
      <c r="W16" s="775">
        <f>J16</f>
        <v>100</v>
      </c>
      <c r="X16" s="1815"/>
      <c r="Y16" s="3254"/>
      <c r="Z16" s="1816" t="str">
        <f>Q16</f>
        <v>公共配套设施</v>
      </c>
      <c r="AA16" s="1813">
        <f t="shared" si="3"/>
        <v>1</v>
      </c>
      <c r="AB16" s="1813">
        <f t="shared" si="4"/>
        <v>1</v>
      </c>
      <c r="AC16" s="1813">
        <f t="shared" si="5"/>
        <v>1</v>
      </c>
    </row>
    <row r="17" spans="1:29" ht="15">
      <c r="A17" s="428"/>
      <c r="B17" s="456"/>
      <c r="C17" s="2614"/>
      <c r="D17" s="448"/>
      <c r="E17" s="447"/>
      <c r="F17" s="449"/>
      <c r="G17" s="447"/>
      <c r="H17" s="448"/>
      <c r="I17" s="447"/>
      <c r="J17" s="448"/>
      <c r="K17" s="615"/>
      <c r="L17" s="1143"/>
      <c r="M17" s="1134"/>
      <c r="N17" s="1134"/>
      <c r="O17" s="1142"/>
      <c r="P17" s="3254"/>
      <c r="Q17" s="1812"/>
      <c r="R17" s="774"/>
      <c r="S17" s="775"/>
      <c r="T17" s="774"/>
      <c r="U17" s="775"/>
      <c r="V17" s="774"/>
      <c r="W17" s="775"/>
      <c r="X17" s="1815"/>
      <c r="Y17" s="3254"/>
      <c r="Z17" s="1816"/>
      <c r="AA17" s="1813">
        <v>1</v>
      </c>
      <c r="AB17" s="1813">
        <v>1</v>
      </c>
      <c r="AC17" s="1813">
        <v>1</v>
      </c>
    </row>
    <row r="18" spans="1:29" ht="28.5">
      <c r="A18" s="428"/>
      <c r="B18" s="1387" t="s">
        <v>2692</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54"/>
      <c r="Q18" s="1812" t="str">
        <f>B18</f>
        <v>基础设施水平</v>
      </c>
      <c r="R18" s="774" t="s">
        <v>17</v>
      </c>
      <c r="S18" s="775">
        <f>F18</f>
        <v>100</v>
      </c>
      <c r="T18" s="774" t="s">
        <v>17</v>
      </c>
      <c r="U18" s="775">
        <f>H18</f>
        <v>100</v>
      </c>
      <c r="V18" s="774" t="s">
        <v>17</v>
      </c>
      <c r="W18" s="775">
        <f>J18</f>
        <v>100</v>
      </c>
      <c r="X18" s="1815"/>
      <c r="Y18" s="3254"/>
      <c r="Z18" s="1816" t="str">
        <f>Q18</f>
        <v>基础设施水平</v>
      </c>
      <c r="AA18" s="1813">
        <f t="shared" ref="AA18" si="8">D18/F18</f>
        <v>1</v>
      </c>
      <c r="AB18" s="1813">
        <f t="shared" ref="AB18" si="9">D18/H18</f>
        <v>1</v>
      </c>
      <c r="AC18" s="1813">
        <f t="shared" ref="AC18" si="10">D18/J18</f>
        <v>1</v>
      </c>
    </row>
    <row r="19" spans="1:29" ht="15">
      <c r="A19" s="428"/>
      <c r="B19" s="1387"/>
      <c r="C19" s="2614"/>
      <c r="D19" s="450"/>
      <c r="E19" s="2614"/>
      <c r="F19" s="453"/>
      <c r="G19" s="2614"/>
      <c r="H19" s="448"/>
      <c r="I19" s="447"/>
      <c r="J19" s="448"/>
      <c r="K19" s="1386"/>
      <c r="L19" s="1143"/>
      <c r="M19" s="1134"/>
      <c r="N19" s="1134"/>
      <c r="O19" s="1142"/>
      <c r="P19" s="3254"/>
      <c r="Q19" s="1812"/>
      <c r="R19" s="774"/>
      <c r="S19" s="775"/>
      <c r="T19" s="774"/>
      <c r="U19" s="775"/>
      <c r="V19" s="774"/>
      <c r="W19" s="775"/>
      <c r="X19" s="1815"/>
      <c r="Y19" s="3254"/>
      <c r="Z19" s="1816"/>
      <c r="AA19" s="1813">
        <v>1</v>
      </c>
      <c r="AB19" s="1813">
        <v>1</v>
      </c>
      <c r="AC19" s="1813">
        <v>1</v>
      </c>
    </row>
    <row r="20" spans="1:29" ht="57">
      <c r="A20" s="428"/>
      <c r="B20" s="451" t="s">
        <v>2713</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54"/>
      <c r="Q20" s="1812" t="str">
        <f>B20</f>
        <v>自然及人文环境</v>
      </c>
      <c r="R20" s="774" t="s">
        <v>17</v>
      </c>
      <c r="S20" s="775">
        <f>F20</f>
        <v>100</v>
      </c>
      <c r="T20" s="774" t="s">
        <v>17</v>
      </c>
      <c r="U20" s="775">
        <f>H20</f>
        <v>100</v>
      </c>
      <c r="V20" s="774" t="s">
        <v>17</v>
      </c>
      <c r="W20" s="775">
        <f>J20</f>
        <v>100</v>
      </c>
      <c r="X20" s="1815"/>
      <c r="Y20" s="3254"/>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254"/>
      <c r="Q21" s="1812"/>
      <c r="R21" s="774"/>
      <c r="S21" s="775"/>
      <c r="T21" s="774"/>
      <c r="U21" s="775"/>
      <c r="V21" s="774"/>
      <c r="W21" s="775"/>
      <c r="X21" s="1815"/>
      <c r="Y21" s="3254"/>
      <c r="Z21" s="1816"/>
      <c r="AA21" s="1813">
        <v>1</v>
      </c>
      <c r="AB21" s="1813">
        <v>1</v>
      </c>
      <c r="AC21" s="1813">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54"/>
      <c r="Q22" s="1812" t="str">
        <f>B22</f>
        <v>楼层</v>
      </c>
      <c r="R22" s="774" t="s">
        <v>17</v>
      </c>
      <c r="S22" s="775">
        <f>F22</f>
        <v>100</v>
      </c>
      <c r="T22" s="774" t="s">
        <v>17</v>
      </c>
      <c r="U22" s="775">
        <f>H22</f>
        <v>100</v>
      </c>
      <c r="V22" s="774" t="s">
        <v>17</v>
      </c>
      <c r="W22" s="775">
        <f>J22</f>
        <v>100</v>
      </c>
      <c r="X22" s="1815"/>
      <c r="Y22" s="3254"/>
      <c r="Z22" s="1816" t="str">
        <f>Q22</f>
        <v>楼层</v>
      </c>
      <c r="AA22" s="1813">
        <f t="shared" si="3"/>
        <v>1</v>
      </c>
      <c r="AB22" s="1813">
        <f t="shared" si="4"/>
        <v>1</v>
      </c>
      <c r="AC22" s="1813">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54"/>
      <c r="Q23" s="1812">
        <f>B23</f>
        <v>111</v>
      </c>
      <c r="R23" s="774" t="s">
        <v>17</v>
      </c>
      <c r="S23" s="775">
        <f>F23</f>
        <v>100</v>
      </c>
      <c r="T23" s="774" t="s">
        <v>17</v>
      </c>
      <c r="U23" s="775">
        <f>H23</f>
        <v>100</v>
      </c>
      <c r="V23" s="774" t="s">
        <v>17</v>
      </c>
      <c r="W23" s="775">
        <f>J23</f>
        <v>100</v>
      </c>
      <c r="X23" s="1815"/>
      <c r="Y23" s="3254"/>
      <c r="Z23" s="1816">
        <f>Q23</f>
        <v>111</v>
      </c>
      <c r="AA23" s="1813">
        <f t="shared" si="3"/>
        <v>1</v>
      </c>
      <c r="AB23" s="1813">
        <f t="shared" si="4"/>
        <v>1</v>
      </c>
      <c r="AC23" s="1813">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54"/>
      <c r="Q24" s="1812">
        <f t="shared" ref="Q24:Q34" si="11">B24</f>
        <v>111</v>
      </c>
      <c r="R24" s="774" t="s">
        <v>17</v>
      </c>
      <c r="S24" s="775">
        <f>F24</f>
        <v>100</v>
      </c>
      <c r="T24" s="774" t="s">
        <v>17</v>
      </c>
      <c r="U24" s="775">
        <f>H24</f>
        <v>100</v>
      </c>
      <c r="V24" s="774" t="s">
        <v>17</v>
      </c>
      <c r="W24" s="775">
        <f>J24</f>
        <v>100</v>
      </c>
      <c r="X24" s="1815"/>
      <c r="Y24" s="3254"/>
      <c r="Z24" s="1816">
        <f>Q24</f>
        <v>111</v>
      </c>
      <c r="AA24" s="1813">
        <f t="shared" si="3"/>
        <v>1</v>
      </c>
      <c r="AB24" s="1813">
        <f t="shared" si="4"/>
        <v>1</v>
      </c>
      <c r="AC24" s="1813">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254"/>
      <c r="Q25" s="1797">
        <f t="shared" si="11"/>
        <v>111</v>
      </c>
      <c r="R25" s="770" t="s">
        <v>17</v>
      </c>
      <c r="S25" s="771">
        <f>F25</f>
        <v>100</v>
      </c>
      <c r="T25" s="770" t="s">
        <v>17</v>
      </c>
      <c r="U25" s="771">
        <f>H25</f>
        <v>100</v>
      </c>
      <c r="V25" s="770" t="s">
        <v>17</v>
      </c>
      <c r="W25" s="771">
        <f>J25</f>
        <v>100</v>
      </c>
      <c r="X25" s="772"/>
      <c r="Y25" s="3254"/>
      <c r="Z25" s="55">
        <f>Q25</f>
        <v>111</v>
      </c>
      <c r="AA25" s="1813">
        <f>D25/F25</f>
        <v>1</v>
      </c>
      <c r="AB25" s="1813">
        <f>D25/H25</f>
        <v>1</v>
      </c>
      <c r="AC25" s="1813">
        <f>D25/J25</f>
        <v>1</v>
      </c>
    </row>
    <row r="26" spans="1:29" ht="15">
      <c r="A26" s="466" t="s">
        <v>2566</v>
      </c>
      <c r="B26" s="71" t="s">
        <v>2717</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309" t="s">
        <v>2568</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58" t="s">
        <v>2568</v>
      </c>
      <c r="Z26" s="1816" t="str">
        <f t="shared" ref="Z26:Z34" si="15">Q26</f>
        <v>公共部分装修</v>
      </c>
      <c r="AA26" s="1813">
        <f t="shared" si="3"/>
        <v>1</v>
      </c>
      <c r="AB26" s="1813">
        <f t="shared" si="4"/>
        <v>1</v>
      </c>
      <c r="AC26" s="1813">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58"/>
      <c r="Q27" s="776" t="str">
        <f t="shared" si="11"/>
        <v>成新率</v>
      </c>
      <c r="R27" s="777" t="s">
        <v>17</v>
      </c>
      <c r="S27" s="778" t="e">
        <f t="shared" si="12"/>
        <v>#N/A</v>
      </c>
      <c r="T27" s="777" t="s">
        <v>17</v>
      </c>
      <c r="U27" s="778" t="e">
        <f t="shared" si="13"/>
        <v>#N/A</v>
      </c>
      <c r="V27" s="777" t="s">
        <v>17</v>
      </c>
      <c r="W27" s="778" t="e">
        <f t="shared" si="14"/>
        <v>#N/A</v>
      </c>
      <c r="X27" s="779"/>
      <c r="Y27" s="3258"/>
      <c r="Z27" s="780" t="str">
        <f t="shared" si="15"/>
        <v>成新率</v>
      </c>
      <c r="AA27" s="1813" t="e">
        <f t="shared" si="3"/>
        <v>#N/A</v>
      </c>
      <c r="AB27" s="1813" t="e">
        <f t="shared" si="4"/>
        <v>#N/A</v>
      </c>
      <c r="AC27" s="1813"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58"/>
      <c r="Q28" s="1812" t="str">
        <f t="shared" si="11"/>
        <v>物业等级</v>
      </c>
      <c r="R28" s="774" t="s">
        <v>17</v>
      </c>
      <c r="S28" s="775">
        <f t="shared" si="12"/>
        <v>100</v>
      </c>
      <c r="T28" s="774" t="s">
        <v>17</v>
      </c>
      <c r="U28" s="775">
        <f t="shared" si="13"/>
        <v>100</v>
      </c>
      <c r="V28" s="774" t="s">
        <v>17</v>
      </c>
      <c r="W28" s="775">
        <f t="shared" si="14"/>
        <v>100</v>
      </c>
      <c r="X28" s="1815"/>
      <c r="Y28" s="3258"/>
      <c r="Z28" s="1816" t="str">
        <f t="shared" si="15"/>
        <v>物业等级</v>
      </c>
      <c r="AA28" s="1813">
        <f t="shared" si="3"/>
        <v>1</v>
      </c>
      <c r="AB28" s="1813">
        <f t="shared" si="4"/>
        <v>1</v>
      </c>
      <c r="AC28" s="1813">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58"/>
      <c r="Q29" s="1812" t="str">
        <f t="shared" si="11"/>
        <v>有无电梯</v>
      </c>
      <c r="R29" s="774" t="s">
        <v>17</v>
      </c>
      <c r="S29" s="775">
        <f t="shared" si="12"/>
        <v>100</v>
      </c>
      <c r="T29" s="774" t="s">
        <v>17</v>
      </c>
      <c r="U29" s="775">
        <f t="shared" si="13"/>
        <v>100</v>
      </c>
      <c r="V29" s="774" t="s">
        <v>17</v>
      </c>
      <c r="W29" s="775">
        <f t="shared" si="14"/>
        <v>100</v>
      </c>
      <c r="X29" s="1815"/>
      <c r="Y29" s="3258"/>
      <c r="Z29" s="1816" t="str">
        <f t="shared" si="15"/>
        <v>有无电梯</v>
      </c>
      <c r="AA29" s="1813">
        <f t="shared" si="3"/>
        <v>1</v>
      </c>
      <c r="AB29" s="1813">
        <f t="shared" si="4"/>
        <v>1</v>
      </c>
      <c r="AC29" s="1813">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58"/>
      <c r="Q30" s="1812" t="str">
        <f t="shared" si="11"/>
        <v>建筑面积</v>
      </c>
      <c r="R30" s="774" t="s">
        <v>17</v>
      </c>
      <c r="S30" s="775" t="e">
        <f t="shared" si="12"/>
        <v>#N/A</v>
      </c>
      <c r="T30" s="774" t="s">
        <v>17</v>
      </c>
      <c r="U30" s="775" t="e">
        <f t="shared" si="13"/>
        <v>#N/A</v>
      </c>
      <c r="V30" s="774" t="s">
        <v>17</v>
      </c>
      <c r="W30" s="775" t="e">
        <f t="shared" si="14"/>
        <v>#N/A</v>
      </c>
      <c r="X30" s="1815"/>
      <c r="Y30" s="3258"/>
      <c r="Z30" s="1816" t="str">
        <f t="shared" si="15"/>
        <v>建筑面积</v>
      </c>
      <c r="AA30" s="1813" t="e">
        <f t="shared" si="3"/>
        <v>#N/A</v>
      </c>
      <c r="AB30" s="1813" t="e">
        <f t="shared" si="4"/>
        <v>#N/A</v>
      </c>
      <c r="AC30" s="1813"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58"/>
      <c r="Q31" s="1797" t="str">
        <f t="shared" si="11"/>
        <v>是否封闭</v>
      </c>
      <c r="R31" s="770" t="s">
        <v>17</v>
      </c>
      <c r="S31" s="771">
        <f t="shared" si="12"/>
        <v>100</v>
      </c>
      <c r="T31" s="770" t="s">
        <v>17</v>
      </c>
      <c r="U31" s="771">
        <f t="shared" si="13"/>
        <v>100</v>
      </c>
      <c r="V31" s="770" t="s">
        <v>17</v>
      </c>
      <c r="W31" s="771">
        <f t="shared" si="14"/>
        <v>100</v>
      </c>
      <c r="X31" s="772"/>
      <c r="Y31" s="3258"/>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58" t="s">
        <v>2568</v>
      </c>
      <c r="Q32" s="1812">
        <f t="shared" si="11"/>
        <v>111</v>
      </c>
      <c r="R32" s="774" t="s">
        <v>17</v>
      </c>
      <c r="S32" s="775">
        <f t="shared" si="12"/>
        <v>100</v>
      </c>
      <c r="T32" s="774" t="s">
        <v>17</v>
      </c>
      <c r="U32" s="775">
        <f t="shared" si="13"/>
        <v>100</v>
      </c>
      <c r="V32" s="774" t="s">
        <v>17</v>
      </c>
      <c r="W32" s="775">
        <f t="shared" si="14"/>
        <v>100</v>
      </c>
      <c r="X32" s="1815"/>
      <c r="Y32" s="3258" t="s">
        <v>2568</v>
      </c>
      <c r="Z32" s="1816">
        <f t="shared" si="15"/>
        <v>111</v>
      </c>
      <c r="AA32" s="1813">
        <f t="shared" si="3"/>
        <v>1</v>
      </c>
      <c r="AB32" s="1813">
        <f t="shared" si="4"/>
        <v>1</v>
      </c>
      <c r="AC32" s="1813">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58"/>
      <c r="Q33" s="1812">
        <f t="shared" si="11"/>
        <v>111</v>
      </c>
      <c r="R33" s="774" t="s">
        <v>17</v>
      </c>
      <c r="S33" s="775">
        <f t="shared" si="12"/>
        <v>100</v>
      </c>
      <c r="T33" s="774" t="s">
        <v>17</v>
      </c>
      <c r="U33" s="775">
        <f t="shared" si="13"/>
        <v>100</v>
      </c>
      <c r="V33" s="774" t="s">
        <v>17</v>
      </c>
      <c r="W33" s="775">
        <f t="shared" si="14"/>
        <v>100</v>
      </c>
      <c r="X33" s="1815"/>
      <c r="Y33" s="3258"/>
      <c r="Z33" s="1816">
        <f t="shared" si="15"/>
        <v>111</v>
      </c>
      <c r="AA33" s="1813">
        <f t="shared" si="3"/>
        <v>1</v>
      </c>
      <c r="AB33" s="1813">
        <f t="shared" si="4"/>
        <v>1</v>
      </c>
      <c r="AC33" s="1813">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258"/>
      <c r="Q34" s="1812">
        <f t="shared" si="11"/>
        <v>111</v>
      </c>
      <c r="R34" s="774" t="s">
        <v>17</v>
      </c>
      <c r="S34" s="775">
        <f t="shared" si="12"/>
        <v>100</v>
      </c>
      <c r="T34" s="774" t="s">
        <v>17</v>
      </c>
      <c r="U34" s="775">
        <f t="shared" si="13"/>
        <v>100</v>
      </c>
      <c r="V34" s="774" t="s">
        <v>17</v>
      </c>
      <c r="W34" s="775">
        <f t="shared" si="14"/>
        <v>100</v>
      </c>
      <c r="X34" s="1815"/>
      <c r="Y34" s="3258"/>
      <c r="Z34" s="1816">
        <f t="shared" si="15"/>
        <v>111</v>
      </c>
      <c r="AA34" s="1813">
        <f t="shared" si="3"/>
        <v>1</v>
      </c>
      <c r="AB34" s="1813">
        <f t="shared" si="4"/>
        <v>1</v>
      </c>
      <c r="AC34" s="1813">
        <f t="shared" si="5"/>
        <v>1</v>
      </c>
    </row>
    <row r="35" spans="1:29" ht="15">
      <c r="A35" s="479" t="s">
        <v>2580</v>
      </c>
      <c r="B35" s="480"/>
      <c r="C35" s="1410" t="s">
        <v>1</v>
      </c>
      <c r="D35" s="1411"/>
      <c r="E35" s="1412"/>
      <c r="F35" s="1413"/>
      <c r="G35" s="1414"/>
      <c r="H35" s="1415"/>
      <c r="I35" s="1412"/>
      <c r="J35" s="1415"/>
      <c r="K35" s="783"/>
      <c r="L35" s="1146"/>
      <c r="M35" s="1147"/>
      <c r="N35" s="1134"/>
      <c r="O35" s="1147"/>
      <c r="P35" s="3251" t="str">
        <f>A35</f>
        <v>成交单价（元/平方米）</v>
      </c>
      <c r="Q35" s="3251"/>
      <c r="R35" s="3252">
        <f>E35</f>
        <v>0</v>
      </c>
      <c r="S35" s="3252"/>
      <c r="T35" s="3252">
        <f>G35</f>
        <v>0</v>
      </c>
      <c r="U35" s="3252"/>
      <c r="V35" s="3252">
        <f>I35</f>
        <v>0</v>
      </c>
      <c r="W35" s="3252"/>
      <c r="X35" s="759"/>
      <c r="Y35" s="781"/>
      <c r="Z35" s="759"/>
      <c r="AA35" s="759"/>
      <c r="AB35" s="759"/>
      <c r="AC35" s="759"/>
    </row>
    <row r="36" spans="1:29" ht="15.75" thickBot="1">
      <c r="A36" s="486" t="s">
        <v>2672</v>
      </c>
      <c r="B36" s="487"/>
      <c r="C36" s="1416" t="e">
        <f>R37</f>
        <v>#DIV/0!</v>
      </c>
      <c r="D36" s="1417"/>
      <c r="E36" s="1418" t="e">
        <f>R36</f>
        <v>#DIV/0!</v>
      </c>
      <c r="F36" s="1418"/>
      <c r="G36" s="1416" t="e">
        <f>T36</f>
        <v>#DIV/0!</v>
      </c>
      <c r="H36" s="1417"/>
      <c r="I36" s="1418" t="e">
        <f>V36</f>
        <v>#DIV/0!</v>
      </c>
      <c r="J36" s="1417"/>
      <c r="K36" s="784"/>
      <c r="L36" s="1146"/>
      <c r="M36" s="1147"/>
      <c r="N36" s="1134"/>
      <c r="O36" s="1147"/>
      <c r="P36" s="3251" t="str">
        <f>A36</f>
        <v>比较价值（元/平方米）</v>
      </c>
      <c r="Q36" s="3251"/>
      <c r="R36" s="3252" t="e">
        <f>IF(F1="售价",ROUND(PRODUCT(R35,AA7:AA34),0),ROUND(PRODUCT(R35,AA7:AA34),1))</f>
        <v>#DIV/0!</v>
      </c>
      <c r="S36" s="3252"/>
      <c r="T36" s="3252" t="e">
        <f>IF(F1="售价",ROUND(PRODUCT(T35,AB7:AB34),0),ROUND(PRODUCT(T35,AB7:AB34),1))</f>
        <v>#DIV/0!</v>
      </c>
      <c r="U36" s="3252"/>
      <c r="V36" s="3252" t="e">
        <f>IF(F1="售价",ROUND(PRODUCT(V35,AC7:AC34),0),ROUND(PRODUCT(V35,AC7:AC34),1))</f>
        <v>#DIV/0!</v>
      </c>
      <c r="W36" s="3252"/>
      <c r="X36" s="759"/>
      <c r="Y36" s="759"/>
      <c r="Z36" s="759"/>
      <c r="AA36" s="759"/>
      <c r="AB36" s="759"/>
      <c r="AC36" s="759"/>
    </row>
    <row r="37" spans="1:29" ht="15.75" thickBot="1">
      <c r="A37" s="492" t="s">
        <v>2673</v>
      </c>
      <c r="B37" s="493"/>
      <c r="C37" s="1420" t="e">
        <f>R37</f>
        <v>#DIV/0!</v>
      </c>
      <c r="D37" s="1420"/>
      <c r="E37" s="1420"/>
      <c r="F37" s="1420"/>
      <c r="G37" s="1420"/>
      <c r="H37" s="1420"/>
      <c r="I37" s="1420"/>
      <c r="J37" s="1420"/>
      <c r="K37" s="785"/>
      <c r="L37" s="1146"/>
      <c r="M37" s="1147"/>
      <c r="N37" s="1147"/>
      <c r="O37" s="1147"/>
      <c r="P37" s="3248" t="str">
        <f>A37</f>
        <v>估价对象XX用房的比较价值（楼面单价，元/平方米）</v>
      </c>
      <c r="Q37" s="3249"/>
      <c r="R37" s="3250" t="e">
        <f>IF(F1="售价",ROUND(AVERAGE(R36:V36),0),ROUND(AVERAGE(R36:V36),1))</f>
        <v>#DIV/0!</v>
      </c>
      <c r="S37" s="3250"/>
      <c r="T37" s="3250"/>
      <c r="U37" s="3250"/>
      <c r="V37" s="3250"/>
      <c r="W37" s="325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7" t="str">
        <f>YEAR(C7)&amp;"-"&amp;MONTH(C7)</f>
        <v>2018-1</v>
      </c>
      <c r="D46" s="1578">
        <f>EDATE(C46,-1)</f>
        <v>43070</v>
      </c>
      <c r="E46" s="1578">
        <f t="shared" ref="E46:O46" si="16">EDATE(D46,-1)</f>
        <v>43040</v>
      </c>
      <c r="F46" s="1578">
        <f t="shared" si="16"/>
        <v>43009</v>
      </c>
      <c r="G46" s="1578">
        <f t="shared" si="16"/>
        <v>42979</v>
      </c>
      <c r="H46" s="1578">
        <f t="shared" si="16"/>
        <v>42948</v>
      </c>
      <c r="I46" s="1578">
        <f t="shared" si="16"/>
        <v>42917</v>
      </c>
      <c r="J46" s="1578">
        <f t="shared" si="16"/>
        <v>42887</v>
      </c>
      <c r="K46" s="1578">
        <f t="shared" si="16"/>
        <v>42856</v>
      </c>
      <c r="L46" s="1578">
        <f t="shared" si="16"/>
        <v>42826</v>
      </c>
      <c r="M46" s="1578">
        <f t="shared" si="16"/>
        <v>42795</v>
      </c>
      <c r="N46" s="1578">
        <f t="shared" si="16"/>
        <v>42767</v>
      </c>
      <c r="O46" s="1578">
        <f t="shared" si="16"/>
        <v>42736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2591</v>
      </c>
      <c r="B51" s="528" t="s">
        <v>2557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2566</v>
      </c>
      <c r="B77" s="528" t="s">
        <v>2619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2333</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2335</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2648</v>
      </c>
      <c r="B4" s="402"/>
      <c r="C4" s="3266" t="s">
        <v>2649</v>
      </c>
      <c r="D4" s="3267"/>
      <c r="E4" s="3268" t="s">
        <v>2650</v>
      </c>
      <c r="F4" s="3269"/>
      <c r="G4" s="3266" t="s">
        <v>2651</v>
      </c>
      <c r="H4" s="3267"/>
      <c r="I4" s="3266" t="s">
        <v>2652</v>
      </c>
      <c r="J4" s="3267"/>
      <c r="K4" s="610" t="s">
        <v>2653</v>
      </c>
      <c r="L4" s="1133"/>
      <c r="M4" s="1134"/>
      <c r="N4" s="1134"/>
      <c r="O4" s="1134"/>
      <c r="P4" s="3270" t="s">
        <v>2654</v>
      </c>
      <c r="Q4" s="3271"/>
      <c r="R4" s="3276" t="s">
        <v>2650</v>
      </c>
      <c r="S4" s="3277"/>
      <c r="T4" s="3276" t="s">
        <v>2651</v>
      </c>
      <c r="U4" s="3277"/>
      <c r="V4" s="3282" t="s">
        <v>2652</v>
      </c>
      <c r="W4" s="3282"/>
      <c r="X4" s="1815"/>
      <c r="Y4" s="3276" t="s">
        <v>2654</v>
      </c>
      <c r="Z4" s="3277"/>
      <c r="AA4" s="3263" t="s">
        <v>2650</v>
      </c>
      <c r="AB4" s="3264" t="s">
        <v>2651</v>
      </c>
      <c r="AC4" s="3263" t="s">
        <v>2652</v>
      </c>
    </row>
    <row r="5" spans="1:30" ht="15">
      <c r="A5" s="404"/>
      <c r="B5" s="405"/>
      <c r="C5" s="3285" t="s">
        <v>2545</v>
      </c>
      <c r="D5" s="3286"/>
      <c r="E5" s="3292" t="s">
        <v>2546</v>
      </c>
      <c r="F5" s="3293"/>
      <c r="G5" s="3285" t="s">
        <v>2547</v>
      </c>
      <c r="H5" s="3286"/>
      <c r="I5" s="3285" t="s">
        <v>2548</v>
      </c>
      <c r="J5" s="3286"/>
      <c r="K5" s="610"/>
      <c r="L5" s="1133"/>
      <c r="M5" s="1134"/>
      <c r="N5" s="1134"/>
      <c r="O5" s="1134"/>
      <c r="P5" s="3272"/>
      <c r="Q5" s="3273"/>
      <c r="R5" s="3278"/>
      <c r="S5" s="3279"/>
      <c r="T5" s="3278"/>
      <c r="U5" s="3279"/>
      <c r="V5" s="3282"/>
      <c r="W5" s="3282"/>
      <c r="X5" s="1815"/>
      <c r="Y5" s="3278"/>
      <c r="Z5" s="3279"/>
      <c r="AA5" s="3264"/>
      <c r="AB5" s="3264"/>
      <c r="AC5" s="3264"/>
    </row>
    <row r="6" spans="1:30" ht="15.75" thickBot="1">
      <c r="A6" s="406"/>
      <c r="B6" s="407"/>
      <c r="C6" s="3283" t="s">
        <v>2549</v>
      </c>
      <c r="D6" s="3284"/>
      <c r="E6" s="3290" t="s">
        <v>2549</v>
      </c>
      <c r="F6" s="3291"/>
      <c r="G6" s="3283" t="s">
        <v>2549</v>
      </c>
      <c r="H6" s="3284"/>
      <c r="I6" s="3283" t="s">
        <v>2549</v>
      </c>
      <c r="J6" s="3284"/>
      <c r="K6" s="610" t="s">
        <v>2550</v>
      </c>
      <c r="L6" s="1133"/>
      <c r="M6" s="1134"/>
      <c r="N6" s="1134"/>
      <c r="O6" s="1134"/>
      <c r="P6" s="3274"/>
      <c r="Q6" s="3275"/>
      <c r="R6" s="3278"/>
      <c r="S6" s="3279"/>
      <c r="T6" s="3280"/>
      <c r="U6" s="3281"/>
      <c r="V6" s="3282"/>
      <c r="W6" s="3282"/>
      <c r="X6" s="1815"/>
      <c r="Y6" s="3280"/>
      <c r="Z6" s="3281"/>
      <c r="AA6" s="3265"/>
      <c r="AB6" s="3265"/>
      <c r="AC6" s="3265"/>
    </row>
    <row r="7" spans="1:30" s="117" customFormat="1" ht="15.75" thickBot="1">
      <c r="A7" s="408" t="s">
        <v>2551</v>
      </c>
      <c r="B7" s="409"/>
      <c r="C7" s="410">
        <f>'数据-取费表'!B2</f>
        <v>43131</v>
      </c>
      <c r="D7" s="411">
        <v>100</v>
      </c>
      <c r="E7" s="412">
        <v>42309</v>
      </c>
      <c r="F7" s="413">
        <f>SUMIF(70:70,YEAR(E7)&amp;"-"&amp;INT((MONTH(E7)+2)/3),71:71)</f>
        <v>0</v>
      </c>
      <c r="G7" s="2702">
        <v>42309</v>
      </c>
      <c r="H7" s="411">
        <f>SUMIF(70:70,YEAR(G7)&amp;"-"&amp;INT((MONTH(G7)+2)/3),71:71)</f>
        <v>0</v>
      </c>
      <c r="I7" s="2702">
        <v>42036</v>
      </c>
      <c r="J7" s="411">
        <f>SUMIF(70:70,YEAR(I7)&amp;"-"&amp;INT((MONTH(I7)+2)/3),71:71)</f>
        <v>0</v>
      </c>
      <c r="K7" s="611"/>
      <c r="L7" s="1135"/>
      <c r="M7" s="1136"/>
      <c r="N7" s="1136"/>
      <c r="O7" s="1136"/>
      <c r="P7" s="3287" t="s">
        <v>2552</v>
      </c>
      <c r="Q7" s="3289"/>
      <c r="R7" s="770" t="s">
        <v>17</v>
      </c>
      <c r="S7" s="771">
        <f t="shared" ref="S7:S15" si="0">F7</f>
        <v>0</v>
      </c>
      <c r="T7" s="770" t="s">
        <v>17</v>
      </c>
      <c r="U7" s="771">
        <f t="shared" ref="U7:U15" si="1">H7</f>
        <v>0</v>
      </c>
      <c r="V7" s="770" t="s">
        <v>17</v>
      </c>
      <c r="W7" s="771">
        <f t="shared" ref="W7:W15" si="2">J7</f>
        <v>0</v>
      </c>
      <c r="X7" s="772"/>
      <c r="Y7" s="3287" t="s">
        <v>2552</v>
      </c>
      <c r="Z7" s="3288"/>
      <c r="AA7" s="773" t="e">
        <f>D7/F7</f>
        <v>#DIV/0!</v>
      </c>
      <c r="AB7" s="773" t="e">
        <f>D7/H7</f>
        <v>#DIV/0!</v>
      </c>
      <c r="AC7" s="773" t="e">
        <f>D7/J7</f>
        <v>#DIV/0!</v>
      </c>
    </row>
    <row r="8" spans="1:30" s="117" customFormat="1" ht="15.75" thickBot="1">
      <c r="A8" s="408" t="s">
        <v>2553</v>
      </c>
      <c r="B8" s="409"/>
      <c r="C8" s="414" t="s">
        <v>2554</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87" t="s">
        <v>2555</v>
      </c>
      <c r="Q8" s="3288"/>
      <c r="R8" s="770" t="s">
        <v>17</v>
      </c>
      <c r="S8" s="771">
        <f t="shared" si="0"/>
        <v>0</v>
      </c>
      <c r="T8" s="770" t="s">
        <v>17</v>
      </c>
      <c r="U8" s="771">
        <f t="shared" si="1"/>
        <v>0</v>
      </c>
      <c r="V8" s="770" t="s">
        <v>17</v>
      </c>
      <c r="W8" s="771">
        <f t="shared" si="2"/>
        <v>0</v>
      </c>
      <c r="X8" s="772"/>
      <c r="Y8" s="3287" t="s">
        <v>2555</v>
      </c>
      <c r="Z8" s="3288"/>
      <c r="AA8" s="773" t="e">
        <f t="shared" ref="AA8:AA45" si="3">D8/F8</f>
        <v>#DIV/0!</v>
      </c>
      <c r="AB8" s="773" t="e">
        <f t="shared" ref="AB8:AB45" si="4">D8/H8</f>
        <v>#DIV/0!</v>
      </c>
      <c r="AC8" s="773" t="e">
        <f t="shared" ref="AC8:AC45" si="5">D8/J8</f>
        <v>#DIV/0!</v>
      </c>
    </row>
    <row r="9" spans="1:30" s="117" customFormat="1">
      <c r="A9" s="415" t="s">
        <v>2556</v>
      </c>
      <c r="B9" s="71" t="s">
        <v>2557</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251" t="s">
        <v>2558</v>
      </c>
      <c r="Q9" s="1797" t="str">
        <f t="shared" ref="Q9:Q15" si="6">B9</f>
        <v>用途</v>
      </c>
      <c r="R9" s="770" t="s">
        <v>17</v>
      </c>
      <c r="S9" s="771">
        <f t="shared" si="0"/>
        <v>100</v>
      </c>
      <c r="T9" s="770" t="s">
        <v>17</v>
      </c>
      <c r="U9" s="771">
        <f t="shared" si="1"/>
        <v>100</v>
      </c>
      <c r="V9" s="770" t="s">
        <v>17</v>
      </c>
      <c r="W9" s="771">
        <f t="shared" si="2"/>
        <v>100</v>
      </c>
      <c r="X9" s="772"/>
      <c r="Y9" s="3046" t="s">
        <v>2559</v>
      </c>
      <c r="Z9" s="55" t="str">
        <f t="shared" ref="Z9:Z15" si="7">Q9</f>
        <v>用途</v>
      </c>
      <c r="AA9" s="773">
        <f t="shared" si="3"/>
        <v>1</v>
      </c>
      <c r="AB9" s="773">
        <f t="shared" si="4"/>
        <v>1</v>
      </c>
      <c r="AC9" s="773">
        <f t="shared" si="5"/>
        <v>1</v>
      </c>
    </row>
    <row r="10" spans="1:30" s="427" customFormat="1" ht="27">
      <c r="A10" s="421"/>
      <c r="B10" s="422" t="s">
        <v>2560</v>
      </c>
      <c r="C10" s="432"/>
      <c r="D10" s="136">
        <v>100</v>
      </c>
      <c r="E10" s="465"/>
      <c r="F10" s="136">
        <f>ROUND(100/'数据-取费表'!G16,0)</f>
        <v>101</v>
      </c>
      <c r="G10" s="463"/>
      <c r="H10" s="136">
        <f>ROUND(100/'数据-取费表'!G16,0)</f>
        <v>101</v>
      </c>
      <c r="I10" s="463"/>
      <c r="J10" s="136">
        <f>ROUND(100/'数据-取费表'!G16,0)</f>
        <v>101</v>
      </c>
      <c r="K10" s="672"/>
      <c r="L10" s="1138"/>
      <c r="M10" s="1139"/>
      <c r="N10" s="1139"/>
      <c r="O10" s="1140"/>
      <c r="P10" s="3251"/>
      <c r="Q10" s="1797" t="str">
        <f t="shared" si="6"/>
        <v>土地使用年限（年）</v>
      </c>
      <c r="R10" s="770" t="s">
        <v>17</v>
      </c>
      <c r="S10" s="771">
        <f t="shared" si="0"/>
        <v>101</v>
      </c>
      <c r="T10" s="770" t="s">
        <v>17</v>
      </c>
      <c r="U10" s="771">
        <f t="shared" si="1"/>
        <v>101</v>
      </c>
      <c r="V10" s="770" t="s">
        <v>17</v>
      </c>
      <c r="W10" s="771">
        <f t="shared" si="2"/>
        <v>101</v>
      </c>
      <c r="X10" s="772"/>
      <c r="Y10" s="3046"/>
      <c r="Z10" s="55" t="str">
        <f t="shared" si="7"/>
        <v>土地使用年限（年）</v>
      </c>
      <c r="AA10" s="773">
        <f t="shared" si="3"/>
        <v>0.99009900990099009</v>
      </c>
      <c r="AB10" s="773">
        <f t="shared" si="4"/>
        <v>0.99009900990099009</v>
      </c>
      <c r="AC10" s="773">
        <f t="shared" si="5"/>
        <v>0.99009900990099009</v>
      </c>
    </row>
    <row r="11" spans="1:30" ht="15">
      <c r="A11" s="428"/>
      <c r="B11" s="422" t="s">
        <v>2561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51"/>
      <c r="Q11" s="1797"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30" s="117" customFormat="1" ht="15">
      <c r="A12" s="431"/>
      <c r="B12" s="2606" t="s">
        <v>2750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51"/>
      <c r="Q12" s="1797" t="str">
        <f t="shared" si="6"/>
        <v>配建</v>
      </c>
      <c r="R12" s="770" t="s">
        <v>17</v>
      </c>
      <c r="S12" s="771">
        <f t="shared" si="0"/>
        <v>100</v>
      </c>
      <c r="T12" s="770" t="s">
        <v>17</v>
      </c>
      <c r="U12" s="771">
        <f t="shared" si="1"/>
        <v>100</v>
      </c>
      <c r="V12" s="770" t="s">
        <v>17</v>
      </c>
      <c r="W12" s="771">
        <f t="shared" si="2"/>
        <v>100</v>
      </c>
      <c r="X12" s="772"/>
      <c r="Y12" s="3046"/>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51"/>
      <c r="Q13" s="1797">
        <f t="shared" si="6"/>
        <v>111</v>
      </c>
      <c r="R13" s="770" t="s">
        <v>17</v>
      </c>
      <c r="S13" s="771">
        <f t="shared" si="0"/>
        <v>100</v>
      </c>
      <c r="T13" s="770" t="s">
        <v>17</v>
      </c>
      <c r="U13" s="771">
        <f t="shared" si="1"/>
        <v>100</v>
      </c>
      <c r="V13" s="770" t="s">
        <v>17</v>
      </c>
      <c r="W13" s="771">
        <f t="shared" si="2"/>
        <v>100</v>
      </c>
      <c r="X13" s="772"/>
      <c r="Y13" s="3046"/>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51"/>
      <c r="Q14" s="1797">
        <f t="shared" si="6"/>
        <v>111</v>
      </c>
      <c r="R14" s="770" t="s">
        <v>17</v>
      </c>
      <c r="S14" s="771">
        <f t="shared" si="0"/>
        <v>100</v>
      </c>
      <c r="T14" s="770" t="s">
        <v>17</v>
      </c>
      <c r="U14" s="771">
        <f t="shared" si="1"/>
        <v>100</v>
      </c>
      <c r="V14" s="770" t="s">
        <v>17</v>
      </c>
      <c r="W14" s="771">
        <f t="shared" si="2"/>
        <v>100</v>
      </c>
      <c r="X14" s="772"/>
      <c r="Y14" s="3046"/>
      <c r="Z14" s="55">
        <f t="shared" si="7"/>
        <v>111</v>
      </c>
      <c r="AA14" s="773">
        <f>D14/F14</f>
        <v>1</v>
      </c>
      <c r="AB14" s="773">
        <f>D14/H14</f>
        <v>1</v>
      </c>
      <c r="AC14" s="773">
        <f>D14/J14</f>
        <v>1</v>
      </c>
    </row>
    <row r="15" spans="1:30" ht="99.75">
      <c r="A15" s="440" t="s">
        <v>2562</v>
      </c>
      <c r="B15" s="69" t="s">
        <v>2091</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53" t="s">
        <v>2563</v>
      </c>
      <c r="Q15" s="1812" t="str">
        <f t="shared" si="6"/>
        <v>居住社区成熟度</v>
      </c>
      <c r="R15" s="774" t="s">
        <v>17</v>
      </c>
      <c r="S15" s="775">
        <f t="shared" si="0"/>
        <v>100</v>
      </c>
      <c r="T15" s="774" t="s">
        <v>17</v>
      </c>
      <c r="U15" s="775">
        <f t="shared" si="1"/>
        <v>100</v>
      </c>
      <c r="V15" s="774" t="s">
        <v>17</v>
      </c>
      <c r="W15" s="775">
        <f t="shared" si="2"/>
        <v>100</v>
      </c>
      <c r="X15" s="1815"/>
      <c r="Y15" s="3253" t="s">
        <v>2563</v>
      </c>
      <c r="Z15" s="1816" t="str">
        <f t="shared" si="7"/>
        <v>居住社区成熟度</v>
      </c>
      <c r="AA15" s="1813">
        <f t="shared" si="3"/>
        <v>1</v>
      </c>
      <c r="AB15" s="1813">
        <f t="shared" si="4"/>
        <v>1</v>
      </c>
      <c r="AC15" s="1813">
        <f t="shared" si="5"/>
        <v>1</v>
      </c>
    </row>
    <row r="16" spans="1:30" ht="15">
      <c r="A16" s="428"/>
      <c r="B16" s="446"/>
      <c r="C16" s="447"/>
      <c r="D16" s="448"/>
      <c r="E16" s="2611"/>
      <c r="F16" s="448"/>
      <c r="G16" s="2611"/>
      <c r="H16" s="450"/>
      <c r="I16" s="2610"/>
      <c r="J16" s="448"/>
      <c r="K16" s="672"/>
      <c r="L16" s="1143"/>
      <c r="M16" s="1134"/>
      <c r="N16" s="1134"/>
      <c r="O16" s="1142"/>
      <c r="P16" s="3254"/>
      <c r="Q16" s="1812"/>
      <c r="R16" s="774"/>
      <c r="S16" s="775"/>
      <c r="T16" s="774"/>
      <c r="U16" s="775"/>
      <c r="V16" s="774"/>
      <c r="W16" s="775"/>
      <c r="X16" s="1815"/>
      <c r="Y16" s="3254"/>
      <c r="Z16" s="1816"/>
      <c r="AA16" s="1813">
        <v>1</v>
      </c>
      <c r="AB16" s="1813">
        <v>1</v>
      </c>
      <c r="AC16" s="1813">
        <v>1</v>
      </c>
    </row>
    <row r="17" spans="1:29" ht="71.25">
      <c r="A17" s="428"/>
      <c r="B17" s="451" t="s">
        <v>2656</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54"/>
      <c r="Q17" s="1812" t="str">
        <f>B17</f>
        <v>商业繁华度</v>
      </c>
      <c r="R17" s="774" t="s">
        <v>17</v>
      </c>
      <c r="S17" s="775">
        <f>F17</f>
        <v>100</v>
      </c>
      <c r="T17" s="774" t="s">
        <v>17</v>
      </c>
      <c r="U17" s="775">
        <f>H17</f>
        <v>100</v>
      </c>
      <c r="V17" s="774" t="s">
        <v>17</v>
      </c>
      <c r="W17" s="775">
        <f>J17</f>
        <v>100</v>
      </c>
      <c r="X17" s="1815"/>
      <c r="Y17" s="3254"/>
      <c r="Z17" s="1816" t="str">
        <f>Q17</f>
        <v>商业繁华度</v>
      </c>
      <c r="AA17" s="1813">
        <f t="shared" si="3"/>
        <v>1</v>
      </c>
      <c r="AB17" s="1813">
        <f t="shared" si="4"/>
        <v>1</v>
      </c>
      <c r="AC17" s="1813">
        <f t="shared" si="5"/>
        <v>1</v>
      </c>
    </row>
    <row r="18" spans="1:29" ht="15">
      <c r="A18" s="428"/>
      <c r="B18" s="456"/>
      <c r="C18" s="2614"/>
      <c r="D18" s="450"/>
      <c r="E18" s="2616"/>
      <c r="F18" s="450"/>
      <c r="G18" s="2616"/>
      <c r="H18" s="448"/>
      <c r="I18" s="2615"/>
      <c r="J18" s="448"/>
      <c r="K18" s="672"/>
      <c r="L18" s="1143"/>
      <c r="M18" s="1134"/>
      <c r="N18" s="1134"/>
      <c r="O18" s="1142"/>
      <c r="P18" s="3254"/>
      <c r="Q18" s="1812"/>
      <c r="R18" s="774"/>
      <c r="S18" s="775"/>
      <c r="T18" s="774"/>
      <c r="U18" s="775"/>
      <c r="V18" s="774"/>
      <c r="W18" s="775"/>
      <c r="X18" s="1815"/>
      <c r="Y18" s="3254"/>
      <c r="Z18" s="1816"/>
      <c r="AA18" s="1813">
        <v>1</v>
      </c>
      <c r="AB18" s="1813">
        <v>1</v>
      </c>
      <c r="AC18" s="1813">
        <v>1</v>
      </c>
    </row>
    <row r="19" spans="1:29" ht="71.25">
      <c r="A19" s="428"/>
      <c r="B19" s="451" t="s">
        <v>2690</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54"/>
      <c r="Q19" s="1812" t="str">
        <f>B19</f>
        <v>办公集聚程度</v>
      </c>
      <c r="R19" s="774" t="s">
        <v>17</v>
      </c>
      <c r="S19" s="775">
        <f>F19</f>
        <v>100</v>
      </c>
      <c r="T19" s="774" t="s">
        <v>17</v>
      </c>
      <c r="U19" s="775">
        <f>H19</f>
        <v>100</v>
      </c>
      <c r="V19" s="774" t="s">
        <v>17</v>
      </c>
      <c r="W19" s="775">
        <f>J19</f>
        <v>100</v>
      </c>
      <c r="X19" s="1815"/>
      <c r="Y19" s="3254"/>
      <c r="Z19" s="1816" t="str">
        <f>Q19</f>
        <v>办公集聚程度</v>
      </c>
      <c r="AA19" s="1813">
        <f t="shared" si="3"/>
        <v>1</v>
      </c>
      <c r="AB19" s="1813">
        <f t="shared" si="4"/>
        <v>1</v>
      </c>
      <c r="AC19" s="1813">
        <f t="shared" si="5"/>
        <v>1</v>
      </c>
    </row>
    <row r="20" spans="1:29" ht="15">
      <c r="A20" s="428"/>
      <c r="B20" s="456"/>
      <c r="C20" s="447"/>
      <c r="D20" s="448"/>
      <c r="E20" s="2611"/>
      <c r="F20" s="448"/>
      <c r="G20" s="2611"/>
      <c r="H20" s="448"/>
      <c r="I20" s="2610"/>
      <c r="J20" s="448"/>
      <c r="K20" s="672"/>
      <c r="L20" s="1143"/>
      <c r="M20" s="1134"/>
      <c r="N20" s="1134"/>
      <c r="O20" s="1142"/>
      <c r="P20" s="3254"/>
      <c r="Q20" s="1812"/>
      <c r="R20" s="774"/>
      <c r="S20" s="775"/>
      <c r="T20" s="774"/>
      <c r="U20" s="775"/>
      <c r="V20" s="774"/>
      <c r="W20" s="775"/>
      <c r="X20" s="1815"/>
      <c r="Y20" s="3254"/>
      <c r="Z20" s="1816"/>
      <c r="AA20" s="1813">
        <v>1</v>
      </c>
      <c r="AB20" s="1813">
        <v>1</v>
      </c>
      <c r="AC20" s="1813">
        <v>1</v>
      </c>
    </row>
    <row r="21" spans="1:29" ht="85.5">
      <c r="A21" s="428"/>
      <c r="B21" s="451" t="s">
        <v>2712</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54"/>
      <c r="Q21" s="1812" t="str">
        <f>B21</f>
        <v>交通便捷度</v>
      </c>
      <c r="R21" s="774" t="s">
        <v>17</v>
      </c>
      <c r="S21" s="775">
        <f>F21</f>
        <v>100</v>
      </c>
      <c r="T21" s="774" t="s">
        <v>17</v>
      </c>
      <c r="U21" s="775">
        <f>H21</f>
        <v>100</v>
      </c>
      <c r="V21" s="774" t="s">
        <v>17</v>
      </c>
      <c r="W21" s="775">
        <f>J21</f>
        <v>100</v>
      </c>
      <c r="X21" s="1815"/>
      <c r="Y21" s="3254"/>
      <c r="Z21" s="1816" t="str">
        <f>Q21</f>
        <v>交通便捷度</v>
      </c>
      <c r="AA21" s="1813">
        <f t="shared" si="3"/>
        <v>1</v>
      </c>
      <c r="AB21" s="1813">
        <f t="shared" si="4"/>
        <v>1</v>
      </c>
      <c r="AC21" s="1813">
        <f t="shared" si="5"/>
        <v>1</v>
      </c>
    </row>
    <row r="22" spans="1:29" ht="15">
      <c r="A22" s="428"/>
      <c r="B22" s="1387"/>
      <c r="C22" s="447"/>
      <c r="D22" s="450"/>
      <c r="E22" s="2611"/>
      <c r="F22" s="448"/>
      <c r="G22" s="2611"/>
      <c r="H22" s="448"/>
      <c r="I22" s="2610"/>
      <c r="J22" s="448"/>
      <c r="K22" s="672"/>
      <c r="L22" s="1143"/>
      <c r="M22" s="1134"/>
      <c r="N22" s="1134"/>
      <c r="O22" s="1142"/>
      <c r="P22" s="3254"/>
      <c r="Q22" s="1812"/>
      <c r="R22" s="774"/>
      <c r="S22" s="775"/>
      <c r="T22" s="774"/>
      <c r="U22" s="775"/>
      <c r="V22" s="774"/>
      <c r="W22" s="775"/>
      <c r="X22" s="1815"/>
      <c r="Y22" s="3254"/>
      <c r="Z22" s="1816"/>
      <c r="AA22" s="1813">
        <v>1</v>
      </c>
      <c r="AB22" s="1813">
        <v>1</v>
      </c>
      <c r="AC22" s="1813">
        <v>1</v>
      </c>
    </row>
    <row r="23" spans="1:29" ht="15">
      <c r="A23" s="404"/>
      <c r="B23" s="451" t="s">
        <v>2751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54"/>
      <c r="Q23" s="1812" t="str">
        <f t="shared" ref="Q23:Q37" si="8">B23</f>
        <v>区域土地利用方向</v>
      </c>
      <c r="R23" s="774" t="s">
        <v>17</v>
      </c>
      <c r="S23" s="775">
        <f>F23</f>
        <v>100</v>
      </c>
      <c r="T23" s="774" t="s">
        <v>17</v>
      </c>
      <c r="U23" s="775">
        <f>H23</f>
        <v>100</v>
      </c>
      <c r="V23" s="774" t="s">
        <v>17</v>
      </c>
      <c r="W23" s="775">
        <f>J23</f>
        <v>100</v>
      </c>
      <c r="X23" s="1815"/>
      <c r="Y23" s="3254"/>
      <c r="Z23" s="1816" t="str">
        <f>Q23</f>
        <v>区域土地利用方向</v>
      </c>
      <c r="AA23" s="1813">
        <f t="shared" si="3"/>
        <v>1</v>
      </c>
      <c r="AB23" s="1813">
        <f t="shared" si="4"/>
        <v>1</v>
      </c>
      <c r="AC23" s="1813">
        <f t="shared" si="5"/>
        <v>1</v>
      </c>
    </row>
    <row r="24" spans="1:29" ht="15">
      <c r="A24" s="404"/>
      <c r="B24" s="456"/>
      <c r="C24" s="616"/>
      <c r="D24" s="448"/>
      <c r="E24" s="2611"/>
      <c r="F24" s="448"/>
      <c r="G24" s="2610"/>
      <c r="H24" s="448"/>
      <c r="I24" s="2610"/>
      <c r="J24" s="448"/>
      <c r="K24" s="812"/>
      <c r="L24" s="1143"/>
      <c r="M24" s="1134"/>
      <c r="N24" s="1134"/>
      <c r="O24" s="1142"/>
      <c r="P24" s="3254"/>
      <c r="Q24" s="1812"/>
      <c r="R24" s="774"/>
      <c r="S24" s="775"/>
      <c r="T24" s="774"/>
      <c r="U24" s="775"/>
      <c r="V24" s="774"/>
      <c r="W24" s="775"/>
      <c r="X24" s="1815"/>
      <c r="Y24" s="3254"/>
      <c r="Z24" s="1816"/>
      <c r="AA24" s="1813"/>
      <c r="AB24" s="1813"/>
      <c r="AC24" s="1813"/>
    </row>
    <row r="25" spans="1:29" ht="57">
      <c r="A25" s="404"/>
      <c r="B25" s="1387" t="s">
        <v>2752</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54"/>
      <c r="Q25" s="1812" t="str">
        <f t="shared" si="8"/>
        <v>自然及人文环境状况</v>
      </c>
      <c r="R25" s="774" t="s">
        <v>17</v>
      </c>
      <c r="S25" s="775">
        <f>F25</f>
        <v>100</v>
      </c>
      <c r="T25" s="774" t="s">
        <v>17</v>
      </c>
      <c r="U25" s="775">
        <f>H25</f>
        <v>100</v>
      </c>
      <c r="V25" s="774" t="s">
        <v>17</v>
      </c>
      <c r="W25" s="775">
        <f>J25</f>
        <v>100</v>
      </c>
      <c r="X25" s="1815"/>
      <c r="Y25" s="3254"/>
      <c r="Z25" s="1816" t="str">
        <f>Q25</f>
        <v>自然及人文环境状况</v>
      </c>
      <c r="AA25" s="1813">
        <f t="shared" si="3"/>
        <v>1</v>
      </c>
      <c r="AB25" s="1813">
        <f t="shared" si="4"/>
        <v>1</v>
      </c>
      <c r="AC25" s="1813">
        <f t="shared" si="5"/>
        <v>1</v>
      </c>
    </row>
    <row r="26" spans="1:29" ht="15">
      <c r="A26" s="404"/>
      <c r="B26" s="456"/>
      <c r="C26" s="447"/>
      <c r="D26" s="448"/>
      <c r="E26" s="2617"/>
      <c r="F26" s="448"/>
      <c r="G26" s="2617"/>
      <c r="H26" s="448"/>
      <c r="I26" s="447"/>
      <c r="J26" s="448"/>
      <c r="K26" s="672"/>
      <c r="L26" s="1143"/>
      <c r="M26" s="1134"/>
      <c r="N26" s="1134"/>
      <c r="O26" s="1142"/>
      <c r="P26" s="3254"/>
      <c r="Q26" s="1812"/>
      <c r="R26" s="774"/>
      <c r="S26" s="775"/>
      <c r="T26" s="774"/>
      <c r="U26" s="775"/>
      <c r="V26" s="774"/>
      <c r="W26" s="775"/>
      <c r="X26" s="1815"/>
      <c r="Y26" s="3254"/>
      <c r="Z26" s="1816"/>
      <c r="AA26" s="1813">
        <v>1</v>
      </c>
      <c r="AB26" s="1813">
        <v>1</v>
      </c>
      <c r="AC26" s="1813">
        <v>1</v>
      </c>
    </row>
    <row r="27" spans="1:29" s="117" customFormat="1" ht="42.75">
      <c r="A27" s="649"/>
      <c r="B27" s="1387" t="s">
        <v>2657</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54"/>
      <c r="Q27" s="1797" t="str">
        <f t="shared" si="8"/>
        <v>公共配套设施</v>
      </c>
      <c r="R27" s="770" t="s">
        <v>17</v>
      </c>
      <c r="S27" s="771">
        <f>F27</f>
        <v>100</v>
      </c>
      <c r="T27" s="770" t="s">
        <v>17</v>
      </c>
      <c r="U27" s="771">
        <f>H27</f>
        <v>100</v>
      </c>
      <c r="V27" s="770" t="s">
        <v>17</v>
      </c>
      <c r="W27" s="771">
        <f>J27</f>
        <v>100</v>
      </c>
      <c r="X27" s="772"/>
      <c r="Y27" s="3254"/>
      <c r="Z27" s="55" t="str">
        <f>Q27</f>
        <v>公共配套设施</v>
      </c>
      <c r="AA27" s="1813">
        <f>D27/F27</f>
        <v>1</v>
      </c>
      <c r="AB27" s="1813">
        <f>D27/H27</f>
        <v>1</v>
      </c>
      <c r="AC27" s="1813">
        <f>D27/J27</f>
        <v>1</v>
      </c>
    </row>
    <row r="28" spans="1:29" s="117" customFormat="1" ht="15">
      <c r="A28" s="649"/>
      <c r="B28" s="456"/>
      <c r="C28" s="2706"/>
      <c r="D28" s="448"/>
      <c r="E28" s="2617"/>
      <c r="F28" s="448"/>
      <c r="G28" s="2617"/>
      <c r="H28" s="448"/>
      <c r="I28" s="447"/>
      <c r="J28" s="448"/>
      <c r="K28" s="672"/>
      <c r="L28" s="1135"/>
      <c r="M28" s="1136"/>
      <c r="N28" s="1136"/>
      <c r="O28" s="1137"/>
      <c r="P28" s="3254"/>
      <c r="Q28" s="1797"/>
      <c r="R28" s="770"/>
      <c r="S28" s="771"/>
      <c r="T28" s="770"/>
      <c r="U28" s="771"/>
      <c r="V28" s="770"/>
      <c r="W28" s="771"/>
      <c r="X28" s="772"/>
      <c r="Y28" s="3254"/>
      <c r="Z28" s="55"/>
      <c r="AA28" s="1813">
        <v>1</v>
      </c>
      <c r="AB28" s="1813">
        <v>1</v>
      </c>
      <c r="AC28" s="1813">
        <v>1</v>
      </c>
    </row>
    <row r="29" spans="1:29" s="117" customFormat="1" ht="28.5">
      <c r="A29" s="649"/>
      <c r="B29" s="1387" t="s">
        <v>2658</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54"/>
      <c r="Q29" s="1797" t="str">
        <f t="shared" ref="Q29" si="9">B29</f>
        <v>基础设施水平</v>
      </c>
      <c r="R29" s="770" t="s">
        <v>17</v>
      </c>
      <c r="S29" s="771">
        <f>F29</f>
        <v>100</v>
      </c>
      <c r="T29" s="770" t="s">
        <v>17</v>
      </c>
      <c r="U29" s="771">
        <f>H29</f>
        <v>100</v>
      </c>
      <c r="V29" s="770" t="s">
        <v>17</v>
      </c>
      <c r="W29" s="771">
        <f>J29</f>
        <v>100</v>
      </c>
      <c r="X29" s="772"/>
      <c r="Y29" s="3254"/>
      <c r="Z29" s="55" t="str">
        <f>Q29</f>
        <v>基础设施水平</v>
      </c>
      <c r="AA29" s="1813">
        <f>D29/F29</f>
        <v>1</v>
      </c>
      <c r="AB29" s="1813">
        <f>D29/H29</f>
        <v>1</v>
      </c>
      <c r="AC29" s="1813">
        <f>D29/J29</f>
        <v>1</v>
      </c>
    </row>
    <row r="30" spans="1:29" s="117" customFormat="1" ht="15">
      <c r="A30" s="649"/>
      <c r="B30" s="456"/>
      <c r="C30" s="2706"/>
      <c r="D30" s="448"/>
      <c r="E30" s="2707"/>
      <c r="F30" s="448"/>
      <c r="G30" s="2707"/>
      <c r="H30" s="448"/>
      <c r="I30" s="2707"/>
      <c r="J30" s="448"/>
      <c r="K30" s="672"/>
      <c r="L30" s="1135"/>
      <c r="M30" s="1136"/>
      <c r="N30" s="1136"/>
      <c r="O30" s="1137"/>
      <c r="P30" s="3254"/>
      <c r="Q30" s="1797"/>
      <c r="R30" s="770"/>
      <c r="S30" s="771"/>
      <c r="T30" s="770"/>
      <c r="U30" s="771"/>
      <c r="V30" s="770"/>
      <c r="W30" s="771"/>
      <c r="X30" s="772"/>
      <c r="Y30" s="3254"/>
      <c r="Z30" s="55"/>
      <c r="AA30" s="1813">
        <v>1</v>
      </c>
      <c r="AB30" s="1813">
        <v>1</v>
      </c>
      <c r="AC30" s="1813">
        <v>1</v>
      </c>
    </row>
    <row r="31" spans="1:29" ht="15">
      <c r="A31" s="428"/>
      <c r="B31" s="456" t="s">
        <v>2659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54"/>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54"/>
      <c r="Z31" s="1816" t="str">
        <f t="shared" ref="Z31:Z45" si="13">Q31</f>
        <v>临街状况</v>
      </c>
      <c r="AA31" s="1813">
        <f t="shared" si="3"/>
        <v>1</v>
      </c>
      <c r="AB31" s="1813">
        <f t="shared" si="4"/>
        <v>1</v>
      </c>
      <c r="AC31" s="1813">
        <f t="shared" si="5"/>
        <v>1</v>
      </c>
    </row>
    <row r="32" spans="1:29" ht="27">
      <c r="A32" s="428"/>
      <c r="B32" s="1387"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54"/>
      <c r="Q32" s="1812" t="str">
        <f t="shared" si="8"/>
        <v>毗邻道路的类型与等级</v>
      </c>
      <c r="R32" s="774" t="s">
        <v>17</v>
      </c>
      <c r="S32" s="775">
        <f t="shared" si="10"/>
        <v>100</v>
      </c>
      <c r="T32" s="774" t="s">
        <v>17</v>
      </c>
      <c r="U32" s="775">
        <f t="shared" si="11"/>
        <v>100</v>
      </c>
      <c r="V32" s="774" t="s">
        <v>17</v>
      </c>
      <c r="W32" s="775">
        <f t="shared" si="12"/>
        <v>100</v>
      </c>
      <c r="X32" s="1815"/>
      <c r="Y32" s="3254"/>
      <c r="Z32" s="1816" t="str">
        <f t="shared" si="13"/>
        <v>毗邻道路的类型与等级</v>
      </c>
      <c r="AA32" s="1813">
        <f t="shared" si="3"/>
        <v>1</v>
      </c>
      <c r="AB32" s="1813">
        <f t="shared" si="4"/>
        <v>1</v>
      </c>
      <c r="AC32" s="1813">
        <f t="shared" si="5"/>
        <v>1</v>
      </c>
    </row>
    <row r="33" spans="1:29" ht="15">
      <c r="A33" s="428"/>
      <c r="B33" s="456"/>
      <c r="C33" s="447"/>
      <c r="D33" s="448"/>
      <c r="E33" s="2617"/>
      <c r="F33" s="448"/>
      <c r="G33" s="2617"/>
      <c r="H33" s="448"/>
      <c r="I33" s="447"/>
      <c r="J33" s="448"/>
      <c r="K33" s="613"/>
      <c r="L33" s="1143"/>
      <c r="M33" s="1134"/>
      <c r="N33" s="1134"/>
      <c r="O33" s="1142"/>
      <c r="P33" s="3254"/>
      <c r="Q33" s="1812"/>
      <c r="R33" s="774"/>
      <c r="S33" s="775"/>
      <c r="T33" s="774"/>
      <c r="U33" s="775"/>
      <c r="V33" s="774"/>
      <c r="W33" s="775"/>
      <c r="X33" s="1815"/>
      <c r="Y33" s="3254"/>
      <c r="Z33" s="1816"/>
      <c r="AA33" s="1813">
        <v>1</v>
      </c>
      <c r="AB33" s="1813">
        <v>1</v>
      </c>
      <c r="AC33" s="1813">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54"/>
      <c r="Q34" s="1812" t="str">
        <f t="shared" si="8"/>
        <v>土地级别</v>
      </c>
      <c r="R34" s="774" t="s">
        <v>17</v>
      </c>
      <c r="S34" s="775">
        <f t="shared" si="10"/>
        <v>100</v>
      </c>
      <c r="T34" s="774" t="s">
        <v>17</v>
      </c>
      <c r="U34" s="775">
        <f t="shared" si="11"/>
        <v>100</v>
      </c>
      <c r="V34" s="774" t="s">
        <v>17</v>
      </c>
      <c r="W34" s="775">
        <f t="shared" si="12"/>
        <v>100</v>
      </c>
      <c r="X34" s="1815"/>
      <c r="Y34" s="3254"/>
      <c r="Z34" s="1816" t="str">
        <f t="shared" si="13"/>
        <v>土地级别</v>
      </c>
      <c r="AA34" s="1813">
        <f t="shared" si="3"/>
        <v>1</v>
      </c>
      <c r="AB34" s="1813">
        <f t="shared" si="4"/>
        <v>1</v>
      </c>
      <c r="AC34" s="1813">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54"/>
      <c r="Q35" s="1812">
        <f t="shared" si="8"/>
        <v>111</v>
      </c>
      <c r="R35" s="774" t="s">
        <v>17</v>
      </c>
      <c r="S35" s="775">
        <f t="shared" si="10"/>
        <v>100</v>
      </c>
      <c r="T35" s="774" t="s">
        <v>17</v>
      </c>
      <c r="U35" s="775">
        <f t="shared" si="11"/>
        <v>100</v>
      </c>
      <c r="V35" s="774" t="s">
        <v>17</v>
      </c>
      <c r="W35" s="775">
        <f t="shared" si="12"/>
        <v>100</v>
      </c>
      <c r="X35" s="1815"/>
      <c r="Y35" s="3254"/>
      <c r="Z35" s="1816">
        <f t="shared" si="13"/>
        <v>111</v>
      </c>
      <c r="AA35" s="1813">
        <f t="shared" si="3"/>
        <v>1</v>
      </c>
      <c r="AB35" s="1813">
        <f t="shared" si="4"/>
        <v>1</v>
      </c>
      <c r="AC35" s="1813">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09" t="s">
        <v>2568</v>
      </c>
      <c r="Q36" s="1812">
        <f t="shared" si="8"/>
        <v>111</v>
      </c>
      <c r="R36" s="774" t="s">
        <v>17</v>
      </c>
      <c r="S36" s="775">
        <f t="shared" si="10"/>
        <v>100</v>
      </c>
      <c r="T36" s="774" t="s">
        <v>17</v>
      </c>
      <c r="U36" s="775">
        <f t="shared" si="11"/>
        <v>100</v>
      </c>
      <c r="V36" s="774" t="s">
        <v>17</v>
      </c>
      <c r="W36" s="775">
        <f t="shared" si="12"/>
        <v>100</v>
      </c>
      <c r="X36" s="1815"/>
      <c r="Y36" s="3258" t="s">
        <v>2568</v>
      </c>
      <c r="Z36" s="1816">
        <f t="shared" si="13"/>
        <v>111</v>
      </c>
      <c r="AA36" s="1813">
        <f t="shared" si="3"/>
        <v>1</v>
      </c>
      <c r="AB36" s="1813">
        <f t="shared" si="4"/>
        <v>1</v>
      </c>
      <c r="AC36" s="1813">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58"/>
      <c r="Q37" s="1812">
        <f t="shared" si="8"/>
        <v>111</v>
      </c>
      <c r="R37" s="777" t="s">
        <v>17</v>
      </c>
      <c r="S37" s="778">
        <f t="shared" si="10"/>
        <v>100</v>
      </c>
      <c r="T37" s="777" t="s">
        <v>17</v>
      </c>
      <c r="U37" s="778">
        <f t="shared" si="11"/>
        <v>100</v>
      </c>
      <c r="V37" s="777" t="s">
        <v>17</v>
      </c>
      <c r="W37" s="778">
        <f t="shared" si="12"/>
        <v>100</v>
      </c>
      <c r="X37" s="779"/>
      <c r="Y37" s="3258"/>
      <c r="Z37" s="780">
        <f t="shared" si="13"/>
        <v>111</v>
      </c>
      <c r="AA37" s="1813">
        <f t="shared" si="3"/>
        <v>1</v>
      </c>
      <c r="AB37" s="1813">
        <f t="shared" si="4"/>
        <v>1</v>
      </c>
      <c r="AC37" s="1813">
        <f t="shared" si="5"/>
        <v>1</v>
      </c>
    </row>
    <row r="38" spans="1:29" ht="15">
      <c r="A38" s="472" t="s">
        <v>2566</v>
      </c>
      <c r="B38" s="456" t="s">
        <v>2754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58"/>
      <c r="Q38" s="1812" t="str">
        <f>B38</f>
        <v>宗地面积</v>
      </c>
      <c r="R38" s="774" t="s">
        <v>17</v>
      </c>
      <c r="S38" s="775" t="e">
        <f t="shared" si="10"/>
        <v>#N/A</v>
      </c>
      <c r="T38" s="774" t="s">
        <v>17</v>
      </c>
      <c r="U38" s="775" t="e">
        <f t="shared" si="11"/>
        <v>#N/A</v>
      </c>
      <c r="V38" s="774" t="s">
        <v>17</v>
      </c>
      <c r="W38" s="775" t="e">
        <f t="shared" si="12"/>
        <v>#N/A</v>
      </c>
      <c r="X38" s="1815"/>
      <c r="Y38" s="3258"/>
      <c r="Z38" s="1816" t="str">
        <f t="shared" si="13"/>
        <v>宗地面积</v>
      </c>
      <c r="AA38" s="1813" t="e">
        <f t="shared" si="3"/>
        <v>#N/A</v>
      </c>
      <c r="AB38" s="1813" t="e">
        <f t="shared" si="4"/>
        <v>#N/A</v>
      </c>
      <c r="AC38" s="1813" t="e">
        <f t="shared" si="5"/>
        <v>#N/A</v>
      </c>
    </row>
    <row r="39" spans="1:29" ht="15">
      <c r="A39" s="472"/>
      <c r="B39" s="422" t="s">
        <v>2755</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258"/>
      <c r="Q39" s="1812" t="str">
        <f t="shared" ref="Q39:Q45" si="14">B39</f>
        <v>宗地形状</v>
      </c>
      <c r="R39" s="774" t="s">
        <v>17</v>
      </c>
      <c r="S39" s="775">
        <f t="shared" si="10"/>
        <v>100</v>
      </c>
      <c r="T39" s="774" t="s">
        <v>17</v>
      </c>
      <c r="U39" s="775">
        <f t="shared" si="11"/>
        <v>100</v>
      </c>
      <c r="V39" s="774" t="s">
        <v>17</v>
      </c>
      <c r="W39" s="775">
        <f t="shared" si="12"/>
        <v>100</v>
      </c>
      <c r="X39" s="1815"/>
      <c r="Y39" s="3258"/>
      <c r="Z39" s="1816" t="str">
        <f t="shared" si="13"/>
        <v>宗地形状</v>
      </c>
      <c r="AA39" s="1813">
        <f t="shared" si="3"/>
        <v>1</v>
      </c>
      <c r="AB39" s="1813">
        <f t="shared" si="4"/>
        <v>1</v>
      </c>
      <c r="AC39" s="1813">
        <f t="shared" si="5"/>
        <v>1</v>
      </c>
    </row>
    <row r="40" spans="1:29" ht="15">
      <c r="A40" s="472"/>
      <c r="B40" s="422" t="s">
        <v>2756</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258"/>
      <c r="Q40" s="1812" t="str">
        <f t="shared" si="14"/>
        <v>临街宽度及深度</v>
      </c>
      <c r="R40" s="774" t="s">
        <v>17</v>
      </c>
      <c r="S40" s="775">
        <f t="shared" si="10"/>
        <v>100</v>
      </c>
      <c r="T40" s="774" t="s">
        <v>17</v>
      </c>
      <c r="U40" s="775">
        <f t="shared" si="11"/>
        <v>100</v>
      </c>
      <c r="V40" s="774" t="s">
        <v>17</v>
      </c>
      <c r="W40" s="775">
        <f t="shared" si="12"/>
        <v>100</v>
      </c>
      <c r="X40" s="1815"/>
      <c r="Y40" s="3258"/>
      <c r="Z40" s="1816" t="str">
        <f t="shared" si="13"/>
        <v>临街宽度及深度</v>
      </c>
      <c r="AA40" s="1813">
        <f t="shared" si="3"/>
        <v>1</v>
      </c>
      <c r="AB40" s="1813">
        <f t="shared" si="4"/>
        <v>1</v>
      </c>
      <c r="AC40" s="1813">
        <f t="shared" si="5"/>
        <v>1</v>
      </c>
    </row>
    <row r="41" spans="1:29" s="117" customFormat="1" ht="15">
      <c r="A41" s="473"/>
      <c r="B41" s="422" t="s">
        <v>2757</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258"/>
      <c r="Q41" s="1812" t="str">
        <f t="shared" si="14"/>
        <v>宗地开发程度</v>
      </c>
      <c r="R41" s="770" t="s">
        <v>17</v>
      </c>
      <c r="S41" s="771">
        <f t="shared" si="10"/>
        <v>100</v>
      </c>
      <c r="T41" s="770" t="s">
        <v>17</v>
      </c>
      <c r="U41" s="771">
        <f t="shared" si="11"/>
        <v>100</v>
      </c>
      <c r="V41" s="770" t="s">
        <v>17</v>
      </c>
      <c r="W41" s="771">
        <f t="shared" si="12"/>
        <v>100</v>
      </c>
      <c r="X41" s="772"/>
      <c r="Y41" s="3258"/>
      <c r="Z41" s="55" t="str">
        <f t="shared" si="13"/>
        <v>宗地开发程度</v>
      </c>
      <c r="AA41" s="773">
        <f t="shared" si="3"/>
        <v>1</v>
      </c>
      <c r="AB41" s="773">
        <f t="shared" si="4"/>
        <v>1</v>
      </c>
      <c r="AC41" s="773">
        <f t="shared" si="5"/>
        <v>1</v>
      </c>
    </row>
    <row r="42" spans="1:29" ht="15">
      <c r="A42" s="472"/>
      <c r="B42" s="422" t="s">
        <v>2758</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258" t="s">
        <v>2568</v>
      </c>
      <c r="Q42" s="1812" t="str">
        <f t="shared" si="14"/>
        <v>工程地质条件</v>
      </c>
      <c r="R42" s="774" t="s">
        <v>17</v>
      </c>
      <c r="S42" s="775">
        <f t="shared" si="10"/>
        <v>100</v>
      </c>
      <c r="T42" s="774" t="s">
        <v>17</v>
      </c>
      <c r="U42" s="775">
        <f t="shared" si="11"/>
        <v>100</v>
      </c>
      <c r="V42" s="774" t="s">
        <v>17</v>
      </c>
      <c r="W42" s="775">
        <f t="shared" si="12"/>
        <v>100</v>
      </c>
      <c r="X42" s="1815"/>
      <c r="Y42" s="3258" t="s">
        <v>2568</v>
      </c>
      <c r="Z42" s="1816" t="str">
        <f t="shared" si="13"/>
        <v>工程地质条件</v>
      </c>
      <c r="AA42" s="1813">
        <f t="shared" si="3"/>
        <v>1</v>
      </c>
      <c r="AB42" s="1813">
        <f t="shared" si="4"/>
        <v>1</v>
      </c>
      <c r="AC42" s="1813">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58"/>
      <c r="Q43" s="1812">
        <f t="shared" si="14"/>
        <v>111</v>
      </c>
      <c r="R43" s="774" t="s">
        <v>17</v>
      </c>
      <c r="S43" s="775">
        <f t="shared" si="10"/>
        <v>100</v>
      </c>
      <c r="T43" s="774" t="s">
        <v>17</v>
      </c>
      <c r="U43" s="775">
        <f t="shared" si="11"/>
        <v>100</v>
      </c>
      <c r="V43" s="774" t="s">
        <v>17</v>
      </c>
      <c r="W43" s="775">
        <f t="shared" si="12"/>
        <v>100</v>
      </c>
      <c r="X43" s="1815"/>
      <c r="Y43" s="3258"/>
      <c r="Z43" s="1816">
        <f t="shared" si="13"/>
        <v>111</v>
      </c>
      <c r="AA43" s="1813">
        <f t="shared" si="3"/>
        <v>1</v>
      </c>
      <c r="AB43" s="1813">
        <f t="shared" si="4"/>
        <v>1</v>
      </c>
      <c r="AC43" s="1813">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58"/>
      <c r="Q44" s="1812">
        <f t="shared" si="14"/>
        <v>111</v>
      </c>
      <c r="R44" s="774" t="s">
        <v>17</v>
      </c>
      <c r="S44" s="775">
        <f t="shared" si="10"/>
        <v>100</v>
      </c>
      <c r="T44" s="774" t="s">
        <v>17</v>
      </c>
      <c r="U44" s="775">
        <f t="shared" si="11"/>
        <v>100</v>
      </c>
      <c r="V44" s="774" t="s">
        <v>17</v>
      </c>
      <c r="W44" s="775">
        <f t="shared" si="12"/>
        <v>100</v>
      </c>
      <c r="X44" s="1815"/>
      <c r="Y44" s="3258"/>
      <c r="Z44" s="1816">
        <f t="shared" si="13"/>
        <v>111</v>
      </c>
      <c r="AA44" s="1813">
        <f t="shared" si="3"/>
        <v>1</v>
      </c>
      <c r="AB44" s="1813">
        <f t="shared" si="4"/>
        <v>1</v>
      </c>
      <c r="AC44" s="1813">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58"/>
      <c r="Q45" s="1812">
        <f t="shared" si="14"/>
        <v>111</v>
      </c>
      <c r="R45" s="777" t="s">
        <v>17</v>
      </c>
      <c r="S45" s="778">
        <f t="shared" si="10"/>
        <v>100</v>
      </c>
      <c r="T45" s="777" t="s">
        <v>17</v>
      </c>
      <c r="U45" s="778">
        <f t="shared" si="11"/>
        <v>100</v>
      </c>
      <c r="V45" s="777" t="s">
        <v>17</v>
      </c>
      <c r="W45" s="778">
        <f t="shared" si="12"/>
        <v>100</v>
      </c>
      <c r="X45" s="779"/>
      <c r="Y45" s="3258"/>
      <c r="Z45" s="780">
        <f t="shared" si="13"/>
        <v>111</v>
      </c>
      <c r="AA45" s="1813">
        <f t="shared" si="3"/>
        <v>1</v>
      </c>
      <c r="AB45" s="1813">
        <f t="shared" si="4"/>
        <v>1</v>
      </c>
      <c r="AC45" s="1813">
        <f t="shared" si="5"/>
        <v>1</v>
      </c>
    </row>
    <row r="46" spans="1:29" ht="15">
      <c r="A46" s="479" t="s">
        <v>2723</v>
      </c>
      <c r="B46" s="2710" t="s">
        <v>2759</v>
      </c>
      <c r="C46" s="682" t="s">
        <v>1</v>
      </c>
      <c r="D46" s="481"/>
      <c r="E46" s="482"/>
      <c r="F46" s="483"/>
      <c r="G46" s="484"/>
      <c r="H46" s="485"/>
      <c r="I46" s="482"/>
      <c r="J46" s="485"/>
      <c r="K46" s="783"/>
      <c r="L46" s="1146"/>
      <c r="M46" s="1147"/>
      <c r="N46" s="1134"/>
      <c r="O46" s="1147"/>
      <c r="P46" s="3251" t="str">
        <f>A46</f>
        <v>成交单价</v>
      </c>
      <c r="Q46" s="3251"/>
      <c r="R46" s="3282">
        <f>E46</f>
        <v>0</v>
      </c>
      <c r="S46" s="3282"/>
      <c r="T46" s="3282">
        <f>G46</f>
        <v>0</v>
      </c>
      <c r="U46" s="3282"/>
      <c r="V46" s="3282">
        <f>I46</f>
        <v>0</v>
      </c>
      <c r="W46" s="3282"/>
      <c r="X46" s="759"/>
      <c r="Y46" s="781"/>
      <c r="Z46" s="759"/>
      <c r="AA46" s="759"/>
      <c r="AB46" s="759"/>
      <c r="AC46" s="759"/>
    </row>
    <row r="47" spans="1:29" ht="15.75" thickBot="1">
      <c r="A47" s="486" t="s">
        <v>2672</v>
      </c>
      <c r="B47" s="683"/>
      <c r="C47" s="490" t="e">
        <f>R48</f>
        <v>#DIV/0!</v>
      </c>
      <c r="D47" s="489"/>
      <c r="E47" s="490" t="e">
        <f>R47</f>
        <v>#DIV/0!</v>
      </c>
      <c r="F47" s="491"/>
      <c r="G47" s="488" t="e">
        <f>T47</f>
        <v>#DIV/0!</v>
      </c>
      <c r="H47" s="489"/>
      <c r="I47" s="490" t="e">
        <f>V47</f>
        <v>#DIV/0!</v>
      </c>
      <c r="J47" s="489"/>
      <c r="K47" s="784"/>
      <c r="L47" s="1146"/>
      <c r="M47" s="1147"/>
      <c r="N47" s="1147"/>
      <c r="O47" s="1147"/>
      <c r="P47" s="3251" t="str">
        <f>A47</f>
        <v>比较价值（元/平方米）</v>
      </c>
      <c r="Q47" s="3251"/>
      <c r="R47" s="3310" t="e">
        <f>ROUND(PRODUCT(R46,AA7:AA45),0)</f>
        <v>#DIV/0!</v>
      </c>
      <c r="S47" s="3310"/>
      <c r="T47" s="3310" t="e">
        <f>ROUND(PRODUCT(T46,AB7:AB45),0)</f>
        <v>#DIV/0!</v>
      </c>
      <c r="U47" s="3310"/>
      <c r="V47" s="3310" t="e">
        <f>ROUND(PRODUCT(V46,AC7:AC45),0)</f>
        <v>#DIV/0!</v>
      </c>
      <c r="W47" s="3310"/>
      <c r="X47" s="759"/>
      <c r="Y47" s="759"/>
      <c r="Z47" s="759"/>
      <c r="AA47" s="759"/>
      <c r="AB47" s="759"/>
      <c r="AC47" s="759"/>
    </row>
    <row r="48" spans="1:29" ht="15.75" thickBot="1">
      <c r="A48" s="492" t="s">
        <v>2760</v>
      </c>
      <c r="B48" s="493"/>
      <c r="C48" s="494" t="e">
        <f>R48</f>
        <v>#DIV/0!</v>
      </c>
      <c r="D48" s="494"/>
      <c r="E48" s="494"/>
      <c r="F48" s="494"/>
      <c r="G48" s="494"/>
      <c r="H48" s="494"/>
      <c r="I48" s="494"/>
      <c r="J48" s="494"/>
      <c r="K48" s="785"/>
      <c r="L48" s="1146"/>
      <c r="M48" s="1147"/>
      <c r="N48" s="1147"/>
      <c r="O48" s="1147"/>
      <c r="P48" s="3248" t="str">
        <f>A48</f>
        <v>估价对象XX用房的比较价值（楼面单价，元/平方米）</v>
      </c>
      <c r="Q48" s="3249"/>
      <c r="R48" s="3311" t="e">
        <f>ROUND(AVERAGE(R47:V47),0)</f>
        <v>#DIV/0!</v>
      </c>
      <c r="S48" s="3311"/>
      <c r="T48" s="3311"/>
      <c r="U48" s="3311"/>
      <c r="V48" s="3311"/>
      <c r="W48" s="331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2761</v>
      </c>
      <c r="B55" s="685" t="s">
        <v>2762</v>
      </c>
      <c r="C55" s="2711" t="s">
        <v>2763</v>
      </c>
      <c r="D55" s="2712" t="s">
        <v>2764</v>
      </c>
      <c r="E55" s="686" t="s">
        <v>2765</v>
      </c>
      <c r="F55" s="1110" t="s">
        <v>2766</v>
      </c>
      <c r="G55" s="3266" t="s">
        <v>2767</v>
      </c>
      <c r="H55" s="3312"/>
      <c r="I55" s="144" t="s">
        <v>2768</v>
      </c>
      <c r="J55" s="2713">
        <f>项目基本情况!F35</f>
        <v>0</v>
      </c>
      <c r="K55" s="2714" t="s">
        <v>2769</v>
      </c>
      <c r="L55" s="1109"/>
      <c r="M55" s="1147"/>
      <c r="N55" s="1147"/>
      <c r="O55" s="1147"/>
    </row>
    <row r="56" spans="1:15" s="692" customFormat="1">
      <c r="A56" s="688" t="s">
        <v>2770</v>
      </c>
      <c r="B56" s="689" t="e">
        <f>C48</f>
        <v>#DIV/0!</v>
      </c>
      <c r="C56" s="690">
        <v>1</v>
      </c>
      <c r="D56" s="1166">
        <v>1</v>
      </c>
      <c r="E56" s="690">
        <f>'数据-汇总表'!E8+'数据-汇总表'!E9</f>
        <v>24763.08</v>
      </c>
      <c r="F56" s="1106" t="e">
        <f t="shared" ref="F56:F65" si="15">ROUND(B56*E56/10000,0)</f>
        <v>#DIV/0!</v>
      </c>
      <c r="G56" s="3262"/>
      <c r="H56" s="3251"/>
      <c r="I56" s="1111">
        <v>1</v>
      </c>
      <c r="J56" s="1114">
        <v>1</v>
      </c>
      <c r="K56" s="1148"/>
      <c r="L56" s="944"/>
      <c r="M56" s="944"/>
      <c r="N56" s="944"/>
      <c r="O56" s="944"/>
    </row>
    <row r="57" spans="1:15" s="692" customFormat="1">
      <c r="A57" s="693" t="s">
        <v>2771</v>
      </c>
      <c r="B57" s="262" t="e">
        <f>ROUND($C$48*C57*D57,0)</f>
        <v>#DIV/0!</v>
      </c>
      <c r="C57" s="200">
        <f t="shared" ref="C57:C65" si="16">IF($C$55="北京市系数",I57,J57)</f>
        <v>0.8</v>
      </c>
      <c r="D57" s="1167">
        <v>0.25</v>
      </c>
      <c r="E57" s="694"/>
      <c r="F57" s="1106" t="e">
        <f t="shared" si="15"/>
        <v>#DIV/0!</v>
      </c>
      <c r="G57" s="3313" t="s">
        <v>2772</v>
      </c>
      <c r="H57" s="1107" t="str">
        <f>项目基本情况!B37</f>
        <v>二级</v>
      </c>
      <c r="I57" s="1111">
        <f>SUMIF(修正!A45:A56,H57,修正!B45:B56)</f>
        <v>0.8</v>
      </c>
      <c r="J57" s="1115"/>
      <c r="K57" s="1147"/>
      <c r="L57" s="944"/>
      <c r="M57" s="944"/>
      <c r="N57" s="944"/>
      <c r="O57" s="944"/>
    </row>
    <row r="58" spans="1:15" s="692" customFormat="1">
      <c r="A58" s="693" t="s">
        <v>2773</v>
      </c>
      <c r="B58" s="262" t="e">
        <f t="shared" ref="B58:B65" si="17">ROUND($C$48*C58*D58,0)</f>
        <v>#DIV/0!</v>
      </c>
      <c r="C58" s="200">
        <f t="shared" si="16"/>
        <v>0.5</v>
      </c>
      <c r="D58" s="1167">
        <v>0.25</v>
      </c>
      <c r="E58" s="694"/>
      <c r="F58" s="1106" t="e">
        <f t="shared" si="15"/>
        <v>#DIV/0!</v>
      </c>
      <c r="G58" s="3313"/>
      <c r="H58" s="1107" t="str">
        <f>项目基本情况!B37</f>
        <v>二级</v>
      </c>
      <c r="I58" s="1111">
        <f>SUMIF(修正!A45:A56,H58,修正!C45:C56)</f>
        <v>0.5</v>
      </c>
      <c r="J58" s="1115"/>
      <c r="K58" s="1148"/>
      <c r="L58" s="944"/>
      <c r="M58" s="944"/>
      <c r="N58" s="944"/>
      <c r="O58" s="944"/>
    </row>
    <row r="59" spans="1:15" s="692" customFormat="1">
      <c r="A59" s="693" t="s">
        <v>2774</v>
      </c>
      <c r="B59" s="262" t="e">
        <f t="shared" si="17"/>
        <v>#DIV/0!</v>
      </c>
      <c r="C59" s="200">
        <f t="shared" si="16"/>
        <v>0.36</v>
      </c>
      <c r="D59" s="1167">
        <v>0.25</v>
      </c>
      <c r="E59" s="694"/>
      <c r="F59" s="1106" t="e">
        <f t="shared" si="15"/>
        <v>#DIV/0!</v>
      </c>
      <c r="G59" s="3313"/>
      <c r="H59" s="1107" t="str">
        <f>项目基本情况!B37</f>
        <v>二级</v>
      </c>
      <c r="I59" s="1111">
        <f>SUMIF(修正!A45:A56,H59,修正!D45:D56)</f>
        <v>0.36</v>
      </c>
      <c r="J59" s="1115"/>
      <c r="K59" s="1147"/>
      <c r="L59" s="944"/>
      <c r="M59" s="944"/>
      <c r="N59" s="944"/>
      <c r="O59" s="944"/>
    </row>
    <row r="60" spans="1:15" s="692" customFormat="1">
      <c r="A60" s="693" t="s">
        <v>2775</v>
      </c>
      <c r="B60" s="262" t="e">
        <f t="shared" si="17"/>
        <v>#DIV/0!</v>
      </c>
      <c r="C60" s="200">
        <f t="shared" si="16"/>
        <v>0.3</v>
      </c>
      <c r="D60" s="1167">
        <v>0.25</v>
      </c>
      <c r="E60" s="694"/>
      <c r="F60" s="1106" t="e">
        <f t="shared" si="15"/>
        <v>#DIV/0!</v>
      </c>
      <c r="G60" s="3313"/>
      <c r="H60" s="1107" t="str">
        <f>项目基本情况!B37</f>
        <v>二级</v>
      </c>
      <c r="I60" s="1111">
        <f>SUMIF(修正!A45:A56,H60,修正!E45:E56)</f>
        <v>0.3</v>
      </c>
      <c r="J60" s="1115"/>
      <c r="K60" s="1148"/>
      <c r="L60" s="944"/>
      <c r="M60" s="944"/>
      <c r="N60" s="944"/>
      <c r="O60" s="944"/>
    </row>
    <row r="61" spans="1:15" s="692" customFormat="1">
      <c r="A61" s="693" t="s">
        <v>2776</v>
      </c>
      <c r="B61" s="262" t="e">
        <f t="shared" si="17"/>
        <v>#DIV/0!</v>
      </c>
      <c r="C61" s="200">
        <f t="shared" si="16"/>
        <v>0</v>
      </c>
      <c r="D61" s="1167">
        <v>0.25</v>
      </c>
      <c r="E61" s="261">
        <f>'数据-汇总表'!E11</f>
        <v>0</v>
      </c>
      <c r="F61" s="1106" t="e">
        <f t="shared" si="15"/>
        <v>#DIV/0!</v>
      </c>
      <c r="G61" s="2715" t="s">
        <v>2777</v>
      </c>
      <c r="H61" s="1107">
        <f>项目基本情况!C37</f>
        <v>0</v>
      </c>
      <c r="I61" s="1111">
        <f>SUMIF(修正!A45:A56,H61,修正!F45:F56)</f>
        <v>0</v>
      </c>
      <c r="J61" s="1115"/>
      <c r="K61" s="1147"/>
      <c r="L61" s="944"/>
      <c r="M61" s="944"/>
      <c r="N61" s="944"/>
      <c r="O61" s="944"/>
    </row>
    <row r="62" spans="1:15" s="692" customFormat="1">
      <c r="A62" s="693" t="s">
        <v>2778</v>
      </c>
      <c r="B62" s="262" t="e">
        <f t="shared" si="17"/>
        <v>#DIV/0!</v>
      </c>
      <c r="C62" s="200">
        <f t="shared" si="16"/>
        <v>0</v>
      </c>
      <c r="D62" s="1167">
        <v>0.25</v>
      </c>
      <c r="E62" s="261">
        <f>'数据-汇总表'!E12</f>
        <v>0</v>
      </c>
      <c r="F62" s="1106" t="e">
        <f t="shared" si="15"/>
        <v>#DIV/0!</v>
      </c>
      <c r="G62" s="1112" t="s">
        <v>2779</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2780</v>
      </c>
      <c r="B63" s="262" t="e">
        <f t="shared" si="17"/>
        <v>#DIV/0!</v>
      </c>
      <c r="C63" s="200">
        <f t="shared" si="16"/>
        <v>0</v>
      </c>
      <c r="D63" s="1167">
        <v>0.25</v>
      </c>
      <c r="E63" s="261">
        <f>'数据-汇总表'!E13</f>
        <v>0</v>
      </c>
      <c r="F63" s="1106" t="e">
        <f t="shared" si="15"/>
        <v>#DIV/0!</v>
      </c>
      <c r="G63" s="1112" t="s">
        <v>2781</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2782</v>
      </c>
      <c r="B64" s="262" t="e">
        <f t="shared" si="17"/>
        <v>#DIV/0!</v>
      </c>
      <c r="C64" s="200">
        <f t="shared" si="16"/>
        <v>0.25</v>
      </c>
      <c r="D64" s="1167">
        <v>0.25</v>
      </c>
      <c r="E64" s="261">
        <f>'数据-汇总表'!E14</f>
        <v>0</v>
      </c>
      <c r="F64" s="1106" t="e">
        <f t="shared" si="15"/>
        <v>#DIV/0!</v>
      </c>
      <c r="G64" s="2715" t="s">
        <v>2772</v>
      </c>
      <c r="H64" s="1107" t="str">
        <f>项目基本情况!B37</f>
        <v>二级</v>
      </c>
      <c r="I64" s="1111">
        <f>SUMIF(修正!A45:A56,H64,修正!H45:H56)</f>
        <v>0.25</v>
      </c>
      <c r="J64" s="1115"/>
      <c r="K64" s="1148"/>
      <c r="L64" s="944"/>
      <c r="M64" s="944"/>
      <c r="N64" s="944"/>
      <c r="O64" s="944"/>
    </row>
    <row r="65" spans="1:17" s="692" customFormat="1" ht="15" thickBot="1">
      <c r="A65" s="693" t="s">
        <v>2783</v>
      </c>
      <c r="B65" s="262" t="e">
        <f t="shared" si="17"/>
        <v>#DIV/0!</v>
      </c>
      <c r="C65" s="200">
        <f t="shared" si="16"/>
        <v>0</v>
      </c>
      <c r="D65" s="1167">
        <v>0.25</v>
      </c>
      <c r="E65" s="261">
        <f>'数据-汇总表'!E15</f>
        <v>0</v>
      </c>
      <c r="F65" s="1106" t="e">
        <f t="shared" si="15"/>
        <v>#DIV/0!</v>
      </c>
      <c r="G65" s="2716" t="s">
        <v>2777</v>
      </c>
      <c r="H65" s="1117">
        <f>项目基本情况!C37</f>
        <v>0</v>
      </c>
      <c r="I65" s="1113">
        <f>SUMIF(修正!A45:A56,H65,修正!H45:H56)</f>
        <v>0</v>
      </c>
      <c r="J65" s="1116"/>
      <c r="K65" s="1147"/>
      <c r="L65" s="944"/>
      <c r="M65" s="944"/>
      <c r="N65" s="944"/>
      <c r="O65" s="944"/>
    </row>
    <row r="66" spans="1:17" s="692" customFormat="1" ht="13.5" thickBot="1">
      <c r="A66" s="695" t="s">
        <v>2784</v>
      </c>
      <c r="B66" s="696" t="s">
        <v>28</v>
      </c>
      <c r="C66" s="696" t="s">
        <v>29</v>
      </c>
      <c r="D66" s="696" t="s">
        <v>1029</v>
      </c>
      <c r="E66" s="696">
        <f>IF(B46="楼面地价",SUM(E56:E65),'数据-汇总表'!D3)</f>
        <v>24763.08</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2677</v>
      </c>
      <c r="B69" s="759"/>
      <c r="C69" s="764"/>
      <c r="D69" s="764"/>
      <c r="E69" s="764"/>
      <c r="F69" s="765"/>
      <c r="G69" s="765"/>
      <c r="H69" s="764"/>
      <c r="I69" s="764"/>
      <c r="J69" s="1162"/>
      <c r="K69" s="1163"/>
      <c r="L69" s="1164"/>
      <c r="M69" s="1162"/>
      <c r="N69" s="1162"/>
      <c r="O69" s="1162"/>
      <c r="P69" s="503"/>
      <c r="Q69" s="504"/>
    </row>
    <row r="70" spans="1:17" s="508" customFormat="1" ht="15">
      <c r="A70" s="2717" t="s">
        <v>2785</v>
      </c>
      <c r="B70" s="1362"/>
      <c r="C70" s="1575" t="str">
        <f>YEAR(C68)&amp;"-"&amp;ROUNDUP(MONTH(C68)/3,0)</f>
        <v>2018-1</v>
      </c>
      <c r="D70" s="1575" t="str">
        <f>YEAR(D68)&amp;"-"&amp;ROUNDUP(MONTH(D68)/3,0)</f>
        <v>2017-4</v>
      </c>
      <c r="E70" s="1575" t="str">
        <f t="shared" ref="E70:O70" si="19">YEAR(E68)&amp;"-"&amp;ROUNDUP(MONTH(E68)/3,0)</f>
        <v>2017-3</v>
      </c>
      <c r="F70" s="1575" t="str">
        <f t="shared" si="19"/>
        <v>2017-2</v>
      </c>
      <c r="G70" s="1575" t="str">
        <f t="shared" si="19"/>
        <v>2017-1</v>
      </c>
      <c r="H70" s="1575" t="str">
        <f t="shared" si="19"/>
        <v>2016-4</v>
      </c>
      <c r="I70" s="1575" t="str">
        <f t="shared" si="19"/>
        <v>2016-3</v>
      </c>
      <c r="J70" s="1575" t="str">
        <f t="shared" si="19"/>
        <v>2016-2</v>
      </c>
      <c r="K70" s="1575" t="str">
        <f t="shared" si="19"/>
        <v>2016-1</v>
      </c>
      <c r="L70" s="1575" t="str">
        <f t="shared" si="19"/>
        <v>2015-4</v>
      </c>
      <c r="M70" s="1575" t="str">
        <f t="shared" si="19"/>
        <v>2015-3</v>
      </c>
      <c r="N70" s="1575" t="str">
        <f t="shared" si="19"/>
        <v>2015-2</v>
      </c>
      <c r="O70" s="1575" t="str">
        <f t="shared" si="19"/>
        <v>2015-1</v>
      </c>
      <c r="P70" s="507"/>
    </row>
    <row r="71" spans="1:17" s="117" customFormat="1" ht="30" customHeight="1">
      <c r="A71" s="2718" t="s">
        <v>2786</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70"/>
      <c r="N71" s="595"/>
      <c r="O71" s="1571"/>
      <c r="P71" s="504"/>
    </row>
    <row r="72" spans="1:17" s="117" customFormat="1" ht="15.75" thickBot="1">
      <c r="A72" s="515" t="s">
        <v>2588</v>
      </c>
      <c r="B72" s="516"/>
      <c r="C72" s="517"/>
      <c r="D72" s="518"/>
      <c r="E72" s="518"/>
      <c r="F72" s="518"/>
      <c r="G72" s="518"/>
      <c r="H72" s="518"/>
      <c r="I72" s="518"/>
      <c r="J72" s="518"/>
      <c r="K72" s="518"/>
      <c r="L72" s="518"/>
      <c r="M72" s="519"/>
      <c r="N72" s="518"/>
      <c r="O72" s="1165"/>
      <c r="P72" s="504"/>
      <c r="Q72" s="504"/>
    </row>
    <row r="73" spans="1:17" s="117" customFormat="1" ht="15">
      <c r="A73" s="521" t="s">
        <v>2553</v>
      </c>
      <c r="B73" s="510"/>
      <c r="C73" s="522" t="s">
        <v>2655</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2591</v>
      </c>
      <c r="B75" s="528" t="s">
        <v>2557</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2560</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2787</v>
      </c>
      <c r="C90" s="578" t="s">
        <v>2600</v>
      </c>
      <c r="D90" s="578" t="s">
        <v>2601</v>
      </c>
      <c r="E90" s="578" t="s">
        <v>2602</v>
      </c>
      <c r="F90" s="578" t="s">
        <v>2603</v>
      </c>
      <c r="G90" s="578" t="s">
        <v>2604</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2788</v>
      </c>
      <c r="C96" s="578" t="s">
        <v>2600</v>
      </c>
      <c r="D96" s="578" t="s">
        <v>2601</v>
      </c>
      <c r="E96" s="578" t="s">
        <v>2602</v>
      </c>
      <c r="F96" s="578" t="s">
        <v>2603</v>
      </c>
      <c r="G96" s="578" t="s">
        <v>2604</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2789</v>
      </c>
      <c r="C98" s="573" t="s">
        <v>2600</v>
      </c>
      <c r="D98" s="573" t="s">
        <v>2601</v>
      </c>
      <c r="E98" s="573" t="s">
        <v>2602</v>
      </c>
      <c r="F98" s="573" t="s">
        <v>2603</v>
      </c>
      <c r="G98" s="573" t="s">
        <v>2604</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2694</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2566</v>
      </c>
      <c r="B116" s="528" t="s">
        <v>2794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2795</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2796</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2797</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2798</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2333</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266" t="s">
        <v>2649</v>
      </c>
      <c r="D4" s="3267"/>
      <c r="E4" s="3268" t="s">
        <v>2650</v>
      </c>
      <c r="F4" s="3269"/>
      <c r="G4" s="3266" t="s">
        <v>2651</v>
      </c>
      <c r="H4" s="3267"/>
      <c r="I4" s="3266" t="s">
        <v>2652</v>
      </c>
      <c r="J4" s="3267"/>
      <c r="K4" s="610" t="s">
        <v>2653</v>
      </c>
      <c r="L4" s="1133"/>
      <c r="M4" s="1134"/>
      <c r="N4" s="1134"/>
      <c r="O4" s="1134"/>
      <c r="P4" s="3270" t="s">
        <v>2654</v>
      </c>
      <c r="Q4" s="3271"/>
      <c r="R4" s="3276" t="s">
        <v>2650</v>
      </c>
      <c r="S4" s="3277"/>
      <c r="T4" s="3276" t="s">
        <v>2651</v>
      </c>
      <c r="U4" s="3277"/>
      <c r="V4" s="3282" t="s">
        <v>2652</v>
      </c>
      <c r="W4" s="3282"/>
      <c r="X4" s="1815"/>
      <c r="Y4" s="3276" t="s">
        <v>2654</v>
      </c>
      <c r="Z4" s="3277"/>
      <c r="AA4" s="3263" t="s">
        <v>2650</v>
      </c>
      <c r="AB4" s="3264" t="s">
        <v>2651</v>
      </c>
      <c r="AC4" s="3263" t="s">
        <v>2652</v>
      </c>
    </row>
    <row r="5" spans="1:29" ht="15">
      <c r="A5" s="404"/>
      <c r="B5" s="405"/>
      <c r="C5" s="3285" t="s">
        <v>2545</v>
      </c>
      <c r="D5" s="3286"/>
      <c r="E5" s="3292" t="s">
        <v>2546</v>
      </c>
      <c r="F5" s="3293"/>
      <c r="G5" s="3285" t="s">
        <v>2547</v>
      </c>
      <c r="H5" s="3286"/>
      <c r="I5" s="3285" t="s">
        <v>2548</v>
      </c>
      <c r="J5" s="3286"/>
      <c r="K5" s="610"/>
      <c r="L5" s="1133"/>
      <c r="M5" s="1134"/>
      <c r="N5" s="1134"/>
      <c r="O5" s="1134"/>
      <c r="P5" s="3272"/>
      <c r="Q5" s="3273"/>
      <c r="R5" s="3278"/>
      <c r="S5" s="3279"/>
      <c r="T5" s="3278"/>
      <c r="U5" s="3279"/>
      <c r="V5" s="3282"/>
      <c r="W5" s="3282"/>
      <c r="X5" s="1815"/>
      <c r="Y5" s="3278"/>
      <c r="Z5" s="3279"/>
      <c r="AA5" s="3264"/>
      <c r="AB5" s="3264"/>
      <c r="AC5" s="3264"/>
    </row>
    <row r="6" spans="1:29" ht="15.75" thickBot="1">
      <c r="A6" s="406"/>
      <c r="B6" s="407"/>
      <c r="C6" s="3314" t="s">
        <v>2800</v>
      </c>
      <c r="D6" s="3315"/>
      <c r="E6" s="3316" t="s">
        <v>2800</v>
      </c>
      <c r="F6" s="3317"/>
      <c r="G6" s="3314" t="s">
        <v>2800</v>
      </c>
      <c r="H6" s="3315"/>
      <c r="I6" s="3314" t="s">
        <v>2800</v>
      </c>
      <c r="J6" s="3315"/>
      <c r="K6" s="610" t="s">
        <v>2550</v>
      </c>
      <c r="L6" s="1133"/>
      <c r="M6" s="1134"/>
      <c r="N6" s="1134"/>
      <c r="O6" s="1134"/>
      <c r="P6" s="3274"/>
      <c r="Q6" s="3275"/>
      <c r="R6" s="3278"/>
      <c r="S6" s="3279"/>
      <c r="T6" s="3280"/>
      <c r="U6" s="3281"/>
      <c r="V6" s="3282"/>
      <c r="W6" s="3282"/>
      <c r="X6" s="1815"/>
      <c r="Y6" s="3280"/>
      <c r="Z6" s="3281"/>
      <c r="AA6" s="3265"/>
      <c r="AB6" s="3265"/>
      <c r="AC6" s="3265"/>
    </row>
    <row r="7" spans="1:29" s="117" customFormat="1" ht="15.75" thickBot="1">
      <c r="A7" s="408" t="s">
        <v>2551</v>
      </c>
      <c r="B7" s="409"/>
      <c r="C7" s="410">
        <f>'数据-取费表'!B2</f>
        <v>43131</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287" t="s">
        <v>2552</v>
      </c>
      <c r="Q7" s="3289"/>
      <c r="R7" s="770" t="s">
        <v>17</v>
      </c>
      <c r="S7" s="771">
        <f t="shared" ref="S7:S15" si="0">F7</f>
        <v>0</v>
      </c>
      <c r="T7" s="770" t="s">
        <v>17</v>
      </c>
      <c r="U7" s="771">
        <f t="shared" ref="U7:U15" si="1">H7</f>
        <v>0</v>
      </c>
      <c r="V7" s="770" t="s">
        <v>17</v>
      </c>
      <c r="W7" s="771">
        <f t="shared" ref="W7:W15" si="2">J7</f>
        <v>0</v>
      </c>
      <c r="X7" s="772"/>
      <c r="Y7" s="3287" t="s">
        <v>2552</v>
      </c>
      <c r="Z7" s="3288"/>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87" t="s">
        <v>2555</v>
      </c>
      <c r="Q8" s="3288"/>
      <c r="R8" s="770" t="s">
        <v>17</v>
      </c>
      <c r="S8" s="771">
        <f t="shared" si="0"/>
        <v>0</v>
      </c>
      <c r="T8" s="770" t="s">
        <v>17</v>
      </c>
      <c r="U8" s="771">
        <f t="shared" si="1"/>
        <v>0</v>
      </c>
      <c r="V8" s="770" t="s">
        <v>17</v>
      </c>
      <c r="W8" s="771">
        <f t="shared" si="2"/>
        <v>0</v>
      </c>
      <c r="X8" s="772"/>
      <c r="Y8" s="3287" t="s">
        <v>2555</v>
      </c>
      <c r="Z8" s="3288"/>
      <c r="AA8" s="773" t="e">
        <f t="shared" ref="AA8:AA40" si="3">D8/F8</f>
        <v>#DIV/0!</v>
      </c>
      <c r="AB8" s="773" t="e">
        <f t="shared" ref="AB8:AB40" si="4">D8/H8</f>
        <v>#DIV/0!</v>
      </c>
      <c r="AC8" s="773" t="e">
        <f t="shared" ref="AC8:AC40" si="5">D8/J8</f>
        <v>#DIV/0!</v>
      </c>
    </row>
    <row r="9" spans="1:29" s="117" customFormat="1">
      <c r="A9" s="415" t="s">
        <v>2556</v>
      </c>
      <c r="B9" s="71" t="s">
        <v>2557</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251" t="s">
        <v>2558</v>
      </c>
      <c r="Q9" s="1797" t="str">
        <f t="shared" ref="Q9:Q15" si="6">B9</f>
        <v>用途</v>
      </c>
      <c r="R9" s="770" t="s">
        <v>17</v>
      </c>
      <c r="S9" s="771">
        <f t="shared" si="0"/>
        <v>100</v>
      </c>
      <c r="T9" s="770" t="s">
        <v>17</v>
      </c>
      <c r="U9" s="771">
        <f t="shared" si="1"/>
        <v>100</v>
      </c>
      <c r="V9" s="770" t="s">
        <v>17</v>
      </c>
      <c r="W9" s="771">
        <f t="shared" si="2"/>
        <v>100</v>
      </c>
      <c r="X9" s="772"/>
      <c r="Y9" s="3046"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101</v>
      </c>
      <c r="G10" s="432"/>
      <c r="H10" s="136">
        <f>ROUND(100/'数据-取费表'!G16,0)</f>
        <v>101</v>
      </c>
      <c r="I10" s="432"/>
      <c r="J10" s="136">
        <f>ROUND(100/'数据-取费表'!G16,0)</f>
        <v>101</v>
      </c>
      <c r="K10" s="672"/>
      <c r="L10" s="1138"/>
      <c r="M10" s="1139"/>
      <c r="N10" s="1139"/>
      <c r="O10" s="1140"/>
      <c r="P10" s="3251"/>
      <c r="Q10" s="1797" t="str">
        <f t="shared" si="6"/>
        <v>土地使用年限（年）</v>
      </c>
      <c r="R10" s="770" t="s">
        <v>17</v>
      </c>
      <c r="S10" s="771">
        <f t="shared" si="0"/>
        <v>101</v>
      </c>
      <c r="T10" s="770" t="s">
        <v>17</v>
      </c>
      <c r="U10" s="771">
        <f t="shared" si="1"/>
        <v>101</v>
      </c>
      <c r="V10" s="770" t="s">
        <v>17</v>
      </c>
      <c r="W10" s="771">
        <f t="shared" si="2"/>
        <v>101</v>
      </c>
      <c r="X10" s="772"/>
      <c r="Y10" s="3046"/>
      <c r="Z10" s="55" t="str">
        <f t="shared" si="7"/>
        <v>土地使用年限（年）</v>
      </c>
      <c r="AA10" s="773">
        <f t="shared" si="3"/>
        <v>0.99009900990099009</v>
      </c>
      <c r="AB10" s="773">
        <f t="shared" si="4"/>
        <v>0.99009900990099009</v>
      </c>
      <c r="AC10" s="773">
        <f t="shared" si="5"/>
        <v>0.99009900990099009</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51"/>
      <c r="Q11" s="1797"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51"/>
      <c r="Q12" s="1797">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51"/>
      <c r="Q13" s="1797">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51"/>
      <c r="Q14" s="1797">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773">
        <f t="shared" si="5"/>
        <v>1</v>
      </c>
    </row>
    <row r="15" spans="1:29" ht="57">
      <c r="A15" s="440" t="s">
        <v>2562</v>
      </c>
      <c r="B15" s="629" t="s">
        <v>2801</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53" t="s">
        <v>2563</v>
      </c>
      <c r="Q15" s="1812" t="str">
        <f t="shared" si="6"/>
        <v>产业集聚程度</v>
      </c>
      <c r="R15" s="774" t="s">
        <v>17</v>
      </c>
      <c r="S15" s="775">
        <f t="shared" si="0"/>
        <v>100</v>
      </c>
      <c r="T15" s="774" t="s">
        <v>17</v>
      </c>
      <c r="U15" s="775">
        <f t="shared" si="1"/>
        <v>100</v>
      </c>
      <c r="V15" s="774" t="s">
        <v>17</v>
      </c>
      <c r="W15" s="775">
        <f t="shared" si="2"/>
        <v>100</v>
      </c>
      <c r="X15" s="1815"/>
      <c r="Y15" s="3253" t="s">
        <v>2563</v>
      </c>
      <c r="Z15" s="1816" t="str">
        <f t="shared" si="7"/>
        <v>产业集聚程度</v>
      </c>
      <c r="AA15" s="1813">
        <f t="shared" si="3"/>
        <v>1</v>
      </c>
      <c r="AB15" s="1813">
        <f t="shared" si="4"/>
        <v>1</v>
      </c>
      <c r="AC15" s="1813">
        <f t="shared" si="5"/>
        <v>1</v>
      </c>
    </row>
    <row r="16" spans="1:29" ht="15">
      <c r="A16" s="428"/>
      <c r="B16" s="630"/>
      <c r="C16" s="447"/>
      <c r="D16" s="448"/>
      <c r="E16" s="2617"/>
      <c r="F16" s="448"/>
      <c r="G16" s="2617"/>
      <c r="H16" s="450"/>
      <c r="I16" s="2617"/>
      <c r="J16" s="448"/>
      <c r="K16" s="672"/>
      <c r="L16" s="1143"/>
      <c r="M16" s="1134"/>
      <c r="N16" s="1134"/>
      <c r="O16" s="1142"/>
      <c r="P16" s="3254"/>
      <c r="Q16" s="1812"/>
      <c r="R16" s="774"/>
      <c r="S16" s="775"/>
      <c r="T16" s="774"/>
      <c r="U16" s="775"/>
      <c r="V16" s="774"/>
      <c r="W16" s="775"/>
      <c r="X16" s="1815"/>
      <c r="Y16" s="3254"/>
      <c r="Z16" s="1816"/>
      <c r="AA16" s="1813">
        <v>1</v>
      </c>
      <c r="AB16" s="1813">
        <v>1</v>
      </c>
      <c r="AC16" s="1813">
        <v>1</v>
      </c>
    </row>
    <row r="17" spans="1:29" ht="85.5">
      <c r="A17" s="428"/>
      <c r="B17" s="631" t="s">
        <v>2712</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54"/>
      <c r="Q17" s="1812" t="str">
        <f>B17</f>
        <v>交通便捷度</v>
      </c>
      <c r="R17" s="774" t="s">
        <v>17</v>
      </c>
      <c r="S17" s="775">
        <f>F17</f>
        <v>100</v>
      </c>
      <c r="T17" s="774" t="s">
        <v>17</v>
      </c>
      <c r="U17" s="775">
        <f>H17</f>
        <v>100</v>
      </c>
      <c r="V17" s="774" t="s">
        <v>17</v>
      </c>
      <c r="W17" s="775">
        <f>J17</f>
        <v>100</v>
      </c>
      <c r="X17" s="1815"/>
      <c r="Y17" s="3254"/>
      <c r="Z17" s="1816" t="str">
        <f>Q17</f>
        <v>交通便捷度</v>
      </c>
      <c r="AA17" s="1813">
        <f t="shared" si="3"/>
        <v>1</v>
      </c>
      <c r="AB17" s="1813">
        <f t="shared" si="4"/>
        <v>1</v>
      </c>
      <c r="AC17" s="1813">
        <f t="shared" si="5"/>
        <v>1</v>
      </c>
    </row>
    <row r="18" spans="1:29" ht="15">
      <c r="A18" s="428"/>
      <c r="B18" s="632"/>
      <c r="C18" s="447"/>
      <c r="D18" s="448"/>
      <c r="E18" s="2611"/>
      <c r="F18" s="448"/>
      <c r="G18" s="2611"/>
      <c r="H18" s="448"/>
      <c r="I18" s="2610"/>
      <c r="J18" s="448"/>
      <c r="K18" s="672"/>
      <c r="L18" s="1143"/>
      <c r="M18" s="1134"/>
      <c r="N18" s="1134"/>
      <c r="O18" s="1142"/>
      <c r="P18" s="3254"/>
      <c r="Q18" s="1812"/>
      <c r="R18" s="774"/>
      <c r="S18" s="775"/>
      <c r="T18" s="774"/>
      <c r="U18" s="775"/>
      <c r="V18" s="774"/>
      <c r="W18" s="775"/>
      <c r="X18" s="1815"/>
      <c r="Y18" s="3254"/>
      <c r="Z18" s="1816"/>
      <c r="AA18" s="1813">
        <v>1</v>
      </c>
      <c r="AB18" s="1813">
        <v>1</v>
      </c>
      <c r="AC18" s="1813">
        <v>1</v>
      </c>
    </row>
    <row r="19" spans="1:29" ht="15">
      <c r="A19" s="428"/>
      <c r="B19" s="631" t="s">
        <v>2751</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54"/>
      <c r="Q19" s="1812" t="str">
        <f t="shared" ref="Q19:Q33" si="8">B19</f>
        <v>区域土地利用方向</v>
      </c>
      <c r="R19" s="774" t="s">
        <v>17</v>
      </c>
      <c r="S19" s="775">
        <f>F19</f>
        <v>100</v>
      </c>
      <c r="T19" s="774" t="s">
        <v>17</v>
      </c>
      <c r="U19" s="775">
        <f>H19</f>
        <v>100</v>
      </c>
      <c r="V19" s="774" t="s">
        <v>17</v>
      </c>
      <c r="W19" s="775">
        <f>J19</f>
        <v>100</v>
      </c>
      <c r="X19" s="1815"/>
      <c r="Y19" s="3254"/>
      <c r="Z19" s="1816" t="str">
        <f>Q19</f>
        <v>区域土地利用方向</v>
      </c>
      <c r="AA19" s="1813">
        <f t="shared" si="3"/>
        <v>1</v>
      </c>
      <c r="AB19" s="1813">
        <f t="shared" si="4"/>
        <v>1</v>
      </c>
      <c r="AC19" s="1813">
        <f t="shared" si="5"/>
        <v>1</v>
      </c>
    </row>
    <row r="20" spans="1:29" ht="15">
      <c r="A20" s="404"/>
      <c r="B20" s="632"/>
      <c r="C20" s="447"/>
      <c r="D20" s="448"/>
      <c r="E20" s="2611"/>
      <c r="F20" s="448"/>
      <c r="G20" s="2611"/>
      <c r="H20" s="448"/>
      <c r="I20" s="2611"/>
      <c r="J20" s="448"/>
      <c r="K20" s="812"/>
      <c r="L20" s="1143"/>
      <c r="M20" s="1134"/>
      <c r="N20" s="1134"/>
      <c r="O20" s="1142"/>
      <c r="P20" s="3254"/>
      <c r="Q20" s="1812"/>
      <c r="R20" s="774"/>
      <c r="S20" s="775"/>
      <c r="T20" s="774"/>
      <c r="U20" s="775"/>
      <c r="V20" s="774"/>
      <c r="W20" s="775"/>
      <c r="X20" s="1815"/>
      <c r="Y20" s="3254"/>
      <c r="Z20" s="1816"/>
      <c r="AA20" s="1813"/>
      <c r="AB20" s="1813"/>
      <c r="AC20" s="1813"/>
    </row>
    <row r="21" spans="1:29" ht="71.25">
      <c r="A21" s="404"/>
      <c r="B21" s="631" t="s">
        <v>2802</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54"/>
      <c r="Q21" s="1812" t="str">
        <f t="shared" si="8"/>
        <v>环境状况</v>
      </c>
      <c r="R21" s="774" t="s">
        <v>17</v>
      </c>
      <c r="S21" s="775">
        <f>F21</f>
        <v>100</v>
      </c>
      <c r="T21" s="774" t="s">
        <v>17</v>
      </c>
      <c r="U21" s="775">
        <f>H21</f>
        <v>100</v>
      </c>
      <c r="V21" s="774" t="s">
        <v>17</v>
      </c>
      <c r="W21" s="775">
        <f>J21</f>
        <v>100</v>
      </c>
      <c r="X21" s="1815"/>
      <c r="Y21" s="3254"/>
      <c r="Z21" s="1816" t="str">
        <f>Q21</f>
        <v>环境状况</v>
      </c>
      <c r="AA21" s="1813">
        <f t="shared" si="3"/>
        <v>1</v>
      </c>
      <c r="AB21" s="1813">
        <f t="shared" si="4"/>
        <v>1</v>
      </c>
      <c r="AC21" s="1813">
        <f t="shared" si="5"/>
        <v>1</v>
      </c>
    </row>
    <row r="22" spans="1:29" ht="15">
      <c r="A22" s="404"/>
      <c r="B22" s="632"/>
      <c r="C22" s="447"/>
      <c r="D22" s="448"/>
      <c r="E22" s="2617"/>
      <c r="F22" s="448"/>
      <c r="G22" s="2617"/>
      <c r="H22" s="448"/>
      <c r="I22" s="447"/>
      <c r="J22" s="448"/>
      <c r="K22" s="672"/>
      <c r="L22" s="1143"/>
      <c r="M22" s="1134"/>
      <c r="N22" s="1134"/>
      <c r="O22" s="1142"/>
      <c r="P22" s="3254"/>
      <c r="Q22" s="1812"/>
      <c r="R22" s="774"/>
      <c r="S22" s="775"/>
      <c r="T22" s="774"/>
      <c r="U22" s="775"/>
      <c r="V22" s="774"/>
      <c r="W22" s="775"/>
      <c r="X22" s="1815"/>
      <c r="Y22" s="3254"/>
      <c r="Z22" s="1816"/>
      <c r="AA22" s="1813">
        <v>1</v>
      </c>
      <c r="AB22" s="1813">
        <v>1</v>
      </c>
      <c r="AC22" s="1813">
        <v>1</v>
      </c>
    </row>
    <row r="23" spans="1:29" s="117" customFormat="1" ht="42.75">
      <c r="A23" s="649"/>
      <c r="B23" s="633" t="s">
        <v>2657</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54"/>
      <c r="Q23" s="1797" t="str">
        <f t="shared" si="8"/>
        <v>公共配套设施</v>
      </c>
      <c r="R23" s="770" t="s">
        <v>17</v>
      </c>
      <c r="S23" s="771">
        <f>F23</f>
        <v>100</v>
      </c>
      <c r="T23" s="770" t="s">
        <v>17</v>
      </c>
      <c r="U23" s="771">
        <f>H23</f>
        <v>100</v>
      </c>
      <c r="V23" s="770" t="s">
        <v>17</v>
      </c>
      <c r="W23" s="771">
        <f>J23</f>
        <v>100</v>
      </c>
      <c r="X23" s="772"/>
      <c r="Y23" s="3254"/>
      <c r="Z23" s="55" t="str">
        <f>Q23</f>
        <v>公共配套设施</v>
      </c>
      <c r="AA23" s="1813">
        <f>D23/F23</f>
        <v>1</v>
      </c>
      <c r="AB23" s="1813">
        <f>D23/H23</f>
        <v>1</v>
      </c>
      <c r="AC23" s="1813">
        <f>D23/J23</f>
        <v>1</v>
      </c>
    </row>
    <row r="24" spans="1:29" s="117" customFormat="1" ht="15">
      <c r="A24" s="649"/>
      <c r="B24" s="632"/>
      <c r="C24" s="2706"/>
      <c r="D24" s="448"/>
      <c r="E24" s="2617"/>
      <c r="F24" s="448"/>
      <c r="G24" s="2617"/>
      <c r="H24" s="448"/>
      <c r="I24" s="447"/>
      <c r="J24" s="448"/>
      <c r="K24" s="672"/>
      <c r="L24" s="1135"/>
      <c r="M24" s="1136"/>
      <c r="N24" s="1136"/>
      <c r="O24" s="1137"/>
      <c r="P24" s="3254"/>
      <c r="Q24" s="1797"/>
      <c r="R24" s="770"/>
      <c r="S24" s="771"/>
      <c r="T24" s="770"/>
      <c r="U24" s="771"/>
      <c r="V24" s="770"/>
      <c r="W24" s="771"/>
      <c r="X24" s="772"/>
      <c r="Y24" s="3254"/>
      <c r="Z24" s="55"/>
      <c r="AA24" s="773">
        <v>1</v>
      </c>
      <c r="AB24" s="773">
        <v>1</v>
      </c>
      <c r="AC24" s="773">
        <v>1</v>
      </c>
    </row>
    <row r="25" spans="1:29" s="117" customFormat="1" ht="28.5">
      <c r="A25" s="649"/>
      <c r="B25" s="633" t="s">
        <v>2658</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54"/>
      <c r="Q25" s="1797" t="str">
        <f t="shared" ref="Q25" si="9">B25</f>
        <v>基础设施水平</v>
      </c>
      <c r="R25" s="770" t="s">
        <v>17</v>
      </c>
      <c r="S25" s="771">
        <f>F25</f>
        <v>100</v>
      </c>
      <c r="T25" s="770" t="s">
        <v>17</v>
      </c>
      <c r="U25" s="771">
        <f>H25</f>
        <v>100</v>
      </c>
      <c r="V25" s="770" t="s">
        <v>17</v>
      </c>
      <c r="W25" s="771">
        <f>J25</f>
        <v>100</v>
      </c>
      <c r="X25" s="772"/>
      <c r="Y25" s="3254"/>
      <c r="Z25" s="55" t="str">
        <f>Q25</f>
        <v>基础设施水平</v>
      </c>
      <c r="AA25" s="1813">
        <f>D25/F25</f>
        <v>1</v>
      </c>
      <c r="AB25" s="1813">
        <f>D25/H25</f>
        <v>1</v>
      </c>
      <c r="AC25" s="1813">
        <f>D25/J25</f>
        <v>1</v>
      </c>
    </row>
    <row r="26" spans="1:29" s="117" customFormat="1" ht="15">
      <c r="A26" s="649"/>
      <c r="B26" s="632"/>
      <c r="C26" s="2706"/>
      <c r="D26" s="448"/>
      <c r="E26" s="2707"/>
      <c r="F26" s="448"/>
      <c r="G26" s="2707"/>
      <c r="H26" s="448"/>
      <c r="I26" s="2707"/>
      <c r="J26" s="448"/>
      <c r="K26" s="672"/>
      <c r="L26" s="1135"/>
      <c r="M26" s="1136"/>
      <c r="N26" s="1136"/>
      <c r="O26" s="1137"/>
      <c r="P26" s="3254"/>
      <c r="Q26" s="1797"/>
      <c r="R26" s="770"/>
      <c r="S26" s="771"/>
      <c r="T26" s="770"/>
      <c r="U26" s="771"/>
      <c r="V26" s="770"/>
      <c r="W26" s="771"/>
      <c r="X26" s="772"/>
      <c r="Y26" s="3254"/>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54"/>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54"/>
      <c r="Z27" s="1816" t="str">
        <f t="shared" ref="Z27:Z40" si="13">Q27</f>
        <v>临街状况</v>
      </c>
      <c r="AA27" s="1813">
        <f t="shared" si="3"/>
        <v>1</v>
      </c>
      <c r="AB27" s="1813">
        <f t="shared" si="4"/>
        <v>1</v>
      </c>
      <c r="AC27" s="1813">
        <f t="shared" si="5"/>
        <v>1</v>
      </c>
    </row>
    <row r="28" spans="1:29" ht="27">
      <c r="A28" s="428"/>
      <c r="B28" s="633" t="s">
        <v>2694</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54"/>
      <c r="Q28" s="1812" t="str">
        <f t="shared" si="8"/>
        <v>毗邻道路的类型与等级</v>
      </c>
      <c r="R28" s="774" t="s">
        <v>17</v>
      </c>
      <c r="S28" s="775">
        <f t="shared" si="10"/>
        <v>100</v>
      </c>
      <c r="T28" s="774" t="s">
        <v>17</v>
      </c>
      <c r="U28" s="775">
        <f t="shared" si="11"/>
        <v>100</v>
      </c>
      <c r="V28" s="774" t="s">
        <v>17</v>
      </c>
      <c r="W28" s="775">
        <f t="shared" si="12"/>
        <v>100</v>
      </c>
      <c r="X28" s="1815"/>
      <c r="Y28" s="3254"/>
      <c r="Z28" s="1816" t="str">
        <f t="shared" si="13"/>
        <v>毗邻道路的类型与等级</v>
      </c>
      <c r="AA28" s="1813">
        <f t="shared" si="3"/>
        <v>1</v>
      </c>
      <c r="AB28" s="1813">
        <f t="shared" si="4"/>
        <v>1</v>
      </c>
      <c r="AC28" s="1813">
        <f t="shared" si="5"/>
        <v>1</v>
      </c>
    </row>
    <row r="29" spans="1:29" ht="15">
      <c r="A29" s="428"/>
      <c r="B29" s="632"/>
      <c r="C29" s="447"/>
      <c r="D29" s="448"/>
      <c r="E29" s="2617"/>
      <c r="F29" s="448"/>
      <c r="G29" s="2617"/>
      <c r="H29" s="448"/>
      <c r="I29" s="2617"/>
      <c r="J29" s="448"/>
      <c r="K29" s="613"/>
      <c r="L29" s="1143"/>
      <c r="M29" s="1134"/>
      <c r="N29" s="1134"/>
      <c r="O29" s="1142"/>
      <c r="P29" s="3254"/>
      <c r="Q29" s="1812"/>
      <c r="R29" s="774"/>
      <c r="S29" s="775"/>
      <c r="T29" s="774"/>
      <c r="U29" s="775"/>
      <c r="V29" s="774"/>
      <c r="W29" s="775"/>
      <c r="X29" s="1815"/>
      <c r="Y29" s="3254"/>
      <c r="Z29" s="1816"/>
      <c r="AA29" s="1813">
        <v>1</v>
      </c>
      <c r="AB29" s="1813">
        <v>1</v>
      </c>
      <c r="AC29" s="1813">
        <v>1</v>
      </c>
    </row>
    <row r="30" spans="1:29" ht="15">
      <c r="A30" s="428"/>
      <c r="B30" s="654" t="s">
        <v>2753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54"/>
      <c r="Q30" s="1812" t="str">
        <f t="shared" si="8"/>
        <v>土地级别</v>
      </c>
      <c r="R30" s="774" t="s">
        <v>17</v>
      </c>
      <c r="S30" s="775">
        <f t="shared" si="10"/>
        <v>100</v>
      </c>
      <c r="T30" s="774" t="s">
        <v>17</v>
      </c>
      <c r="U30" s="775">
        <f t="shared" si="11"/>
        <v>100</v>
      </c>
      <c r="V30" s="774" t="s">
        <v>17</v>
      </c>
      <c r="W30" s="775">
        <f t="shared" si="12"/>
        <v>100</v>
      </c>
      <c r="X30" s="1815"/>
      <c r="Y30" s="3254"/>
      <c r="Z30" s="1816" t="str">
        <f t="shared" si="13"/>
        <v>土地级别</v>
      </c>
      <c r="AA30" s="1813">
        <f t="shared" si="3"/>
        <v>1</v>
      </c>
      <c r="AB30" s="1813">
        <f t="shared" si="4"/>
        <v>1</v>
      </c>
      <c r="AC30" s="1813">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54"/>
      <c r="Q31" s="1812">
        <f t="shared" si="8"/>
        <v>111</v>
      </c>
      <c r="R31" s="774" t="s">
        <v>17</v>
      </c>
      <c r="S31" s="775">
        <f t="shared" si="10"/>
        <v>100</v>
      </c>
      <c r="T31" s="774" t="s">
        <v>17</v>
      </c>
      <c r="U31" s="775">
        <f t="shared" si="11"/>
        <v>100</v>
      </c>
      <c r="V31" s="774" t="s">
        <v>17</v>
      </c>
      <c r="W31" s="775">
        <f t="shared" si="12"/>
        <v>100</v>
      </c>
      <c r="X31" s="1815"/>
      <c r="Y31" s="3254"/>
      <c r="Z31" s="1816">
        <f t="shared" si="13"/>
        <v>111</v>
      </c>
      <c r="AA31" s="1813">
        <f t="shared" si="3"/>
        <v>1</v>
      </c>
      <c r="AB31" s="1813">
        <f t="shared" si="4"/>
        <v>1</v>
      </c>
      <c r="AC31" s="1813">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09" t="s">
        <v>2568</v>
      </c>
      <c r="Q32" s="1812">
        <f t="shared" si="8"/>
        <v>111</v>
      </c>
      <c r="R32" s="774" t="s">
        <v>17</v>
      </c>
      <c r="S32" s="775">
        <f t="shared" si="10"/>
        <v>100</v>
      </c>
      <c r="T32" s="774" t="s">
        <v>17</v>
      </c>
      <c r="U32" s="775">
        <f t="shared" si="11"/>
        <v>100</v>
      </c>
      <c r="V32" s="774" t="s">
        <v>17</v>
      </c>
      <c r="W32" s="775">
        <f t="shared" si="12"/>
        <v>100</v>
      </c>
      <c r="X32" s="1815"/>
      <c r="Y32" s="3258" t="s">
        <v>2568</v>
      </c>
      <c r="Z32" s="1816">
        <f t="shared" si="13"/>
        <v>111</v>
      </c>
      <c r="AA32" s="1813">
        <f t="shared" si="3"/>
        <v>1</v>
      </c>
      <c r="AB32" s="1813">
        <f t="shared" si="4"/>
        <v>1</v>
      </c>
      <c r="AC32" s="1813">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58"/>
      <c r="Q33" s="1812">
        <f t="shared" si="8"/>
        <v>111</v>
      </c>
      <c r="R33" s="777" t="s">
        <v>17</v>
      </c>
      <c r="S33" s="778">
        <f t="shared" si="10"/>
        <v>100</v>
      </c>
      <c r="T33" s="777" t="s">
        <v>17</v>
      </c>
      <c r="U33" s="778">
        <f t="shared" si="11"/>
        <v>100</v>
      </c>
      <c r="V33" s="777" t="s">
        <v>17</v>
      </c>
      <c r="W33" s="778">
        <f t="shared" si="12"/>
        <v>100</v>
      </c>
      <c r="X33" s="779"/>
      <c r="Y33" s="3258"/>
      <c r="Z33" s="780">
        <f t="shared" si="13"/>
        <v>111</v>
      </c>
      <c r="AA33" s="1813">
        <f t="shared" si="3"/>
        <v>1</v>
      </c>
      <c r="AB33" s="1813">
        <f t="shared" si="4"/>
        <v>1</v>
      </c>
      <c r="AC33" s="1813">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58"/>
      <c r="Q34" s="1812" t="str">
        <f>B34</f>
        <v>宗地面积</v>
      </c>
      <c r="R34" s="774" t="s">
        <v>17</v>
      </c>
      <c r="S34" s="775" t="e">
        <f t="shared" si="10"/>
        <v>#N/A</v>
      </c>
      <c r="T34" s="774" t="s">
        <v>17</v>
      </c>
      <c r="U34" s="775" t="e">
        <f t="shared" si="11"/>
        <v>#N/A</v>
      </c>
      <c r="V34" s="774" t="s">
        <v>17</v>
      </c>
      <c r="W34" s="775" t="e">
        <f t="shared" si="12"/>
        <v>#N/A</v>
      </c>
      <c r="X34" s="1815"/>
      <c r="Y34" s="3258"/>
      <c r="Z34" s="1816" t="str">
        <f t="shared" si="13"/>
        <v>宗地面积</v>
      </c>
      <c r="AA34" s="1813" t="e">
        <f t="shared" si="3"/>
        <v>#N/A</v>
      </c>
      <c r="AB34" s="1813" t="e">
        <f t="shared" si="4"/>
        <v>#N/A</v>
      </c>
      <c r="AC34" s="1813" t="e">
        <f t="shared" si="5"/>
        <v>#N/A</v>
      </c>
    </row>
    <row r="35" spans="1:29" ht="15">
      <c r="A35" s="472"/>
      <c r="B35" s="422" t="s">
        <v>2755</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258"/>
      <c r="Q35" s="1812" t="str">
        <f t="shared" ref="Q35:Q40" si="14">B35</f>
        <v>宗地形状</v>
      </c>
      <c r="R35" s="774" t="s">
        <v>17</v>
      </c>
      <c r="S35" s="775">
        <f t="shared" si="10"/>
        <v>100</v>
      </c>
      <c r="T35" s="774" t="s">
        <v>17</v>
      </c>
      <c r="U35" s="775">
        <f t="shared" si="11"/>
        <v>100</v>
      </c>
      <c r="V35" s="774" t="s">
        <v>17</v>
      </c>
      <c r="W35" s="775">
        <f t="shared" si="12"/>
        <v>100</v>
      </c>
      <c r="X35" s="1815"/>
      <c r="Y35" s="3258"/>
      <c r="Z35" s="1816" t="str">
        <f t="shared" si="13"/>
        <v>宗地形状</v>
      </c>
      <c r="AA35" s="1813">
        <f t="shared" si="3"/>
        <v>1</v>
      </c>
      <c r="AB35" s="1813">
        <f t="shared" si="4"/>
        <v>1</v>
      </c>
      <c r="AC35" s="1813">
        <f t="shared" si="5"/>
        <v>1</v>
      </c>
    </row>
    <row r="36" spans="1:29" s="117" customFormat="1" ht="15">
      <c r="A36" s="473"/>
      <c r="B36" s="422" t="s">
        <v>2757</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258"/>
      <c r="Q36" s="1812" t="str">
        <f t="shared" si="14"/>
        <v>宗地开发程度</v>
      </c>
      <c r="R36" s="770" t="s">
        <v>17</v>
      </c>
      <c r="S36" s="771">
        <f t="shared" si="10"/>
        <v>100</v>
      </c>
      <c r="T36" s="770" t="s">
        <v>17</v>
      </c>
      <c r="U36" s="771">
        <f t="shared" si="11"/>
        <v>100</v>
      </c>
      <c r="V36" s="770" t="s">
        <v>17</v>
      </c>
      <c r="W36" s="771">
        <f t="shared" si="12"/>
        <v>100</v>
      </c>
      <c r="X36" s="772"/>
      <c r="Y36" s="3258"/>
      <c r="Z36" s="55" t="str">
        <f t="shared" si="13"/>
        <v>宗地开发程度</v>
      </c>
      <c r="AA36" s="773">
        <f t="shared" si="3"/>
        <v>1</v>
      </c>
      <c r="AB36" s="773">
        <f t="shared" si="4"/>
        <v>1</v>
      </c>
      <c r="AC36" s="773">
        <f t="shared" si="5"/>
        <v>1</v>
      </c>
    </row>
    <row r="37" spans="1:29" ht="15">
      <c r="A37" s="472"/>
      <c r="B37" s="422" t="s">
        <v>2758</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258" t="s">
        <v>2568</v>
      </c>
      <c r="Q37" s="1812" t="str">
        <f t="shared" si="14"/>
        <v>工程地质条件</v>
      </c>
      <c r="R37" s="774" t="s">
        <v>17</v>
      </c>
      <c r="S37" s="775">
        <f t="shared" si="10"/>
        <v>100</v>
      </c>
      <c r="T37" s="774" t="s">
        <v>17</v>
      </c>
      <c r="U37" s="775">
        <f t="shared" si="11"/>
        <v>100</v>
      </c>
      <c r="V37" s="774" t="s">
        <v>17</v>
      </c>
      <c r="W37" s="775">
        <f t="shared" si="12"/>
        <v>100</v>
      </c>
      <c r="X37" s="1815"/>
      <c r="Y37" s="3258" t="s">
        <v>2568</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58"/>
      <c r="Q38" s="1812">
        <f t="shared" si="14"/>
        <v>111</v>
      </c>
      <c r="R38" s="774" t="s">
        <v>17</v>
      </c>
      <c r="S38" s="775">
        <f t="shared" si="10"/>
        <v>100</v>
      </c>
      <c r="T38" s="774" t="s">
        <v>17</v>
      </c>
      <c r="U38" s="775">
        <f t="shared" si="11"/>
        <v>100</v>
      </c>
      <c r="V38" s="774" t="s">
        <v>17</v>
      </c>
      <c r="W38" s="775">
        <f t="shared" si="12"/>
        <v>100</v>
      </c>
      <c r="X38" s="1815"/>
      <c r="Y38" s="3258"/>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58"/>
      <c r="Q39" s="1812">
        <f t="shared" si="14"/>
        <v>111</v>
      </c>
      <c r="R39" s="774" t="s">
        <v>17</v>
      </c>
      <c r="S39" s="775">
        <f t="shared" si="10"/>
        <v>100</v>
      </c>
      <c r="T39" s="774" t="s">
        <v>17</v>
      </c>
      <c r="U39" s="775">
        <f t="shared" si="11"/>
        <v>100</v>
      </c>
      <c r="V39" s="774" t="s">
        <v>17</v>
      </c>
      <c r="W39" s="775">
        <f t="shared" si="12"/>
        <v>100</v>
      </c>
      <c r="X39" s="1815"/>
      <c r="Y39" s="3258"/>
      <c r="Z39" s="1816">
        <f t="shared" si="13"/>
        <v>111</v>
      </c>
      <c r="AA39" s="1813">
        <f t="shared" si="3"/>
        <v>1</v>
      </c>
      <c r="AB39" s="1813">
        <f t="shared" si="4"/>
        <v>1</v>
      </c>
      <c r="AC39" s="1813">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58"/>
      <c r="Q40" s="1812">
        <f t="shared" si="14"/>
        <v>111</v>
      </c>
      <c r="R40" s="777" t="s">
        <v>17</v>
      </c>
      <c r="S40" s="778">
        <f t="shared" si="10"/>
        <v>100</v>
      </c>
      <c r="T40" s="777" t="s">
        <v>17</v>
      </c>
      <c r="U40" s="778">
        <f t="shared" si="11"/>
        <v>100</v>
      </c>
      <c r="V40" s="777" t="s">
        <v>17</v>
      </c>
      <c r="W40" s="778">
        <f t="shared" si="12"/>
        <v>100</v>
      </c>
      <c r="X40" s="779"/>
      <c r="Y40" s="3258"/>
      <c r="Z40" s="780">
        <f t="shared" si="13"/>
        <v>111</v>
      </c>
      <c r="AA40" s="1813">
        <f t="shared" si="3"/>
        <v>1</v>
      </c>
      <c r="AB40" s="1813">
        <f t="shared" si="4"/>
        <v>1</v>
      </c>
      <c r="AC40" s="1813">
        <f t="shared" si="5"/>
        <v>1</v>
      </c>
    </row>
    <row r="41" spans="1:29" ht="15">
      <c r="A41" s="479" t="s">
        <v>2723</v>
      </c>
      <c r="B41" s="2710" t="s">
        <v>2803</v>
      </c>
      <c r="C41" s="682" t="s">
        <v>1</v>
      </c>
      <c r="D41" s="481"/>
      <c r="E41" s="482"/>
      <c r="F41" s="483"/>
      <c r="G41" s="484"/>
      <c r="H41" s="485"/>
      <c r="I41" s="482"/>
      <c r="J41" s="485"/>
      <c r="K41" s="783"/>
      <c r="L41" s="1146"/>
      <c r="M41" s="1134"/>
      <c r="N41" s="1134"/>
      <c r="O41" s="1147"/>
      <c r="P41" s="3251" t="str">
        <f>A41</f>
        <v>成交单价</v>
      </c>
      <c r="Q41" s="3251"/>
      <c r="R41" s="3282">
        <f>E41</f>
        <v>0</v>
      </c>
      <c r="S41" s="3282"/>
      <c r="T41" s="3282">
        <f>G41</f>
        <v>0</v>
      </c>
      <c r="U41" s="3282"/>
      <c r="V41" s="3282">
        <f>I41</f>
        <v>0</v>
      </c>
      <c r="W41" s="3282"/>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6"/>
      <c r="M42" s="1134"/>
      <c r="N42" s="1134"/>
      <c r="O42" s="1147"/>
      <c r="P42" s="3251" t="str">
        <f>A42</f>
        <v>比较价值（元/平方米）</v>
      </c>
      <c r="Q42" s="3251"/>
      <c r="R42" s="3310" t="e">
        <f>ROUND(PRODUCT(R41,AA7:AA40),0)</f>
        <v>#DIV/0!</v>
      </c>
      <c r="S42" s="3310"/>
      <c r="T42" s="3310" t="e">
        <f>ROUND(PRODUCT(T41,AB7:AB40),0)</f>
        <v>#DIV/0!</v>
      </c>
      <c r="U42" s="3310"/>
      <c r="V42" s="3310" t="e">
        <f>ROUND(PRODUCT(V41,AC7:AC40),0)</f>
        <v>#DIV/0!</v>
      </c>
      <c r="W42" s="3310"/>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6"/>
      <c r="M43" s="1134"/>
      <c r="N43" s="1134"/>
      <c r="O43" s="1147"/>
      <c r="P43" s="3248" t="str">
        <f>A43</f>
        <v>估价对象XX用房的比较价值（楼面单价，元/平方米）</v>
      </c>
      <c r="Q43" s="3249"/>
      <c r="R43" s="3311" t="e">
        <f>ROUND(AVERAGE(R42:V42),0)</f>
        <v>#DIV/0!</v>
      </c>
      <c r="S43" s="3311"/>
      <c r="T43" s="3311"/>
      <c r="U43" s="3311"/>
      <c r="V43" s="3311"/>
      <c r="W43" s="331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2761</v>
      </c>
      <c r="B50" s="685" t="s">
        <v>2762</v>
      </c>
      <c r="C50" s="2711" t="s">
        <v>2763</v>
      </c>
      <c r="D50" s="2712" t="s">
        <v>2764</v>
      </c>
      <c r="E50" s="686" t="s">
        <v>2765</v>
      </c>
      <c r="F50" s="687" t="s">
        <v>2766</v>
      </c>
      <c r="G50" s="3266" t="s">
        <v>2767</v>
      </c>
      <c r="H50" s="3312"/>
      <c r="I50" s="1816" t="s">
        <v>2804</v>
      </c>
      <c r="J50" s="1816">
        <f>项目基本情况!F35</f>
        <v>0</v>
      </c>
      <c r="K50" s="2714" t="s">
        <v>2769</v>
      </c>
      <c r="L50" s="1109"/>
      <c r="M50" s="1147"/>
      <c r="N50" s="1147"/>
      <c r="O50" s="1147"/>
    </row>
    <row r="51" spans="1:17" s="692" customFormat="1">
      <c r="A51" s="688" t="s">
        <v>2770</v>
      </c>
      <c r="B51" s="689" t="e">
        <f>C43</f>
        <v>#DIV/0!</v>
      </c>
      <c r="C51" s="690">
        <v>1</v>
      </c>
      <c r="D51" s="1166">
        <v>1</v>
      </c>
      <c r="E51" s="690">
        <f>'数据-汇总表'!E8+'数据-汇总表'!E9</f>
        <v>24763.08</v>
      </c>
      <c r="F51" s="691" t="e">
        <f t="shared" ref="F51:F60" si="15">ROUND(B51*E51/10000,0)</f>
        <v>#DIV/0!</v>
      </c>
      <c r="G51" s="3262"/>
      <c r="H51" s="3251"/>
      <c r="I51" s="945">
        <v>1</v>
      </c>
      <c r="J51" s="945">
        <v>1</v>
      </c>
      <c r="K51" s="1148"/>
      <c r="L51" s="944"/>
      <c r="M51" s="944"/>
      <c r="N51" s="944"/>
      <c r="O51" s="944"/>
    </row>
    <row r="52" spans="1:17" s="692" customFormat="1">
      <c r="A52" s="693" t="s">
        <v>2771</v>
      </c>
      <c r="B52" s="262" t="e">
        <f>ROUND($C$43*C52*D52,0)</f>
        <v>#DIV/0!</v>
      </c>
      <c r="C52" s="200">
        <f t="shared" ref="C52:C60" si="16">IF($C$50="北京市系数",I52,J52)</f>
        <v>0.8</v>
      </c>
      <c r="D52" s="1167">
        <v>0.25</v>
      </c>
      <c r="E52" s="694"/>
      <c r="F52" s="691" t="e">
        <f t="shared" si="15"/>
        <v>#DIV/0!</v>
      </c>
      <c r="G52" s="3313" t="s">
        <v>2772</v>
      </c>
      <c r="H52" s="1107" t="str">
        <f>项目基本情况!B37</f>
        <v>二级</v>
      </c>
      <c r="I52" s="945">
        <f>SUMIF(修正!A45:A56,H52,修正!B45:B56)</f>
        <v>0.8</v>
      </c>
      <c r="J52" s="946"/>
      <c r="K52" s="1147"/>
      <c r="L52" s="944"/>
      <c r="M52" s="944"/>
      <c r="N52" s="944"/>
      <c r="O52" s="944"/>
    </row>
    <row r="53" spans="1:17" s="692" customFormat="1">
      <c r="A53" s="693" t="s">
        <v>2773</v>
      </c>
      <c r="B53" s="262" t="e">
        <f t="shared" ref="B53:B60" si="17">ROUND($C$43*C53*D53,0)</f>
        <v>#DIV/0!</v>
      </c>
      <c r="C53" s="200">
        <f t="shared" si="16"/>
        <v>0.5</v>
      </c>
      <c r="D53" s="1167">
        <v>0.25</v>
      </c>
      <c r="E53" s="694"/>
      <c r="F53" s="691" t="e">
        <f t="shared" si="15"/>
        <v>#DIV/0!</v>
      </c>
      <c r="G53" s="3313"/>
      <c r="H53" s="1107" t="str">
        <f>项目基本情况!B37</f>
        <v>二级</v>
      </c>
      <c r="I53" s="945">
        <f>SUMIF(修正!A45:A56,H53,修正!C45:C56)</f>
        <v>0.5</v>
      </c>
      <c r="J53" s="946"/>
      <c r="K53" s="1148"/>
      <c r="L53" s="944"/>
      <c r="M53" s="944"/>
      <c r="N53" s="944"/>
      <c r="O53" s="944"/>
    </row>
    <row r="54" spans="1:17" s="692" customFormat="1">
      <c r="A54" s="693" t="s">
        <v>2774</v>
      </c>
      <c r="B54" s="262" t="e">
        <f t="shared" si="17"/>
        <v>#DIV/0!</v>
      </c>
      <c r="C54" s="200">
        <f t="shared" si="16"/>
        <v>0.36</v>
      </c>
      <c r="D54" s="1167">
        <v>0.25</v>
      </c>
      <c r="E54" s="694"/>
      <c r="F54" s="691" t="e">
        <f t="shared" si="15"/>
        <v>#DIV/0!</v>
      </c>
      <c r="G54" s="3313"/>
      <c r="H54" s="1107" t="str">
        <f>项目基本情况!B37</f>
        <v>二级</v>
      </c>
      <c r="I54" s="945">
        <f>SUMIF(修正!A45:A56,H54,修正!D45:D56)</f>
        <v>0.36</v>
      </c>
      <c r="J54" s="946"/>
      <c r="K54" s="1147"/>
      <c r="L54" s="944"/>
      <c r="M54" s="944"/>
      <c r="N54" s="944"/>
      <c r="O54" s="944"/>
    </row>
    <row r="55" spans="1:17" s="692" customFormat="1">
      <c r="A55" s="693" t="s">
        <v>2775</v>
      </c>
      <c r="B55" s="262" t="e">
        <f t="shared" si="17"/>
        <v>#DIV/0!</v>
      </c>
      <c r="C55" s="200">
        <f t="shared" si="16"/>
        <v>0.3</v>
      </c>
      <c r="D55" s="1167">
        <v>0.25</v>
      </c>
      <c r="E55" s="694"/>
      <c r="F55" s="691" t="e">
        <f t="shared" si="15"/>
        <v>#DIV/0!</v>
      </c>
      <c r="G55" s="3313"/>
      <c r="H55" s="1107" t="str">
        <f>项目基本情况!B37</f>
        <v>二级</v>
      </c>
      <c r="I55" s="945">
        <f>SUMIF(修正!A45:A56,H55,修正!E45:E56)</f>
        <v>0.3</v>
      </c>
      <c r="J55" s="946"/>
      <c r="K55" s="1148"/>
      <c r="L55" s="944"/>
      <c r="M55" s="944"/>
      <c r="N55" s="944"/>
      <c r="O55" s="944"/>
    </row>
    <row r="56" spans="1:17" s="692" customFormat="1">
      <c r="A56" s="693" t="s">
        <v>2776</v>
      </c>
      <c r="B56" s="262" t="e">
        <f t="shared" si="17"/>
        <v>#DIV/0!</v>
      </c>
      <c r="C56" s="200">
        <f t="shared" si="16"/>
        <v>0</v>
      </c>
      <c r="D56" s="1167">
        <v>0.25</v>
      </c>
      <c r="E56" s="261">
        <f>'数据-汇总表'!E11</f>
        <v>0</v>
      </c>
      <c r="F56" s="691" t="e">
        <f t="shared" si="15"/>
        <v>#DIV/0!</v>
      </c>
      <c r="G56" s="2715" t="s">
        <v>2777</v>
      </c>
      <c r="H56" s="1107">
        <f>项目基本情况!C37</f>
        <v>0</v>
      </c>
      <c r="I56" s="945">
        <f>SUMIF(修正!A45:A56,H56,修正!F45:F56)</f>
        <v>0</v>
      </c>
      <c r="J56" s="946"/>
      <c r="K56" s="1147"/>
      <c r="L56" s="944"/>
      <c r="M56" s="944"/>
      <c r="N56" s="944"/>
      <c r="O56" s="944"/>
    </row>
    <row r="57" spans="1:17" s="692" customFormat="1">
      <c r="A57" s="693" t="s">
        <v>2778</v>
      </c>
      <c r="B57" s="262" t="e">
        <f t="shared" si="17"/>
        <v>#DIV/0!</v>
      </c>
      <c r="C57" s="200">
        <f t="shared" si="16"/>
        <v>0</v>
      </c>
      <c r="D57" s="1167">
        <v>0.25</v>
      </c>
      <c r="E57" s="261">
        <f>'数据-汇总表'!E12</f>
        <v>0</v>
      </c>
      <c r="F57" s="691" t="e">
        <f t="shared" si="15"/>
        <v>#DIV/0!</v>
      </c>
      <c r="G57" s="1112" t="s">
        <v>2779</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2780</v>
      </c>
      <c r="B58" s="262" t="e">
        <f t="shared" si="17"/>
        <v>#DIV/0!</v>
      </c>
      <c r="C58" s="200">
        <f t="shared" si="16"/>
        <v>0</v>
      </c>
      <c r="D58" s="1167">
        <v>0.25</v>
      </c>
      <c r="E58" s="261">
        <f>'数据-汇总表'!E13</f>
        <v>0</v>
      </c>
      <c r="F58" s="691" t="e">
        <f t="shared" si="15"/>
        <v>#DIV/0!</v>
      </c>
      <c r="G58" s="1112" t="s">
        <v>2781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2782</v>
      </c>
      <c r="B59" s="262" t="e">
        <f t="shared" si="17"/>
        <v>#DIV/0!</v>
      </c>
      <c r="C59" s="200">
        <f t="shared" si="16"/>
        <v>0.25</v>
      </c>
      <c r="D59" s="1167">
        <v>0.25</v>
      </c>
      <c r="E59" s="261">
        <f>'数据-汇总表'!E14</f>
        <v>0</v>
      </c>
      <c r="F59" s="691" t="e">
        <f t="shared" si="15"/>
        <v>#DIV/0!</v>
      </c>
      <c r="G59" s="2715" t="s">
        <v>2772</v>
      </c>
      <c r="H59" s="1107" t="str">
        <f>项目基本情况!B37</f>
        <v>二级</v>
      </c>
      <c r="I59" s="945">
        <f>SUMIF(修正!A45:A56,H59,修正!H45:H56)</f>
        <v>0.25</v>
      </c>
      <c r="J59" s="946"/>
      <c r="K59" s="1148"/>
      <c r="L59" s="944"/>
      <c r="M59" s="944"/>
      <c r="N59" s="944"/>
      <c r="O59" s="944"/>
    </row>
    <row r="60" spans="1:17" s="692" customFormat="1" ht="15" thickBot="1">
      <c r="A60" s="693" t="s">
        <v>2783</v>
      </c>
      <c r="B60" s="262" t="e">
        <f t="shared" si="17"/>
        <v>#DIV/0!</v>
      </c>
      <c r="C60" s="200">
        <f t="shared" si="16"/>
        <v>0</v>
      </c>
      <c r="D60" s="1167">
        <v>0.25</v>
      </c>
      <c r="E60" s="261">
        <f>'数据-汇总表'!E15</f>
        <v>0</v>
      </c>
      <c r="F60" s="691" t="e">
        <f t="shared" si="15"/>
        <v>#DIV/0!</v>
      </c>
      <c r="G60" s="2716" t="s">
        <v>2777</v>
      </c>
      <c r="H60" s="1117">
        <f>项目基本情况!C37</f>
        <v>0</v>
      </c>
      <c r="I60" s="945">
        <f>SUMIF(修正!A45:A56,H60,修正!H45:H56)</f>
        <v>0</v>
      </c>
      <c r="J60" s="946"/>
      <c r="K60" s="1147"/>
      <c r="L60" s="944"/>
      <c r="M60" s="944"/>
      <c r="N60" s="944"/>
      <c r="O60" s="944"/>
    </row>
    <row r="61" spans="1:17" s="692" customFormat="1" ht="15" thickBot="1">
      <c r="A61" s="695" t="s">
        <v>2784</v>
      </c>
      <c r="B61" s="696" t="s">
        <v>28</v>
      </c>
      <c r="C61" s="696" t="s">
        <v>29</v>
      </c>
      <c r="D61" s="696" t="s">
        <v>1029</v>
      </c>
      <c r="E61" s="696">
        <f>IF(B41="楼面地价",SUM(E51:E60),'数据-汇总表'!D3)</f>
        <v>8452.18</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2677</v>
      </c>
      <c r="B64" s="759"/>
      <c r="C64" s="764"/>
      <c r="D64" s="764"/>
      <c r="E64" s="764"/>
      <c r="F64" s="765"/>
      <c r="G64" s="765"/>
      <c r="H64" s="764"/>
      <c r="I64" s="764"/>
      <c r="J64" s="764"/>
      <c r="K64" s="766"/>
      <c r="L64" s="767"/>
      <c r="M64" s="764"/>
      <c r="N64" s="764"/>
      <c r="O64" s="1162"/>
      <c r="P64" s="503"/>
      <c r="Q64" s="504"/>
    </row>
    <row r="65" spans="1:17" s="508" customFormat="1" ht="15">
      <c r="A65" s="2717" t="s">
        <v>2785</v>
      </c>
      <c r="B65" s="1362"/>
      <c r="C65" s="1575" t="str">
        <f>YEAR(C63)&amp;"-"&amp;ROUNDUP(MONTH(C63)/3,0)</f>
        <v>2018-1</v>
      </c>
      <c r="D65" s="1575" t="str">
        <f t="shared" ref="D65:O65" si="19">YEAR(D63)&amp;"-"&amp;ROUNDUP(MONTH(D63)/3,0)</f>
        <v>2017-4</v>
      </c>
      <c r="E65" s="1575" t="str">
        <f t="shared" si="19"/>
        <v>2017-3</v>
      </c>
      <c r="F65" s="1575" t="str">
        <f t="shared" si="19"/>
        <v>2017-2</v>
      </c>
      <c r="G65" s="1575" t="str">
        <f t="shared" si="19"/>
        <v>2017-1</v>
      </c>
      <c r="H65" s="1575" t="str">
        <f t="shared" si="19"/>
        <v>2016-4</v>
      </c>
      <c r="I65" s="1575" t="str">
        <f t="shared" si="19"/>
        <v>2016-3</v>
      </c>
      <c r="J65" s="1575" t="str">
        <f t="shared" si="19"/>
        <v>2016-2</v>
      </c>
      <c r="K65" s="1575" t="str">
        <f t="shared" si="19"/>
        <v>2016-1</v>
      </c>
      <c r="L65" s="1575" t="str">
        <f t="shared" si="19"/>
        <v>2015-4</v>
      </c>
      <c r="M65" s="1575" t="str">
        <f t="shared" si="19"/>
        <v>2015-3</v>
      </c>
      <c r="N65" s="1575" t="str">
        <f t="shared" si="19"/>
        <v>2015-2</v>
      </c>
      <c r="O65" s="1575" t="str">
        <f t="shared" si="19"/>
        <v>2015-1</v>
      </c>
      <c r="P65" s="507"/>
    </row>
    <row r="66" spans="1:17" s="117" customFormat="1" ht="30.75" customHeight="1">
      <c r="A66" s="2722" t="s">
        <v>2805</v>
      </c>
      <c r="B66" s="332" t="str">
        <f>"北京市平均增长率"&amp;TEXT(基准地价修正!P24,"0.00%")</f>
        <v>北京市平均增长率1.31%</v>
      </c>
      <c r="C66" s="603">
        <v>100</v>
      </c>
      <c r="D66" s="595"/>
      <c r="E66" s="595"/>
      <c r="F66" s="595"/>
      <c r="G66" s="595"/>
      <c r="H66" s="595"/>
      <c r="I66" s="595"/>
      <c r="J66" s="595"/>
      <c r="K66" s="595"/>
      <c r="L66" s="595"/>
      <c r="M66" s="1570"/>
      <c r="N66" s="1570"/>
      <c r="O66" s="1572"/>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2591</v>
      </c>
      <c r="B70" s="528" t="s">
        <v>2557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2788</v>
      </c>
      <c r="C87" s="573" t="s">
        <v>2600</v>
      </c>
      <c r="D87" s="573" t="s">
        <v>2601</v>
      </c>
      <c r="E87" s="573" t="s">
        <v>2602</v>
      </c>
      <c r="F87" s="573" t="s">
        <v>2603</v>
      </c>
      <c r="G87" s="573" t="s">
        <v>2604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2789</v>
      </c>
      <c r="C89" s="573" t="s">
        <v>2600</v>
      </c>
      <c r="D89" s="573" t="s">
        <v>2601</v>
      </c>
      <c r="E89" s="573" t="s">
        <v>2602</v>
      </c>
      <c r="F89" s="573" t="s">
        <v>2603</v>
      </c>
      <c r="G89" s="573" t="s">
        <v>2604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2806</v>
      </c>
      <c r="C93" s="660" t="s">
        <v>2678</v>
      </c>
      <c r="D93" s="660" t="s">
        <v>2679</v>
      </c>
      <c r="E93" s="660" t="s">
        <v>2680</v>
      </c>
      <c r="F93" s="660" t="s">
        <v>2681</v>
      </c>
      <c r="G93" s="660" t="s">
        <v>2682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2566</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18" t="s">
        <v>183</v>
      </c>
      <c r="B18" s="882" t="s">
        <v>560</v>
      </c>
      <c r="C18" s="883" t="s">
        <v>561</v>
      </c>
      <c r="D18" s="884"/>
      <c r="E18" s="882">
        <v>1</v>
      </c>
      <c r="F18" s="885" t="s">
        <v>562</v>
      </c>
      <c r="G18" s="886"/>
      <c r="H18" s="878"/>
      <c r="I18" s="878"/>
    </row>
    <row r="19" spans="1:9" s="887" customFormat="1" ht="19.5" customHeight="1">
      <c r="A19" s="3318"/>
      <c r="B19" s="3318" t="s">
        <v>563</v>
      </c>
      <c r="C19" s="883" t="s">
        <v>564</v>
      </c>
      <c r="D19" s="884"/>
      <c r="E19" s="882">
        <v>0.9</v>
      </c>
      <c r="F19" s="885" t="s">
        <v>565</v>
      </c>
      <c r="G19" s="886"/>
      <c r="H19" s="878"/>
      <c r="I19" s="878"/>
    </row>
    <row r="20" spans="1:9" s="887" customFormat="1" ht="19.5" customHeight="1">
      <c r="A20" s="3318"/>
      <c r="B20" s="3318"/>
      <c r="C20" s="883" t="s">
        <v>566</v>
      </c>
      <c r="D20" s="884"/>
      <c r="E20" s="882">
        <v>1.1000000000000001</v>
      </c>
      <c r="F20" s="885" t="s">
        <v>567</v>
      </c>
      <c r="G20" s="886"/>
      <c r="H20" s="878"/>
      <c r="I20" s="878"/>
    </row>
    <row r="21" spans="1:9" s="887" customFormat="1" ht="19.5" customHeight="1">
      <c r="A21" s="3318"/>
      <c r="B21" s="3318"/>
      <c r="C21" s="883" t="s">
        <v>568</v>
      </c>
      <c r="D21" s="884"/>
      <c r="E21" s="882">
        <v>0.8</v>
      </c>
      <c r="F21" s="885" t="s">
        <v>569</v>
      </c>
      <c r="G21" s="886"/>
      <c r="H21" s="878"/>
      <c r="I21" s="878"/>
    </row>
    <row r="22" spans="1:9" s="887" customFormat="1" ht="19.5" customHeight="1">
      <c r="A22" s="3318"/>
      <c r="B22" s="3318"/>
      <c r="C22" s="883" t="s">
        <v>570</v>
      </c>
      <c r="D22" s="884"/>
      <c r="E22" s="882">
        <v>0.5</v>
      </c>
      <c r="F22" s="885"/>
      <c r="G22" s="886"/>
      <c r="H22" s="878"/>
      <c r="I22" s="878"/>
    </row>
    <row r="23" spans="1:9" s="887" customFormat="1" ht="19.5" customHeight="1">
      <c r="A23" s="3318" t="s">
        <v>184</v>
      </c>
      <c r="B23" s="882" t="s">
        <v>560</v>
      </c>
      <c r="C23" s="883" t="s">
        <v>571</v>
      </c>
      <c r="D23" s="884"/>
      <c r="E23" s="882">
        <v>1</v>
      </c>
      <c r="F23" s="885" t="s">
        <v>572</v>
      </c>
      <c r="G23" s="886"/>
      <c r="H23" s="878"/>
      <c r="I23" s="878"/>
    </row>
    <row r="24" spans="1:9" s="887" customFormat="1" ht="19.5" customHeight="1">
      <c r="A24" s="3318"/>
      <c r="B24" s="3318" t="s">
        <v>563</v>
      </c>
      <c r="C24" s="883" t="s">
        <v>573</v>
      </c>
      <c r="D24" s="884"/>
      <c r="E24" s="882">
        <v>0.5</v>
      </c>
      <c r="F24" s="885"/>
      <c r="G24" s="886"/>
      <c r="H24" s="878"/>
      <c r="I24" s="878"/>
    </row>
    <row r="25" spans="1:9" s="887" customFormat="1" ht="19.5" customHeight="1">
      <c r="A25" s="3318"/>
      <c r="B25" s="3318"/>
      <c r="C25" s="883" t="s">
        <v>574</v>
      </c>
      <c r="D25" s="884"/>
      <c r="E25" s="882">
        <v>1.1000000000000001</v>
      </c>
      <c r="F25" s="885"/>
      <c r="G25" s="886"/>
      <c r="H25" s="878"/>
      <c r="I25" s="878"/>
    </row>
    <row r="26" spans="1:9" s="887" customFormat="1" ht="19.5" customHeight="1">
      <c r="A26" s="3318"/>
      <c r="B26" s="3318"/>
      <c r="C26" s="883" t="s">
        <v>575</v>
      </c>
      <c r="D26" s="884"/>
      <c r="E26" s="882">
        <v>1.1000000000000001</v>
      </c>
      <c r="F26" s="885"/>
      <c r="G26" s="886"/>
      <c r="H26" s="878"/>
      <c r="I26" s="878"/>
    </row>
    <row r="27" spans="1:9" s="887" customFormat="1" ht="19.5" customHeight="1">
      <c r="A27" s="3318"/>
      <c r="B27" s="3318"/>
      <c r="C27" s="883" t="s">
        <v>576</v>
      </c>
      <c r="D27" s="884"/>
      <c r="E27" s="882">
        <v>0.9</v>
      </c>
      <c r="F27" s="885" t="s">
        <v>577</v>
      </c>
      <c r="G27" s="886"/>
      <c r="H27" s="878"/>
      <c r="I27" s="878"/>
    </row>
    <row r="28" spans="1:9" s="887" customFormat="1" ht="19.5" customHeight="1">
      <c r="A28" s="3318"/>
      <c r="B28" s="3318"/>
      <c r="C28" s="883" t="s">
        <v>578</v>
      </c>
      <c r="D28" s="884"/>
      <c r="E28" s="882">
        <v>0.9</v>
      </c>
      <c r="F28" s="885" t="s">
        <v>579</v>
      </c>
      <c r="G28" s="886"/>
      <c r="H28" s="878"/>
      <c r="I28" s="878"/>
    </row>
    <row r="29" spans="1:9" s="887" customFormat="1" ht="19.5" customHeight="1">
      <c r="A29" s="3318"/>
      <c r="B29" s="3318"/>
      <c r="C29" s="883" t="s">
        <v>580</v>
      </c>
      <c r="D29" s="884"/>
      <c r="E29" s="882">
        <v>0.9</v>
      </c>
      <c r="F29" s="885" t="s">
        <v>581</v>
      </c>
      <c r="G29" s="886"/>
      <c r="H29" s="878"/>
      <c r="I29" s="878"/>
    </row>
    <row r="30" spans="1:9" s="887" customFormat="1" ht="19.5" customHeight="1">
      <c r="A30" s="3318"/>
      <c r="B30" s="3318"/>
      <c r="C30" s="883" t="s">
        <v>582</v>
      </c>
      <c r="D30" s="884"/>
      <c r="E30" s="882">
        <v>0.9</v>
      </c>
      <c r="F30" s="885" t="s">
        <v>583</v>
      </c>
      <c r="G30" s="886"/>
      <c r="H30" s="878"/>
      <c r="I30" s="878"/>
    </row>
    <row r="31" spans="1:9" s="887" customFormat="1" ht="19.5" customHeight="1">
      <c r="A31" s="3318"/>
      <c r="B31" s="3318"/>
      <c r="C31" s="883" t="s">
        <v>584</v>
      </c>
      <c r="D31" s="884"/>
      <c r="E31" s="882">
        <v>0.8</v>
      </c>
      <c r="F31" s="885" t="s">
        <v>585</v>
      </c>
      <c r="G31" s="886"/>
      <c r="H31" s="878"/>
      <c r="I31" s="878"/>
    </row>
    <row r="32" spans="1:9" s="887" customFormat="1" ht="19.5" customHeight="1">
      <c r="A32" s="3318"/>
      <c r="B32" s="3318"/>
      <c r="C32" s="883" t="s">
        <v>586</v>
      </c>
      <c r="D32" s="884"/>
      <c r="E32" s="882">
        <v>0.8</v>
      </c>
      <c r="F32" s="885" t="s">
        <v>587</v>
      </c>
      <c r="G32" s="886"/>
      <c r="H32" s="878"/>
      <c r="I32" s="878"/>
    </row>
    <row r="33" spans="1:9" s="887" customFormat="1" ht="19.5" customHeight="1">
      <c r="A33" s="3318" t="s">
        <v>185</v>
      </c>
      <c r="B33" s="882" t="s">
        <v>560</v>
      </c>
      <c r="C33" s="883" t="s">
        <v>588</v>
      </c>
      <c r="D33" s="884"/>
      <c r="E33" s="882">
        <v>1</v>
      </c>
      <c r="F33" s="885" t="s">
        <v>589</v>
      </c>
      <c r="G33" s="886"/>
      <c r="H33" s="878"/>
      <c r="I33" s="878"/>
    </row>
    <row r="34" spans="1:9" s="887" customFormat="1" ht="19.5" customHeight="1">
      <c r="A34" s="3318"/>
      <c r="B34" s="882" t="s">
        <v>563</v>
      </c>
      <c r="C34" s="883" t="s">
        <v>590</v>
      </c>
      <c r="D34" s="884"/>
      <c r="E34" s="882">
        <v>1.5</v>
      </c>
      <c r="F34" s="885" t="s">
        <v>591</v>
      </c>
      <c r="G34" s="886"/>
      <c r="H34" s="878"/>
      <c r="I34" s="878"/>
    </row>
    <row r="35" spans="1:9" s="887" customFormat="1" ht="19.5" customHeight="1">
      <c r="A35" s="3318" t="s">
        <v>186</v>
      </c>
      <c r="B35" s="882" t="s">
        <v>560</v>
      </c>
      <c r="C35" s="883" t="s">
        <v>592</v>
      </c>
      <c r="D35" s="884"/>
      <c r="E35" s="882">
        <v>1</v>
      </c>
      <c r="F35" s="885" t="s">
        <v>593</v>
      </c>
      <c r="G35" s="886"/>
      <c r="H35" s="878"/>
      <c r="I35" s="878"/>
    </row>
    <row r="36" spans="1:9" s="887" customFormat="1" ht="19.5" customHeight="1">
      <c r="A36" s="3318"/>
      <c r="B36" s="3318" t="s">
        <v>563</v>
      </c>
      <c r="C36" s="883" t="s">
        <v>594</v>
      </c>
      <c r="D36" s="884"/>
      <c r="E36" s="882">
        <v>1</v>
      </c>
      <c r="F36" s="885" t="s">
        <v>595</v>
      </c>
      <c r="G36" s="886"/>
      <c r="H36" s="878"/>
      <c r="I36" s="878"/>
    </row>
    <row r="37" spans="1:9" s="887" customFormat="1" ht="19.5" customHeight="1">
      <c r="A37" s="3318"/>
      <c r="B37" s="3318"/>
      <c r="C37" s="883" t="s">
        <v>596</v>
      </c>
      <c r="D37" s="884"/>
      <c r="E37" s="882">
        <v>1.5</v>
      </c>
      <c r="F37" s="885" t="s">
        <v>597</v>
      </c>
      <c r="G37" s="886"/>
      <c r="H37" s="878"/>
      <c r="I37" s="878"/>
    </row>
    <row r="38" spans="1:9" s="887" customFormat="1" ht="19.5" customHeight="1">
      <c r="A38" s="3318"/>
      <c r="B38" s="3318"/>
      <c r="C38" s="883" t="s">
        <v>598</v>
      </c>
      <c r="D38" s="884"/>
      <c r="E38" s="882">
        <v>1</v>
      </c>
      <c r="F38" s="885" t="s">
        <v>599</v>
      </c>
      <c r="G38" s="886"/>
      <c r="H38" s="878"/>
      <c r="I38" s="878"/>
    </row>
    <row r="39" spans="1:9" s="887" customFormat="1" ht="19.5" customHeight="1">
      <c r="A39" s="3318"/>
      <c r="B39" s="331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18" t="s">
        <v>614</v>
      </c>
      <c r="C61" s="818" t="s">
        <v>615</v>
      </c>
      <c r="D61" s="818" t="s">
        <v>616</v>
      </c>
      <c r="E61" s="895">
        <v>0.5</v>
      </c>
      <c r="F61" s="882">
        <v>80</v>
      </c>
    </row>
    <row r="62" spans="1:8" s="878" customFormat="1" ht="24">
      <c r="A62" s="882">
        <v>2</v>
      </c>
      <c r="B62" s="3318"/>
      <c r="C62" s="818" t="s">
        <v>617</v>
      </c>
      <c r="D62" s="818" t="s">
        <v>618</v>
      </c>
      <c r="E62" s="895">
        <v>0.5</v>
      </c>
      <c r="F62" s="882">
        <v>80</v>
      </c>
    </row>
    <row r="63" spans="1:8" s="878" customFormat="1" ht="36">
      <c r="A63" s="882">
        <v>3</v>
      </c>
      <c r="B63" s="3318"/>
      <c r="C63" s="818" t="s">
        <v>619</v>
      </c>
      <c r="D63" s="818" t="s">
        <v>620</v>
      </c>
      <c r="E63" s="895">
        <v>0.5</v>
      </c>
      <c r="F63" s="882">
        <v>80</v>
      </c>
    </row>
    <row r="64" spans="1:8" s="878" customFormat="1" ht="36">
      <c r="A64" s="882">
        <v>4</v>
      </c>
      <c r="B64" s="3318"/>
      <c r="C64" s="818" t="s">
        <v>621</v>
      </c>
      <c r="D64" s="818" t="s">
        <v>622</v>
      </c>
      <c r="E64" s="895">
        <v>0.4</v>
      </c>
      <c r="F64" s="882">
        <v>60</v>
      </c>
    </row>
    <row r="65" spans="1:6" s="878" customFormat="1" ht="36">
      <c r="A65" s="882">
        <v>5</v>
      </c>
      <c r="B65" s="3318"/>
      <c r="C65" s="818" t="s">
        <v>623</v>
      </c>
      <c r="D65" s="818" t="s">
        <v>624</v>
      </c>
      <c r="E65" s="895">
        <v>0.2</v>
      </c>
      <c r="F65" s="882">
        <v>30</v>
      </c>
    </row>
    <row r="66" spans="1:6" s="878" customFormat="1" ht="36">
      <c r="A66" s="882">
        <v>6</v>
      </c>
      <c r="B66" s="3318"/>
      <c r="C66" s="818" t="s">
        <v>625</v>
      </c>
      <c r="D66" s="818" t="s">
        <v>626</v>
      </c>
      <c r="E66" s="895">
        <v>0.3</v>
      </c>
      <c r="F66" s="882">
        <v>50</v>
      </c>
    </row>
    <row r="67" spans="1:6" s="878" customFormat="1" ht="36">
      <c r="A67" s="882">
        <v>7</v>
      </c>
      <c r="B67" s="3318"/>
      <c r="C67" s="818" t="s">
        <v>627</v>
      </c>
      <c r="D67" s="818" t="s">
        <v>628</v>
      </c>
      <c r="E67" s="895">
        <v>0.2</v>
      </c>
      <c r="F67" s="882">
        <v>30</v>
      </c>
    </row>
    <row r="68" spans="1:6" s="878" customFormat="1" ht="36">
      <c r="A68" s="882">
        <v>8</v>
      </c>
      <c r="B68" s="3318"/>
      <c r="C68" s="818" t="s">
        <v>629</v>
      </c>
      <c r="D68" s="818" t="s">
        <v>630</v>
      </c>
      <c r="E68" s="895">
        <v>0.2</v>
      </c>
      <c r="F68" s="882">
        <v>30</v>
      </c>
    </row>
    <row r="69" spans="1:6" s="878" customFormat="1" ht="36">
      <c r="A69" s="882">
        <v>9</v>
      </c>
      <c r="B69" s="3318"/>
      <c r="C69" s="818" t="s">
        <v>631</v>
      </c>
      <c r="D69" s="818" t="s">
        <v>632</v>
      </c>
      <c r="E69" s="895">
        <v>0.2</v>
      </c>
      <c r="F69" s="882">
        <v>30</v>
      </c>
    </row>
    <row r="70" spans="1:6" s="878" customFormat="1" ht="48">
      <c r="A70" s="882">
        <v>10</v>
      </c>
      <c r="B70" s="3318"/>
      <c r="C70" s="818" t="s">
        <v>633</v>
      </c>
      <c r="D70" s="818" t="s">
        <v>634</v>
      </c>
      <c r="E70" s="895">
        <v>0.2</v>
      </c>
      <c r="F70" s="882">
        <v>30</v>
      </c>
    </row>
    <row r="71" spans="1:6" s="878" customFormat="1" ht="48">
      <c r="A71" s="882">
        <v>11</v>
      </c>
      <c r="B71" s="3318"/>
      <c r="C71" s="818" t="s">
        <v>635</v>
      </c>
      <c r="D71" s="818" t="s">
        <v>636</v>
      </c>
      <c r="E71" s="895">
        <v>0.2</v>
      </c>
      <c r="F71" s="882">
        <v>30</v>
      </c>
    </row>
    <row r="72" spans="1:6" s="878" customFormat="1" ht="36">
      <c r="A72" s="882">
        <v>12</v>
      </c>
      <c r="B72" s="3318"/>
      <c r="C72" s="818" t="s">
        <v>637</v>
      </c>
      <c r="D72" s="818" t="s">
        <v>638</v>
      </c>
      <c r="E72" s="895">
        <v>0.5</v>
      </c>
      <c r="F72" s="882">
        <v>80</v>
      </c>
    </row>
    <row r="73" spans="1:6" s="878" customFormat="1" ht="24">
      <c r="A73" s="882">
        <v>13</v>
      </c>
      <c r="B73" s="3318"/>
      <c r="C73" s="818" t="s">
        <v>639</v>
      </c>
      <c r="D73" s="818" t="s">
        <v>640</v>
      </c>
      <c r="E73" s="895">
        <v>0.4</v>
      </c>
      <c r="F73" s="882">
        <v>60</v>
      </c>
    </row>
    <row r="74" spans="1:6" s="878" customFormat="1" ht="24">
      <c r="A74" s="882">
        <v>14</v>
      </c>
      <c r="B74" s="3318"/>
      <c r="C74" s="818" t="s">
        <v>641</v>
      </c>
      <c r="D74" s="818" t="s">
        <v>642</v>
      </c>
      <c r="E74" s="895">
        <v>0.2</v>
      </c>
      <c r="F74" s="882">
        <v>30</v>
      </c>
    </row>
    <row r="75" spans="1:6" s="878" customFormat="1" ht="24">
      <c r="A75" s="882">
        <v>15</v>
      </c>
      <c r="B75" s="3318"/>
      <c r="C75" s="818" t="s">
        <v>643</v>
      </c>
      <c r="D75" s="818" t="s">
        <v>644</v>
      </c>
      <c r="E75" s="895">
        <v>0.2</v>
      </c>
      <c r="F75" s="882">
        <v>30</v>
      </c>
    </row>
    <row r="76" spans="1:6" s="878" customFormat="1" ht="24">
      <c r="A76" s="882">
        <v>16</v>
      </c>
      <c r="B76" s="3318" t="s">
        <v>645</v>
      </c>
      <c r="C76" s="818" t="s">
        <v>646</v>
      </c>
      <c r="D76" s="818" t="s">
        <v>647</v>
      </c>
      <c r="E76" s="895">
        <v>0.5</v>
      </c>
      <c r="F76" s="882">
        <v>80</v>
      </c>
    </row>
    <row r="77" spans="1:6" s="878" customFormat="1" ht="24">
      <c r="A77" s="882">
        <v>17</v>
      </c>
      <c r="B77" s="3318"/>
      <c r="C77" s="818" t="s">
        <v>648</v>
      </c>
      <c r="D77" s="818" t="s">
        <v>649</v>
      </c>
      <c r="E77" s="895">
        <v>0.5</v>
      </c>
      <c r="F77" s="882">
        <v>80</v>
      </c>
    </row>
    <row r="78" spans="1:6" s="878" customFormat="1" ht="24">
      <c r="A78" s="882">
        <v>18</v>
      </c>
      <c r="B78" s="3318"/>
      <c r="C78" s="818" t="s">
        <v>650</v>
      </c>
      <c r="D78" s="818" t="s">
        <v>651</v>
      </c>
      <c r="E78" s="895">
        <v>0.2</v>
      </c>
      <c r="F78" s="882">
        <v>30</v>
      </c>
    </row>
    <row r="79" spans="1:6" s="878" customFormat="1" ht="24">
      <c r="A79" s="882">
        <v>19</v>
      </c>
      <c r="B79" s="3318"/>
      <c r="C79" s="818" t="s">
        <v>652</v>
      </c>
      <c r="D79" s="818" t="s">
        <v>653</v>
      </c>
      <c r="E79" s="895">
        <v>0.5</v>
      </c>
      <c r="F79" s="882">
        <v>80</v>
      </c>
    </row>
    <row r="80" spans="1:6" s="878" customFormat="1" ht="36">
      <c r="A80" s="882">
        <v>20</v>
      </c>
      <c r="B80" s="3318"/>
      <c r="C80" s="818" t="s">
        <v>654</v>
      </c>
      <c r="D80" s="818" t="s">
        <v>655</v>
      </c>
      <c r="E80" s="895">
        <v>0.2</v>
      </c>
      <c r="F80" s="882">
        <v>30</v>
      </c>
    </row>
    <row r="81" spans="1:6" s="878" customFormat="1" ht="36">
      <c r="A81" s="882">
        <v>21</v>
      </c>
      <c r="B81" s="3318"/>
      <c r="C81" s="818" t="s">
        <v>656</v>
      </c>
      <c r="D81" s="818" t="s">
        <v>657</v>
      </c>
      <c r="E81" s="895">
        <v>0.2</v>
      </c>
      <c r="F81" s="882">
        <v>30</v>
      </c>
    </row>
    <row r="82" spans="1:6" s="878" customFormat="1" ht="48">
      <c r="A82" s="882">
        <v>22</v>
      </c>
      <c r="B82" s="3318"/>
      <c r="C82" s="818" t="s">
        <v>658</v>
      </c>
      <c r="D82" s="818" t="s">
        <v>659</v>
      </c>
      <c r="E82" s="895">
        <v>0.2</v>
      </c>
      <c r="F82" s="882">
        <v>30</v>
      </c>
    </row>
    <row r="83" spans="1:6" s="878" customFormat="1" ht="48">
      <c r="A83" s="882">
        <v>23</v>
      </c>
      <c r="B83" s="3318"/>
      <c r="C83" s="818" t="s">
        <v>660</v>
      </c>
      <c r="D83" s="818" t="s">
        <v>661</v>
      </c>
      <c r="E83" s="895">
        <v>0.2</v>
      </c>
      <c r="F83" s="882">
        <v>30</v>
      </c>
    </row>
    <row r="84" spans="1:6" s="878" customFormat="1" ht="36">
      <c r="A84" s="882">
        <v>24</v>
      </c>
      <c r="B84" s="3318"/>
      <c r="C84" s="818" t="s">
        <v>662</v>
      </c>
      <c r="D84" s="818" t="s">
        <v>663</v>
      </c>
      <c r="E84" s="895">
        <v>0.2</v>
      </c>
      <c r="F84" s="882">
        <v>30</v>
      </c>
    </row>
    <row r="85" spans="1:6" s="878" customFormat="1" ht="36">
      <c r="A85" s="882">
        <v>25</v>
      </c>
      <c r="B85" s="3318"/>
      <c r="C85" s="818" t="s">
        <v>664</v>
      </c>
      <c r="D85" s="818" t="s">
        <v>665</v>
      </c>
      <c r="E85" s="895">
        <v>0.5</v>
      </c>
      <c r="F85" s="882">
        <v>80</v>
      </c>
    </row>
    <row r="86" spans="1:6" s="878" customFormat="1" ht="36">
      <c r="A86" s="882">
        <v>26</v>
      </c>
      <c r="B86" s="3318"/>
      <c r="C86" s="818" t="s">
        <v>666</v>
      </c>
      <c r="D86" s="818" t="s">
        <v>667</v>
      </c>
      <c r="E86" s="895">
        <v>0.2</v>
      </c>
      <c r="F86" s="882">
        <v>30</v>
      </c>
    </row>
    <row r="87" spans="1:6" s="878" customFormat="1" ht="36">
      <c r="A87" s="882">
        <v>27</v>
      </c>
      <c r="B87" s="3318"/>
      <c r="C87" s="818" t="s">
        <v>668</v>
      </c>
      <c r="D87" s="818" t="s">
        <v>669</v>
      </c>
      <c r="E87" s="895">
        <v>0.2</v>
      </c>
      <c r="F87" s="882">
        <v>30</v>
      </c>
    </row>
    <row r="88" spans="1:6" s="878" customFormat="1" ht="36">
      <c r="A88" s="882">
        <v>28</v>
      </c>
      <c r="B88" s="3318"/>
      <c r="C88" s="818" t="s">
        <v>670</v>
      </c>
      <c r="D88" s="818" t="s">
        <v>671</v>
      </c>
      <c r="E88" s="895">
        <v>0.2</v>
      </c>
      <c r="F88" s="882">
        <v>30</v>
      </c>
    </row>
    <row r="89" spans="1:6" s="878" customFormat="1" ht="24">
      <c r="A89" s="882">
        <v>29</v>
      </c>
      <c r="B89" s="3318"/>
      <c r="C89" s="818" t="s">
        <v>672</v>
      </c>
      <c r="D89" s="818" t="s">
        <v>673</v>
      </c>
      <c r="E89" s="895">
        <v>0.2</v>
      </c>
      <c r="F89" s="882">
        <v>30</v>
      </c>
    </row>
    <row r="90" spans="1:6" s="878" customFormat="1" ht="24">
      <c r="A90" s="882">
        <v>30</v>
      </c>
      <c r="B90" s="3318"/>
      <c r="C90" s="818" t="s">
        <v>674</v>
      </c>
      <c r="D90" s="818" t="s">
        <v>675</v>
      </c>
      <c r="E90" s="895">
        <v>0.2</v>
      </c>
      <c r="F90" s="882">
        <v>30</v>
      </c>
    </row>
    <row r="91" spans="1:6" s="878" customFormat="1" ht="36">
      <c r="A91" s="882">
        <v>31</v>
      </c>
      <c r="B91" s="3318"/>
      <c r="C91" s="818" t="s">
        <v>676</v>
      </c>
      <c r="D91" s="818" t="s">
        <v>677</v>
      </c>
      <c r="E91" s="895">
        <v>0.2</v>
      </c>
      <c r="F91" s="882">
        <v>30</v>
      </c>
    </row>
    <row r="92" spans="1:6" s="878" customFormat="1" ht="24">
      <c r="A92" s="882">
        <v>32</v>
      </c>
      <c r="B92" s="3318" t="s">
        <v>678</v>
      </c>
      <c r="C92" s="882" t="s">
        <v>679</v>
      </c>
      <c r="D92" s="818" t="s">
        <v>680</v>
      </c>
      <c r="E92" s="895">
        <v>0.2</v>
      </c>
      <c r="F92" s="882">
        <v>30</v>
      </c>
    </row>
    <row r="93" spans="1:6" s="878" customFormat="1" ht="36">
      <c r="A93" s="882">
        <v>33</v>
      </c>
      <c r="B93" s="3318"/>
      <c r="C93" s="882" t="s">
        <v>681</v>
      </c>
      <c r="D93" s="818" t="s">
        <v>682</v>
      </c>
      <c r="E93" s="895">
        <v>0.2</v>
      </c>
      <c r="F93" s="882">
        <v>30</v>
      </c>
    </row>
    <row r="94" spans="1:6" s="878" customFormat="1" ht="48">
      <c r="A94" s="882">
        <v>34</v>
      </c>
      <c r="B94" s="3318"/>
      <c r="C94" s="882" t="s">
        <v>683</v>
      </c>
      <c r="D94" s="818" t="s">
        <v>684</v>
      </c>
      <c r="E94" s="895">
        <v>0.2</v>
      </c>
      <c r="F94" s="882">
        <v>30</v>
      </c>
    </row>
    <row r="95" spans="1:6" s="878" customFormat="1" ht="36">
      <c r="A95" s="882">
        <v>35</v>
      </c>
      <c r="B95" s="3318"/>
      <c r="C95" s="882" t="s">
        <v>685</v>
      </c>
      <c r="D95" s="818" t="s">
        <v>686</v>
      </c>
      <c r="E95" s="895">
        <v>0.2</v>
      </c>
      <c r="F95" s="882">
        <v>30</v>
      </c>
    </row>
    <row r="96" spans="1:6" s="878" customFormat="1" ht="48">
      <c r="A96" s="882">
        <v>36</v>
      </c>
      <c r="B96" s="3318"/>
      <c r="C96" s="818" t="s">
        <v>687</v>
      </c>
      <c r="D96" s="818" t="s">
        <v>688</v>
      </c>
      <c r="E96" s="895">
        <v>0.2</v>
      </c>
      <c r="F96" s="882">
        <v>30</v>
      </c>
    </row>
    <row r="97" spans="1:6" s="878" customFormat="1" ht="36">
      <c r="A97" s="882">
        <v>37</v>
      </c>
      <c r="B97" s="3318"/>
      <c r="C97" s="882" t="s">
        <v>689</v>
      </c>
      <c r="D97" s="818" t="s">
        <v>690</v>
      </c>
      <c r="E97" s="895">
        <v>0.2</v>
      </c>
      <c r="F97" s="882">
        <v>30</v>
      </c>
    </row>
    <row r="98" spans="1:6" s="878" customFormat="1" ht="36">
      <c r="A98" s="882">
        <v>38</v>
      </c>
      <c r="B98" s="3318"/>
      <c r="C98" s="882" t="s">
        <v>691</v>
      </c>
      <c r="D98" s="818" t="s">
        <v>692</v>
      </c>
      <c r="E98" s="895">
        <v>0.2</v>
      </c>
      <c r="F98" s="882">
        <v>30</v>
      </c>
    </row>
    <row r="99" spans="1:6" s="878" customFormat="1" ht="36">
      <c r="A99" s="882">
        <v>39</v>
      </c>
      <c r="B99" s="3318" t="s">
        <v>693</v>
      </c>
      <c r="C99" s="882" t="s">
        <v>694</v>
      </c>
      <c r="D99" s="818" t="s">
        <v>695</v>
      </c>
      <c r="E99" s="895">
        <v>0.3</v>
      </c>
      <c r="F99" s="882">
        <v>50</v>
      </c>
    </row>
    <row r="100" spans="1:6" s="878" customFormat="1" ht="24">
      <c r="A100" s="882">
        <v>40</v>
      </c>
      <c r="B100" s="3318"/>
      <c r="C100" s="882" t="s">
        <v>696</v>
      </c>
      <c r="D100" s="818" t="s">
        <v>697</v>
      </c>
      <c r="E100" s="895">
        <v>0.2</v>
      </c>
      <c r="F100" s="882">
        <v>30</v>
      </c>
    </row>
    <row r="101" spans="1:6" s="878" customFormat="1" ht="36">
      <c r="A101" s="882">
        <v>41</v>
      </c>
      <c r="B101" s="331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18" t="s">
        <v>708</v>
      </c>
      <c r="C105" s="882" t="s">
        <v>709</v>
      </c>
      <c r="D105" s="818" t="s">
        <v>710</v>
      </c>
      <c r="E105" s="895">
        <v>0.2</v>
      </c>
      <c r="F105" s="882">
        <v>30</v>
      </c>
    </row>
    <row r="106" spans="1:6" s="878" customFormat="1" ht="36">
      <c r="A106" s="882">
        <v>46</v>
      </c>
      <c r="B106" s="3318"/>
      <c r="C106" s="882" t="s">
        <v>711</v>
      </c>
      <c r="D106" s="818" t="s">
        <v>712</v>
      </c>
      <c r="E106" s="895">
        <v>0.2</v>
      </c>
      <c r="F106" s="882">
        <v>30</v>
      </c>
    </row>
    <row r="107" spans="1:6" s="878" customFormat="1" ht="36">
      <c r="A107" s="882">
        <v>47</v>
      </c>
      <c r="B107" s="3318" t="s">
        <v>713</v>
      </c>
      <c r="C107" s="882" t="s">
        <v>714</v>
      </c>
      <c r="D107" s="818" t="s">
        <v>715</v>
      </c>
      <c r="E107" s="895">
        <v>0.3</v>
      </c>
      <c r="F107" s="882">
        <v>50</v>
      </c>
    </row>
    <row r="108" spans="1:6" s="878" customFormat="1" ht="36">
      <c r="A108" s="882">
        <v>48</v>
      </c>
      <c r="B108" s="331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18" t="s">
        <v>724</v>
      </c>
      <c r="C111" s="882" t="s">
        <v>725</v>
      </c>
      <c r="D111" s="818" t="s">
        <v>726</v>
      </c>
      <c r="E111" s="895">
        <v>0.2</v>
      </c>
      <c r="F111" s="882">
        <v>30</v>
      </c>
    </row>
    <row r="112" spans="1:6" s="878" customFormat="1" ht="24">
      <c r="A112" s="882">
        <v>52</v>
      </c>
      <c r="B112" s="3318"/>
      <c r="C112" s="882" t="s">
        <v>727</v>
      </c>
      <c r="D112" s="818" t="s">
        <v>728</v>
      </c>
      <c r="E112" s="895">
        <v>0.2</v>
      </c>
      <c r="F112" s="882">
        <v>30</v>
      </c>
    </row>
    <row r="113" spans="1:6" s="878" customFormat="1" ht="24">
      <c r="A113" s="882">
        <v>53</v>
      </c>
      <c r="B113" s="331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18" t="s">
        <v>737</v>
      </c>
      <c r="C116" s="882" t="s">
        <v>738</v>
      </c>
      <c r="D116" s="818" t="s">
        <v>739</v>
      </c>
      <c r="E116" s="895">
        <v>0.2</v>
      </c>
      <c r="F116" s="882">
        <v>30</v>
      </c>
    </row>
    <row r="117" spans="1:6" ht="36">
      <c r="A117" s="882">
        <v>57</v>
      </c>
      <c r="B117" s="331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1.0556000000000001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7" t="s">
        <v>3005</v>
      </c>
    </row>
    <row r="2" spans="1:5" ht="15.75">
      <c r="A2" s="2915" t="s">
        <v>2997</v>
      </c>
      <c r="B2" s="2916">
        <f ca="1">SUMIF(B6:B13,"&lt;&gt;#ref!",B6:B13)</f>
        <v>40089</v>
      </c>
      <c r="C2" s="2915" t="s">
        <v>2998</v>
      </c>
      <c r="D2" s="2915" t="s">
        <v>2999</v>
      </c>
      <c r="E2" s="2916" t="e">
        <f ca="1">SUM(E6:E13)</f>
        <v>#REF!</v>
      </c>
    </row>
    <row r="3" spans="1:5" ht="15.75">
      <c r="A3" s="2915" t="s">
        <v>3000</v>
      </c>
      <c r="B3" s="2916" t="e">
        <f ca="1">ROUND(B2*10000/E2,0)</f>
        <v>#REF!</v>
      </c>
      <c r="C3" s="2915" t="s">
        <v>3006</v>
      </c>
      <c r="D3" s="2917"/>
      <c r="E3" s="2917"/>
    </row>
    <row r="4" spans="1:5" ht="15.75">
      <c r="A4" s="2918"/>
      <c r="B4" s="2917"/>
      <c r="C4" s="2917"/>
      <c r="D4" s="2917"/>
      <c r="E4" s="2917"/>
    </row>
    <row r="5" spans="1:5" ht="28.5">
      <c r="A5" s="2919" t="s">
        <v>3001</v>
      </c>
      <c r="B5" s="2915" t="s">
        <v>3002</v>
      </c>
      <c r="C5" s="2916"/>
      <c r="D5" s="2917"/>
      <c r="E5" s="2915" t="s">
        <v>3003</v>
      </c>
    </row>
    <row r="6" spans="1:5" ht="15.75">
      <c r="A6" s="2920" t="s">
        <v>3004</v>
      </c>
      <c r="B6" s="2916">
        <f ca="1">SUMIF(INDIRECT("'"&amp;A6&amp;"'"&amp;"!A:A"),"总价",INDIRECT("'"&amp;A6&amp;"'"&amp;"!B:B"))</f>
        <v>40089</v>
      </c>
      <c r="C6" s="2915" t="s">
        <v>2998</v>
      </c>
      <c r="D6" s="2917"/>
      <c r="E6" s="2581">
        <f ca="1">SUMIF(INDIRECT("'"&amp;A6&amp;"'"&amp;"!C:C"),"建筑面积",INDIRECT("'"&amp;A6&amp;"'"&amp;"!D:D"))</f>
        <v>16833.809999999998</v>
      </c>
    </row>
    <row r="7" spans="1:5" ht="15.75">
      <c r="A7" s="2920"/>
      <c r="B7" s="2916" t="e">
        <f ca="1">SUMIF(INDIRECT("'"&amp;A7&amp;"'"&amp;"!A:A"),"总价",INDIRECT("'"&amp;A7&amp;"'"&amp;"!B:B"))</f>
        <v>#REF!</v>
      </c>
      <c r="C7" s="2915" t="s">
        <v>2998</v>
      </c>
      <c r="D7" s="2917"/>
      <c r="E7" s="2581" t="e">
        <f t="shared" ref="E7:E13" ca="1" si="0">SUMIF(INDIRECT("'"&amp;A7&amp;"'"&amp;"!C:C"),"建筑面积",INDIRECT("'"&amp;A7&amp;"'"&amp;"!D:D"))</f>
        <v>#REF!</v>
      </c>
    </row>
    <row r="8" spans="1:5" ht="15.75">
      <c r="A8" s="2920"/>
      <c r="B8" s="2916" t="e">
        <f t="shared" ref="B8:B13" ca="1" si="1">SUMIF(INDIRECT("'"&amp;A8&amp;"'"&amp;"!A:A"),"总价",INDIRECT("'"&amp;A8&amp;"'"&amp;"!B:B"))</f>
        <v>#REF!</v>
      </c>
      <c r="C8" s="2915" t="s">
        <v>2998</v>
      </c>
      <c r="D8" s="2917"/>
      <c r="E8" s="2581" t="e">
        <f t="shared" ca="1" si="0"/>
        <v>#REF!</v>
      </c>
    </row>
    <row r="9" spans="1:5" ht="15.75">
      <c r="A9" s="2920"/>
      <c r="B9" s="2916" t="e">
        <f t="shared" ca="1" si="1"/>
        <v>#REF!</v>
      </c>
      <c r="C9" s="2915" t="s">
        <v>2998</v>
      </c>
      <c r="D9" s="2917"/>
      <c r="E9" s="2581" t="e">
        <f t="shared" ca="1" si="0"/>
        <v>#REF!</v>
      </c>
    </row>
    <row r="10" spans="1:5" ht="15.75">
      <c r="A10" s="2920"/>
      <c r="B10" s="2916" t="e">
        <f t="shared" ca="1" si="1"/>
        <v>#REF!</v>
      </c>
      <c r="C10" s="2915" t="s">
        <v>2998</v>
      </c>
      <c r="D10" s="2917"/>
      <c r="E10" s="2581" t="e">
        <f t="shared" ca="1" si="0"/>
        <v>#REF!</v>
      </c>
    </row>
    <row r="11" spans="1:5" ht="15.75">
      <c r="A11" s="2920"/>
      <c r="B11" s="2916" t="e">
        <f t="shared" ca="1" si="1"/>
        <v>#REF!</v>
      </c>
      <c r="C11" s="2915" t="s">
        <v>2998</v>
      </c>
      <c r="D11" s="2917"/>
      <c r="E11" s="2581" t="e">
        <f t="shared" ca="1" si="0"/>
        <v>#REF!</v>
      </c>
    </row>
    <row r="12" spans="1:5" ht="15.75">
      <c r="A12" s="2920"/>
      <c r="B12" s="2916" t="e">
        <f t="shared" ca="1" si="1"/>
        <v>#REF!</v>
      </c>
      <c r="C12" s="2915" t="s">
        <v>2998</v>
      </c>
      <c r="D12" s="2917"/>
      <c r="E12" s="2581" t="e">
        <f t="shared" ca="1" si="0"/>
        <v>#REF!</v>
      </c>
    </row>
    <row r="13" spans="1:5" ht="15.75">
      <c r="A13" s="2920"/>
      <c r="B13" s="2916" t="e">
        <f t="shared" ca="1" si="1"/>
        <v>#REF!</v>
      </c>
      <c r="C13" s="2915" t="s">
        <v>2998</v>
      </c>
      <c r="D13" s="2917"/>
      <c r="E13" s="2581"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1622</v>
      </c>
      <c r="B1" s="1961"/>
      <c r="C1" s="1961"/>
      <c r="D1" s="1961"/>
      <c r="E1" s="1961"/>
    </row>
    <row r="2" spans="1:5" ht="78" customHeight="1">
      <c r="A2" s="30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7"/>
      <c r="C2" s="3007"/>
      <c r="D2" s="3007"/>
      <c r="E2" s="3007"/>
    </row>
    <row r="3" spans="1:5" ht="18">
      <c r="A3" s="3008" t="str">
        <f>IF(项目基本情况!B9="房地产市场价值","估价结果一览表（市场价值不需“结果表-1”）","估价结果一览表")</f>
        <v>估价结果一览表</v>
      </c>
      <c r="B3" s="3008"/>
      <c r="C3" s="3008"/>
      <c r="D3" s="3008"/>
      <c r="E3" s="3008"/>
    </row>
    <row r="4" spans="1:5" ht="19.5" thickBot="1">
      <c r="A4" s="1963"/>
      <c r="B4" s="3006" t="s">
        <v>1631</v>
      </c>
      <c r="C4" s="3006"/>
      <c r="D4" s="3006"/>
      <c r="E4" s="1963"/>
    </row>
    <row r="5" spans="1:5" ht="16.5" thickTop="1">
      <c r="A5" s="1961"/>
      <c r="B5" s="3004" t="s">
        <v>1623</v>
      </c>
      <c r="C5" s="1964" t="s">
        <v>1624</v>
      </c>
      <c r="D5" s="1043">
        <f ca="1">结果表!H101</f>
        <v>174734</v>
      </c>
      <c r="E5" s="1961"/>
    </row>
    <row r="6" spans="1:5" ht="15.75">
      <c r="A6" s="1961"/>
      <c r="B6" s="3004"/>
      <c r="C6" s="1964" t="s">
        <v>1625</v>
      </c>
      <c r="D6" s="1043" t="str">
        <f ca="1">NUMBERSTRING(INT(D5*10000),2)&amp;"元整"</f>
        <v>壹拾柒亿肆仟柒佰叁拾肆万元整</v>
      </c>
      <c r="E6" s="1961"/>
    </row>
    <row r="7" spans="1:5" ht="15.75">
      <c r="A7" s="1961"/>
      <c r="B7" s="3009"/>
      <c r="C7" s="1965" t="s">
        <v>1626</v>
      </c>
      <c r="D7" s="1044">
        <f ca="1">结果表!H102</f>
        <v>42007</v>
      </c>
      <c r="E7" s="1961"/>
    </row>
    <row r="8" spans="1:5" ht="15.75">
      <c r="A8" s="1961"/>
      <c r="B8" s="3010" t="str">
        <f>结果表!E103</f>
        <v>2.估价师知悉的法定优先受偿款</v>
      </c>
      <c r="C8" s="1966" t="s">
        <v>1627</v>
      </c>
      <c r="D8" s="1044">
        <f>结果表!H103</f>
        <v>0</v>
      </c>
      <c r="E8" s="1961"/>
    </row>
    <row r="9" spans="1:5" ht="15.75">
      <c r="A9" s="1961"/>
      <c r="B9" s="3012"/>
      <c r="C9" s="1964" t="s">
        <v>1625</v>
      </c>
      <c r="D9" s="1043" t="str">
        <f>NUMBERSTRING(INT(D8*10000),2)&amp;"元整"</f>
        <v>零元整</v>
      </c>
      <c r="E9" s="1961"/>
    </row>
    <row r="10" spans="1:5" ht="15">
      <c r="A10" s="1961"/>
      <c r="B10" s="1967" t="s">
        <v>1630</v>
      </c>
      <c r="C10" s="1968" t="s">
        <v>1628</v>
      </c>
      <c r="D10" s="1045">
        <f>结果表!H104</f>
        <v>0</v>
      </c>
      <c r="E10" s="1961"/>
    </row>
    <row r="11" spans="1:5" ht="15">
      <c r="A11" s="1961"/>
      <c r="B11" s="1967" t="s">
        <v>1632</v>
      </c>
      <c r="C11" s="1968" t="s">
        <v>1633</v>
      </c>
      <c r="D11" s="1045">
        <f>结果表!H105</f>
        <v>0</v>
      </c>
      <c r="E11" s="1961"/>
    </row>
    <row r="12" spans="1:5" ht="15">
      <c r="A12" s="1961"/>
      <c r="B12" s="1967" t="s">
        <v>1634</v>
      </c>
      <c r="C12" s="1968" t="s">
        <v>1633</v>
      </c>
      <c r="D12" s="1045">
        <f>结果表!H106</f>
        <v>0</v>
      </c>
      <c r="E12" s="1961"/>
    </row>
    <row r="13" spans="1:5" ht="15.75">
      <c r="A13" s="1961"/>
      <c r="B13" s="3003" t="str">
        <f>结果表!E107</f>
        <v>3.房地产抵押价值</v>
      </c>
      <c r="C13" s="1969" t="s">
        <v>1624</v>
      </c>
      <c r="D13" s="1046">
        <f ca="1">结果表!H107</f>
        <v>174734</v>
      </c>
      <c r="E13" s="1961"/>
    </row>
    <row r="14" spans="1:5" ht="15.75">
      <c r="A14" s="1961"/>
      <c r="B14" s="3004"/>
      <c r="C14" s="1964" t="s">
        <v>1625</v>
      </c>
      <c r="D14" s="1043" t="str">
        <f ca="1">NUMBERSTRING(INT(D13*10000),2)&amp;"元整"</f>
        <v>壹拾柒亿肆仟柒佰叁拾肆万元整</v>
      </c>
      <c r="E14" s="1961"/>
    </row>
    <row r="15" spans="1:5" ht="15">
      <c r="A15" s="1961"/>
      <c r="B15" s="3009"/>
      <c r="C15" s="1965" t="s">
        <v>1635</v>
      </c>
      <c r="D15" s="1055">
        <f ca="1">结果表!H108</f>
        <v>42007</v>
      </c>
      <c r="E15" s="1961"/>
    </row>
    <row r="16" spans="1:5" ht="15">
      <c r="A16" s="1961"/>
      <c r="B16" s="3010" t="str">
        <f>结果表!E109</f>
        <v>——</v>
      </c>
      <c r="C16" s="1969" t="s">
        <v>1636</v>
      </c>
      <c r="D16" s="1970" t="str">
        <f>结果表!H109</f>
        <v>——</v>
      </c>
      <c r="E16" s="1961"/>
    </row>
    <row r="17" spans="1:5" ht="15.75">
      <c r="A17" s="1961"/>
      <c r="B17" s="3011"/>
      <c r="C17" s="1964" t="s">
        <v>1637</v>
      </c>
      <c r="D17" s="1043" t="e">
        <f>NUMBERSTRING(INT(D16*10000),2)&amp;"元整"</f>
        <v>#VALUE!</v>
      </c>
      <c r="E17" s="1961"/>
    </row>
    <row r="18" spans="1:5" ht="15">
      <c r="A18" s="1961"/>
      <c r="B18" s="3012"/>
      <c r="C18" s="1965" t="s">
        <v>1626</v>
      </c>
      <c r="D18" s="1055" t="str">
        <f>结果表!H110</f>
        <v>——</v>
      </c>
      <c r="E18" s="1961"/>
    </row>
    <row r="19" spans="1:5" ht="15.75">
      <c r="A19" s="1961"/>
      <c r="B19" s="3003" t="str">
        <f>结果表!E111</f>
        <v>——</v>
      </c>
      <c r="C19" s="1969" t="s">
        <v>1624</v>
      </c>
      <c r="D19" s="1044" t="str">
        <f>结果表!H111</f>
        <v>——</v>
      </c>
      <c r="E19" s="1961"/>
    </row>
    <row r="20" spans="1:5" ht="15.75">
      <c r="A20" s="1961"/>
      <c r="B20" s="3004"/>
      <c r="C20" s="1964" t="s">
        <v>1637</v>
      </c>
      <c r="D20" s="1043" t="e">
        <f>NUMBERSTRING(INT(D19*10000),2)&amp;"元整"</f>
        <v>#VALUE!</v>
      </c>
      <c r="E20" s="1961"/>
    </row>
    <row r="21" spans="1:5" ht="15.75" thickBot="1">
      <c r="A21" s="1961"/>
      <c r="B21" s="3005"/>
      <c r="C21" s="1971" t="s">
        <v>1635</v>
      </c>
      <c r="D21" s="1056" t="str">
        <f>结果表!H112</f>
        <v>——</v>
      </c>
      <c r="E21" s="1961"/>
    </row>
    <row r="22" spans="1:5" ht="15" thickTop="1">
      <c r="A22" s="1961"/>
      <c r="B22" s="1972" t="s">
        <v>1638</v>
      </c>
      <c r="C22" s="1961"/>
      <c r="D22" s="1961"/>
      <c r="E22" s="1961"/>
    </row>
    <row r="23" spans="1:5">
      <c r="A23" s="1961"/>
      <c r="B23" s="1961"/>
      <c r="C23" s="1961"/>
      <c r="D23" s="1961"/>
      <c r="E23" s="1961"/>
    </row>
    <row r="24" spans="1:5" ht="18.75">
      <c r="A24" s="1973"/>
      <c r="B24" s="1974" t="s">
        <v>1629</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24" t="s">
        <v>1150</v>
      </c>
      <c r="C1" s="3324"/>
      <c r="D1" s="3324"/>
      <c r="E1" s="3324"/>
      <c r="F1" s="3324"/>
      <c r="G1" s="3323" t="s">
        <v>1151</v>
      </c>
      <c r="H1" s="3323"/>
      <c r="I1" s="3323"/>
      <c r="J1" s="3323"/>
      <c r="K1" s="3323"/>
      <c r="L1" s="3323"/>
      <c r="N1" s="3323" t="s">
        <v>1152</v>
      </c>
      <c r="O1" s="3323"/>
      <c r="P1" s="3323"/>
      <c r="Q1" s="3323"/>
      <c r="R1" s="1449"/>
      <c r="S1" s="3323" t="s">
        <v>1153</v>
      </c>
      <c r="T1" s="3323"/>
      <c r="U1" s="3323"/>
      <c r="V1" s="3323"/>
      <c r="X1" s="3322" t="s">
        <v>1154</v>
      </c>
      <c r="Y1" s="3323"/>
      <c r="Z1" s="3323"/>
      <c r="AA1" s="3323"/>
      <c r="AB1" s="3323"/>
      <c r="AD1" s="3322" t="s">
        <v>1155</v>
      </c>
      <c r="AE1" s="3323"/>
      <c r="AF1" s="3323"/>
      <c r="AG1" s="3323"/>
      <c r="AH1" s="3323"/>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4" customFormat="1" ht="14.25">
      <c r="A3" s="2943" t="s">
        <v>3044</v>
      </c>
      <c r="B3" s="2935"/>
      <c r="C3" s="2935"/>
      <c r="D3" s="2936"/>
      <c r="E3" s="2936"/>
      <c r="F3" s="2935"/>
      <c r="G3" s="2937"/>
      <c r="H3" s="2938"/>
      <c r="I3" s="2939">
        <f>ROUND(AVERAGE($I6:$I21),2)</f>
        <v>2.4500000000000002</v>
      </c>
      <c r="J3" s="2939">
        <f>ROUND(AVERAGE($J6:$J21),2)</f>
        <v>1.65</v>
      </c>
      <c r="K3" s="2939">
        <f>ROUND(AVERAGE($K6:$K21),2)</f>
        <v>2.71</v>
      </c>
      <c r="L3" s="2939">
        <f>ROUND(AVERAGE($L6:$L21),2)</f>
        <v>1.39</v>
      </c>
      <c r="N3" s="2937"/>
      <c r="O3" s="2940"/>
      <c r="P3" s="2940"/>
      <c r="Q3" s="2940"/>
      <c r="R3" s="2940"/>
      <c r="S3" s="2937"/>
      <c r="T3" s="2940"/>
      <c r="U3" s="2940"/>
      <c r="V3" s="2940"/>
      <c r="W3" s="2932"/>
      <c r="X3" s="2941">
        <f>ROUND(SUMPRODUCT(PRODUCT(1+N3:N$20)),4)</f>
        <v>1.4274</v>
      </c>
      <c r="Y3" s="2941">
        <f>ROUND(SUMPRODUCT(PRODUCT(1+O3:O$20)),4)</f>
        <v>1.2685</v>
      </c>
      <c r="Z3" s="2941">
        <f t="shared" ref="Z3:Z18" si="0">Y3</f>
        <v>1.2685</v>
      </c>
      <c r="AA3" s="2941">
        <f>ROUND(SUMPRODUCT(PRODUCT(1+P3:P$20)),4)</f>
        <v>1.4825999999999999</v>
      </c>
      <c r="AB3" s="2941">
        <f>ROUND(SUMPRODUCT(PRODUCT(1+Q3:Q$20)),4)</f>
        <v>1.2309000000000001</v>
      </c>
      <c r="AD3" s="2942">
        <f>ROUND(AVERAGE(I3:I$21)/100,4)</f>
        <v>2.3099999999999999E-2</v>
      </c>
      <c r="AE3" s="2942">
        <f>ROUND(AVERAGE(J3:J$21)/100,4)</f>
        <v>1.5599999999999999E-2</v>
      </c>
      <c r="AF3" s="2942">
        <f t="shared" ref="AF3:AF19" si="1">AE3</f>
        <v>1.5599999999999999E-2</v>
      </c>
      <c r="AG3" s="2942">
        <f>ROUND(AVERAGE(K3:K$21)/100,4)</f>
        <v>2.5600000000000001E-2</v>
      </c>
      <c r="AH3" s="2942">
        <f>ROUND(AVERAGE(L3:L$21)/100,4)</f>
        <v>1.32E-2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3043</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31">
        <v>2018</v>
      </c>
      <c r="H5" s="1733">
        <v>1</v>
      </c>
      <c r="I5" s="2929">
        <v>0</v>
      </c>
      <c r="J5" s="2929">
        <v>0</v>
      </c>
      <c r="K5" s="2929">
        <v>0</v>
      </c>
      <c r="L5" s="2929">
        <v>0</v>
      </c>
      <c r="N5" s="1470">
        <f t="shared" ref="N5:N10" si="7">I5/100</f>
        <v>0</v>
      </c>
      <c r="O5" s="1470">
        <f t="shared" ref="O5" si="8">J5/100</f>
        <v>0</v>
      </c>
      <c r="P5" s="1470">
        <f t="shared" ref="P5" si="9">K5/100</f>
        <v>0</v>
      </c>
      <c r="Q5" s="1470">
        <f t="shared" ref="Q5" si="10">L5/100</f>
        <v>0</v>
      </c>
      <c r="R5" s="1735"/>
      <c r="S5" s="1736"/>
      <c r="T5" s="1735"/>
      <c r="U5" s="1735"/>
      <c r="V5" s="1735"/>
      <c r="W5" s="2933" t="s">
        <v>3045</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3040</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31">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3041</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7"/>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2"/>
      <c r="X7" s="1790">
        <f>ROUND(SUMPRODUCT(PRODUCT(1+N7:N$20)),4)</f>
        <v>1.4034</v>
      </c>
      <c r="Y7" s="1790">
        <f>ROUND(SUMPRODUCT(PRODUCT(1+O7:O$20)),4)</f>
        <v>1.2463</v>
      </c>
      <c r="Z7" s="1790">
        <f t="shared" si="0"/>
        <v>1.2463</v>
      </c>
      <c r="AA7" s="1790">
        <f>ROUND(SUMPRODUCT(PRODUCT(1+P7:P$20)),4)</f>
        <v>1.4577</v>
      </c>
      <c r="AB7" s="1790">
        <f>ROUND(SUMPRODUCT(PRODUCT(1+Q7:Q$20)),4)</f>
        <v>1.2136</v>
      </c>
      <c r="AC7" s="1792"/>
      <c r="AD7" s="1791">
        <f>ROUND(AVERAGE(I7:I$21)/100,4)</f>
        <v>2.4899999999999999E-2</v>
      </c>
      <c r="AE7" s="1791">
        <f>ROUND(AVERAGE(J7:J$21)/100,4)</f>
        <v>1.6400000000000001E-2</v>
      </c>
      <c r="AF7" s="1791">
        <f t="shared" si="1"/>
        <v>1.6400000000000001E-2</v>
      </c>
      <c r="AG7" s="1791">
        <f>ROUND(AVERAGE(K7:K$21)/100,4)</f>
        <v>2.7799999999999998E-2</v>
      </c>
      <c r="AH7" s="1791">
        <f>ROUND(AVERAGE(L7:L$21)/100,4)</f>
        <v>1.3899999999999999E-2</v>
      </c>
    </row>
    <row r="8" spans="1:34" s="1734" customFormat="1">
      <c r="A8" s="1464" t="s">
        <v>1386</v>
      </c>
      <c r="B8" s="1480">
        <f t="shared" si="21"/>
        <v>419.31181600000002</v>
      </c>
      <c r="C8" s="1480">
        <f t="shared" si="22"/>
        <v>313.95436800000004</v>
      </c>
      <c r="D8" s="1480">
        <f t="shared" si="23"/>
        <v>313.95436800000004</v>
      </c>
      <c r="E8" s="1480">
        <f t="shared" si="24"/>
        <v>596.63028431999999</v>
      </c>
      <c r="F8" s="1480">
        <f t="shared" si="25"/>
        <v>274.74220703999998</v>
      </c>
      <c r="G8" s="2926"/>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0">
        <f>ROUND(SUMPRODUCT(PRODUCT(1+N8:N$20)),4)</f>
        <v>1.3628</v>
      </c>
      <c r="Y8" s="1790">
        <f>ROUND(SUMPRODUCT(PRODUCT(1+O8:O$20)),4)</f>
        <v>1.2205999999999999</v>
      </c>
      <c r="Z8" s="1790">
        <f t="shared" si="0"/>
        <v>1.2205999999999999</v>
      </c>
      <c r="AA8" s="1790">
        <f>ROUND(SUMPRODUCT(PRODUCT(1+P8:P$20)),4)</f>
        <v>1.4118999999999999</v>
      </c>
      <c r="AB8" s="1790">
        <f>ROUND(SUMPRODUCT(PRODUCT(1+Q8:Q$20)),4)</f>
        <v>1.1930000000000001</v>
      </c>
      <c r="AC8" s="1456"/>
      <c r="AD8" s="1791">
        <f>ROUND(AVERAGE(I8:I$21)/100,4)</f>
        <v>2.46E-2</v>
      </c>
      <c r="AE8" s="1791">
        <f>ROUND(AVERAGE(J8:J$21)/100,4)</f>
        <v>1.6E-2</v>
      </c>
      <c r="AF8" s="1791">
        <f t="shared" si="1"/>
        <v>1.6E-2</v>
      </c>
      <c r="AG8" s="1791">
        <f>ROUND(AVERAGE(K8:K$21)/100,4)</f>
        <v>2.75E-2</v>
      </c>
      <c r="AH8" s="1791">
        <f>ROUND(AVERAGE(L8:L$21)/100,4)</f>
        <v>1.37E-2</v>
      </c>
    </row>
    <row r="9" spans="1:34" s="1469" customFormat="1" ht="13.5" thickBot="1">
      <c r="A9" s="1464" t="s">
        <v>1161</v>
      </c>
      <c r="B9" s="1480">
        <f>B10*(1+N9)</f>
        <v>405.524</v>
      </c>
      <c r="C9" s="1480">
        <f>C10*(1+O9)</f>
        <v>307.79840000000002</v>
      </c>
      <c r="D9" s="1480">
        <f>C9</f>
        <v>307.79840000000002</v>
      </c>
      <c r="E9" s="1480">
        <f>E10*(1+P9)</f>
        <v>574.67759999999998</v>
      </c>
      <c r="F9" s="1480">
        <f>F10*(1+Q9)</f>
        <v>270.20280000000002</v>
      </c>
      <c r="G9" s="2927"/>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2"/>
      <c r="X9" s="1790">
        <f>ROUND(SUMPRODUCT(PRODUCT(1+N9:N$20)),4)</f>
        <v>1.3180000000000001</v>
      </c>
      <c r="Y9" s="1790">
        <f>ROUND(SUMPRODUCT(PRODUCT(1+O9:O$20)),4)</f>
        <v>1.1966000000000001</v>
      </c>
      <c r="Z9" s="1790">
        <f t="shared" si="0"/>
        <v>1.1966000000000001</v>
      </c>
      <c r="AA9" s="1790">
        <f>ROUND(SUMPRODUCT(PRODUCT(1+P9:P$20)),4)</f>
        <v>1.36</v>
      </c>
      <c r="AB9" s="1790">
        <f>ROUND(SUMPRODUCT(PRODUCT(1+Q9:Q$20)),4)</f>
        <v>1.1733</v>
      </c>
      <c r="AC9" s="1792"/>
      <c r="AD9" s="1791">
        <f>ROUND(AVERAGE(I9:I$21)/100,4)</f>
        <v>2.3900000000000001E-2</v>
      </c>
      <c r="AE9" s="1791">
        <f>ROUND(AVERAGE(J9:J$21)/100,4)</f>
        <v>1.5699999999999999E-2</v>
      </c>
      <c r="AF9" s="1791">
        <f t="shared" si="1"/>
        <v>1.5699999999999999E-2</v>
      </c>
      <c r="AG9" s="1791">
        <f>ROUND(AVERAGE(K9:K$21)/100,4)</f>
        <v>2.6599999999999999E-2</v>
      </c>
      <c r="AH9" s="1791">
        <f>ROUND(AVERAGE(L9:L$21)/100,4)</f>
        <v>1.34E-2</v>
      </c>
    </row>
    <row r="10" spans="1:34">
      <c r="A10" s="1464" t="s">
        <v>154</v>
      </c>
      <c r="B10" s="1472">
        <v>392</v>
      </c>
      <c r="C10" s="1472">
        <v>302</v>
      </c>
      <c r="D10" s="1472">
        <f>C10</f>
        <v>302</v>
      </c>
      <c r="E10" s="1472">
        <v>553</v>
      </c>
      <c r="F10" s="1473">
        <v>266</v>
      </c>
      <c r="G10" s="3325">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320"/>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320"/>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321"/>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319">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320"/>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320"/>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321"/>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319">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320"/>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320"/>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321"/>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1162</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1163</v>
      </c>
      <c r="B22" s="1472">
        <v>299</v>
      </c>
      <c r="C22" s="1472">
        <v>252</v>
      </c>
      <c r="D22" s="1472">
        <f t="shared" si="35"/>
        <v>252</v>
      </c>
      <c r="E22" s="1472">
        <v>409</v>
      </c>
      <c r="F22" s="1473">
        <v>227</v>
      </c>
      <c r="G22" s="3326">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1164</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327"/>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1165</v>
      </c>
      <c r="B24" s="1480">
        <f t="shared" si="44"/>
        <v>288.2649053828776</v>
      </c>
      <c r="C24" s="1480">
        <f t="shared" si="44"/>
        <v>243.64564425013293</v>
      </c>
      <c r="D24" s="1480">
        <f t="shared" si="35"/>
        <v>243.64564425013293</v>
      </c>
      <c r="E24" s="1480">
        <f t="shared" si="45"/>
        <v>393.31080825986544</v>
      </c>
      <c r="F24" s="1480">
        <f t="shared" si="45"/>
        <v>223.07903790551154</v>
      </c>
      <c r="G24" s="3327"/>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1166</v>
      </c>
      <c r="B25" s="1480">
        <f t="shared" si="44"/>
        <v>282.50186729015837</v>
      </c>
      <c r="C25" s="1480">
        <f t="shared" si="44"/>
        <v>238.09796174155468</v>
      </c>
      <c r="D25" s="1480">
        <f t="shared" si="35"/>
        <v>238.09796174155468</v>
      </c>
      <c r="E25" s="1480">
        <f t="shared" si="45"/>
        <v>385.33438646014054</v>
      </c>
      <c r="F25" s="1480">
        <f t="shared" si="45"/>
        <v>221.55034055567739</v>
      </c>
      <c r="G25" s="3328"/>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1167</v>
      </c>
      <c r="B26" s="1514">
        <v>278</v>
      </c>
      <c r="C26" s="1514">
        <v>234</v>
      </c>
      <c r="D26" s="1514">
        <f t="shared" si="35"/>
        <v>234</v>
      </c>
      <c r="E26" s="1514">
        <v>379</v>
      </c>
      <c r="F26" s="1515">
        <v>220</v>
      </c>
      <c r="G26" s="3319">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1168</v>
      </c>
      <c r="B27" s="1480">
        <f>B26/(1+N26)</f>
        <v>275.49301357645425</v>
      </c>
      <c r="C27" s="1480">
        <f>C26/(1+O26)</f>
        <v>232.41954707985698</v>
      </c>
      <c r="D27" s="1480">
        <f t="shared" si="35"/>
        <v>232.41954707985698</v>
      </c>
      <c r="E27" s="1480">
        <f t="shared" ref="E27:F29" si="46">E26/(1+P26)</f>
        <v>375.32184591008121</v>
      </c>
      <c r="F27" s="1480">
        <f t="shared" si="46"/>
        <v>218.03766105054513</v>
      </c>
      <c r="G27" s="3320"/>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1169</v>
      </c>
      <c r="B28" s="1480">
        <f>B27/(1+N27)</f>
        <v>275.24529281292263</v>
      </c>
      <c r="C28" s="1480">
        <f>C27/(1+O27)</f>
        <v>231.74747938962707</v>
      </c>
      <c r="D28" s="1480">
        <f t="shared" si="35"/>
        <v>231.74747938962707</v>
      </c>
      <c r="E28" s="1480">
        <f t="shared" si="46"/>
        <v>375.35938184826603</v>
      </c>
      <c r="F28" s="1480">
        <f t="shared" si="46"/>
        <v>216.78033510692495</v>
      </c>
      <c r="G28" s="3320"/>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1170</v>
      </c>
      <c r="B29" s="1480">
        <f>B28/(1+N28)</f>
        <v>275.19025476197027</v>
      </c>
      <c r="C29" s="1516">
        <v>232</v>
      </c>
      <c r="D29" s="1516">
        <f t="shared" si="35"/>
        <v>232</v>
      </c>
      <c r="E29" s="1480">
        <f t="shared" si="46"/>
        <v>375.65990977608692</v>
      </c>
      <c r="F29" s="1480">
        <f t="shared" si="46"/>
        <v>214.12518283971252</v>
      </c>
      <c r="G29" s="3321"/>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1171</v>
      </c>
      <c r="B30" s="1472">
        <v>275</v>
      </c>
      <c r="C30" s="1472">
        <v>232</v>
      </c>
      <c r="D30" s="1472">
        <f t="shared" si="35"/>
        <v>232</v>
      </c>
      <c r="E30" s="1472">
        <v>376</v>
      </c>
      <c r="F30" s="1473">
        <v>213</v>
      </c>
      <c r="G30" s="3319">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1172</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320">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1173</v>
      </c>
      <c r="B32" s="1480">
        <f t="shared" si="47"/>
        <v>275.19335084830601</v>
      </c>
      <c r="C32" s="1480">
        <f t="shared" si="47"/>
        <v>230.18088050139744</v>
      </c>
      <c r="D32" s="1480">
        <f t="shared" si="35"/>
        <v>230.18088050139744</v>
      </c>
      <c r="E32" s="1480">
        <f t="shared" si="48"/>
        <v>377.58482925212331</v>
      </c>
      <c r="F32" s="1480">
        <f t="shared" si="48"/>
        <v>210.90687997847917</v>
      </c>
      <c r="G32" s="3320">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1174</v>
      </c>
      <c r="B33" s="1480">
        <f t="shared" si="47"/>
        <v>276.29854502841971</v>
      </c>
      <c r="C33" s="1480">
        <f t="shared" si="47"/>
        <v>229.79023709833027</v>
      </c>
      <c r="D33" s="1480">
        <f t="shared" si="35"/>
        <v>229.79023709833027</v>
      </c>
      <c r="E33" s="1480">
        <f t="shared" si="48"/>
        <v>379.78759731655936</v>
      </c>
      <c r="F33" s="1480">
        <f t="shared" si="48"/>
        <v>211.32953905659235</v>
      </c>
      <c r="G33" s="3321">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1175</v>
      </c>
      <c r="B34" s="1472">
        <v>269</v>
      </c>
      <c r="C34" s="1472">
        <v>221</v>
      </c>
      <c r="D34" s="1472">
        <f t="shared" si="35"/>
        <v>221</v>
      </c>
      <c r="E34" s="1472">
        <v>373</v>
      </c>
      <c r="F34" s="1473">
        <v>196</v>
      </c>
      <c r="G34" s="3319">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1176</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320">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1177</v>
      </c>
      <c r="B36" s="1480">
        <f t="shared" si="49"/>
        <v>242.95398227588385</v>
      </c>
      <c r="C36" s="1480">
        <f t="shared" si="49"/>
        <v>199.59137053614126</v>
      </c>
      <c r="D36" s="1480">
        <f t="shared" si="35"/>
        <v>199.59137053614126</v>
      </c>
      <c r="E36" s="1480">
        <f t="shared" si="50"/>
        <v>335.92189522342125</v>
      </c>
      <c r="F36" s="1480">
        <f t="shared" si="50"/>
        <v>183.10139991109489</v>
      </c>
      <c r="G36" s="3320">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1178</v>
      </c>
      <c r="B37" s="1480">
        <f t="shared" si="49"/>
        <v>232.06990378821649</v>
      </c>
      <c r="C37" s="1480">
        <f t="shared" si="49"/>
        <v>192.74878854286936</v>
      </c>
      <c r="D37" s="1480">
        <f t="shared" si="35"/>
        <v>192.74878854286936</v>
      </c>
      <c r="E37" s="1480">
        <f t="shared" si="50"/>
        <v>319.71247284992984</v>
      </c>
      <c r="F37" s="1480">
        <f t="shared" si="50"/>
        <v>175.67053622862409</v>
      </c>
      <c r="G37" s="3321">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1179</v>
      </c>
      <c r="B38" s="1472">
        <v>220</v>
      </c>
      <c r="C38" s="1472">
        <v>187</v>
      </c>
      <c r="D38" s="1472">
        <f t="shared" si="35"/>
        <v>187</v>
      </c>
      <c r="E38" s="1472">
        <v>301</v>
      </c>
      <c r="F38" s="1473">
        <v>168</v>
      </c>
      <c r="G38" s="3319">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1180</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320">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1181</v>
      </c>
      <c r="B40" s="1480">
        <f t="shared" si="51"/>
        <v>210.630522469011</v>
      </c>
      <c r="C40" s="1480">
        <f t="shared" si="51"/>
        <v>181.69567812247232</v>
      </c>
      <c r="D40" s="1480">
        <f t="shared" si="35"/>
        <v>181.69567812247232</v>
      </c>
      <c r="E40" s="1480">
        <f t="shared" si="52"/>
        <v>286.13517466736738</v>
      </c>
      <c r="F40" s="1480">
        <f t="shared" si="52"/>
        <v>165.47535084591149</v>
      </c>
      <c r="G40" s="3320">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1182</v>
      </c>
      <c r="B41" s="1480">
        <f t="shared" si="51"/>
        <v>208.83454537875372</v>
      </c>
      <c r="C41" s="1480">
        <f t="shared" si="51"/>
        <v>183.77230517090351</v>
      </c>
      <c r="D41" s="1480">
        <f t="shared" si="35"/>
        <v>183.77230517090351</v>
      </c>
      <c r="E41" s="1480">
        <f t="shared" si="52"/>
        <v>281.10342338870947</v>
      </c>
      <c r="F41" s="1480">
        <f t="shared" si="52"/>
        <v>168.97309388942256</v>
      </c>
      <c r="G41" s="3321">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1183</v>
      </c>
      <c r="B42" s="1514">
        <v>214</v>
      </c>
      <c r="C42" s="1514">
        <v>188</v>
      </c>
      <c r="D42" s="1514">
        <f t="shared" si="35"/>
        <v>188</v>
      </c>
      <c r="E42" s="1514">
        <v>289</v>
      </c>
      <c r="F42" s="1515">
        <v>166</v>
      </c>
      <c r="G42" s="3319">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1184</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320">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1185</v>
      </c>
      <c r="B44" s="1480">
        <f t="shared" si="53"/>
        <v>206.31694671589116</v>
      </c>
      <c r="C44" s="1480">
        <f t="shared" si="53"/>
        <v>183.61041121036101</v>
      </c>
      <c r="D44" s="1480">
        <f t="shared" si="35"/>
        <v>183.61041121036101</v>
      </c>
      <c r="E44" s="1480">
        <f t="shared" si="54"/>
        <v>276.66850301795557</v>
      </c>
      <c r="F44" s="1480">
        <f t="shared" si="54"/>
        <v>165.1360938278614</v>
      </c>
      <c r="G44" s="3320">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1186</v>
      </c>
      <c r="B45" s="1517">
        <f t="shared" si="53"/>
        <v>196.62341248059772</v>
      </c>
      <c r="C45" s="1517">
        <f t="shared" si="53"/>
        <v>170.99125648199012</v>
      </c>
      <c r="D45" s="1517">
        <f t="shared" si="35"/>
        <v>170.99125648199012</v>
      </c>
      <c r="E45" s="1517">
        <f t="shared" si="54"/>
        <v>266.07857570490052</v>
      </c>
      <c r="F45" s="1517">
        <f t="shared" si="54"/>
        <v>154.53499328828505</v>
      </c>
      <c r="G45" s="3321">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1187</v>
      </c>
      <c r="B46" s="1472">
        <v>188</v>
      </c>
      <c r="C46" s="1472">
        <v>165</v>
      </c>
      <c r="D46" s="1472">
        <f t="shared" si="35"/>
        <v>165</v>
      </c>
      <c r="E46" s="1472">
        <v>254</v>
      </c>
      <c r="F46" s="1473">
        <v>148</v>
      </c>
      <c r="G46" s="3319">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1188</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320">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1189</v>
      </c>
      <c r="B48" s="1480">
        <f t="shared" si="57"/>
        <v>168.82017748715555</v>
      </c>
      <c r="C48" s="1480">
        <f t="shared" si="57"/>
        <v>148.06267029972753</v>
      </c>
      <c r="D48" s="1480">
        <f t="shared" si="35"/>
        <v>148.06267029972753</v>
      </c>
      <c r="E48" s="1480">
        <f t="shared" si="58"/>
        <v>216.46288379323747</v>
      </c>
      <c r="F48" s="1480">
        <f t="shared" si="58"/>
        <v>134.23529411764704</v>
      </c>
      <c r="G48" s="3320">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1190</v>
      </c>
      <c r="B49" s="1480">
        <f t="shared" si="57"/>
        <v>163.84913591779542</v>
      </c>
      <c r="C49" s="1480">
        <f t="shared" si="57"/>
        <v>145.0283378746594</v>
      </c>
      <c r="D49" s="1480">
        <f t="shared" si="35"/>
        <v>145.0283378746594</v>
      </c>
      <c r="E49" s="1480">
        <f t="shared" si="58"/>
        <v>204.95180722891567</v>
      </c>
      <c r="F49" s="1480">
        <f t="shared" si="58"/>
        <v>125.95920303605313</v>
      </c>
      <c r="G49" s="3321">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1191</v>
      </c>
      <c r="B50" s="1493">
        <v>159</v>
      </c>
      <c r="C50" s="1493">
        <v>141</v>
      </c>
      <c r="D50" s="1493">
        <f t="shared" si="35"/>
        <v>141</v>
      </c>
      <c r="E50" s="1493">
        <v>195</v>
      </c>
      <c r="F50" s="1494">
        <v>122</v>
      </c>
      <c r="G50" s="3319">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1192</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320">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1193</v>
      </c>
      <c r="B52" s="1480">
        <f t="shared" si="61"/>
        <v>146.57412060301507</v>
      </c>
      <c r="C52" s="1480">
        <f t="shared" si="61"/>
        <v>136.46831955922866</v>
      </c>
      <c r="D52" s="1480">
        <f t="shared" si="35"/>
        <v>136.46831955922866</v>
      </c>
      <c r="E52" s="1480">
        <f t="shared" si="62"/>
        <v>166.73864894795128</v>
      </c>
      <c r="F52" s="1480">
        <f t="shared" si="62"/>
        <v>115.05882352941177</v>
      </c>
      <c r="G52" s="3320">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1194</v>
      </c>
      <c r="B53" s="1480">
        <f t="shared" si="61"/>
        <v>144.04145728643215</v>
      </c>
      <c r="C53" s="1480">
        <f t="shared" si="61"/>
        <v>136.12396694214877</v>
      </c>
      <c r="D53" s="1480">
        <f t="shared" si="35"/>
        <v>136.12396694214877</v>
      </c>
      <c r="E53" s="1480">
        <f t="shared" si="62"/>
        <v>158.32225913621264</v>
      </c>
      <c r="F53" s="1480">
        <f t="shared" si="62"/>
        <v>114.04278074866311</v>
      </c>
      <c r="G53" s="3321">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1195</v>
      </c>
      <c r="B54" s="1493">
        <v>138</v>
      </c>
      <c r="C54" s="1493">
        <v>131</v>
      </c>
      <c r="D54" s="1493">
        <f t="shared" si="35"/>
        <v>131</v>
      </c>
      <c r="E54" s="1493">
        <v>155</v>
      </c>
      <c r="F54" s="1494">
        <v>114</v>
      </c>
      <c r="G54" s="3319">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1196</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320">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1197</v>
      </c>
      <c r="B56" s="1480">
        <f t="shared" si="65"/>
        <v>124.29032258064517</v>
      </c>
      <c r="C56" s="1480">
        <f t="shared" si="65"/>
        <v>123.8968609865471</v>
      </c>
      <c r="D56" s="1480">
        <f t="shared" si="35"/>
        <v>123.8968609865471</v>
      </c>
      <c r="E56" s="1480">
        <f t="shared" si="66"/>
        <v>138.00507614213197</v>
      </c>
      <c r="F56" s="1480">
        <f t="shared" si="66"/>
        <v>107.96106557377048</v>
      </c>
      <c r="G56" s="3320">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1198</v>
      </c>
      <c r="B57" s="1480">
        <f t="shared" si="65"/>
        <v>122.57204301075269</v>
      </c>
      <c r="C57" s="1480">
        <f t="shared" si="65"/>
        <v>123.4932735426009</v>
      </c>
      <c r="D57" s="1480">
        <f t="shared" si="35"/>
        <v>123.4932735426009</v>
      </c>
      <c r="E57" s="1480">
        <f t="shared" si="66"/>
        <v>129.82233502538071</v>
      </c>
      <c r="F57" s="1480">
        <f t="shared" si="66"/>
        <v>107.39446721311475</v>
      </c>
      <c r="G57" s="3321">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1199</v>
      </c>
      <c r="B58" s="1514">
        <v>121</v>
      </c>
      <c r="C58" s="1514">
        <v>122</v>
      </c>
      <c r="D58" s="1514">
        <f t="shared" si="35"/>
        <v>122</v>
      </c>
      <c r="E58" s="1514">
        <v>124</v>
      </c>
      <c r="F58" s="1515">
        <v>107</v>
      </c>
      <c r="G58" s="3319">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1200</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320">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1201</v>
      </c>
      <c r="B60" s="1480">
        <f t="shared" si="69"/>
        <v>116.99099099099099</v>
      </c>
      <c r="C60" s="1480">
        <f t="shared" si="69"/>
        <v>118.84848484848486</v>
      </c>
      <c r="D60" s="1480">
        <f t="shared" si="35"/>
        <v>118.84848484848486</v>
      </c>
      <c r="E60" s="1480">
        <f t="shared" si="70"/>
        <v>117.60960960960961</v>
      </c>
      <c r="F60" s="1480">
        <f t="shared" si="70"/>
        <v>104</v>
      </c>
      <c r="G60" s="3320">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1202</v>
      </c>
      <c r="B61" s="1517">
        <f t="shared" si="69"/>
        <v>112.48648648648648</v>
      </c>
      <c r="C61" s="1517">
        <f t="shared" si="69"/>
        <v>115.21212121212122</v>
      </c>
      <c r="D61" s="1517">
        <f t="shared" si="35"/>
        <v>115.21212121212122</v>
      </c>
      <c r="E61" s="1517">
        <f t="shared" si="70"/>
        <v>110.4024024024024</v>
      </c>
      <c r="F61" s="1517">
        <f t="shared" si="70"/>
        <v>104</v>
      </c>
      <c r="G61" s="3321">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1203</v>
      </c>
      <c r="B62" s="1535">
        <v>111</v>
      </c>
      <c r="C62" s="1535">
        <v>114</v>
      </c>
      <c r="D62" s="1535">
        <f t="shared" si="35"/>
        <v>114</v>
      </c>
      <c r="E62" s="1535">
        <v>108</v>
      </c>
      <c r="F62" s="1536">
        <v>104</v>
      </c>
      <c r="G62" s="3319">
        <v>2003</v>
      </c>
      <c r="H62" s="1525">
        <v>4</v>
      </c>
      <c r="I62" s="1537"/>
      <c r="J62" s="1537"/>
      <c r="K62" s="1537"/>
      <c r="L62" s="1537"/>
      <c r="N62" s="1538"/>
      <c r="O62" s="1537"/>
      <c r="P62" s="1537"/>
      <c r="Q62" s="1537"/>
      <c r="S62" s="1538"/>
      <c r="T62" s="1537"/>
      <c r="U62" s="1537"/>
      <c r="V62" s="1537"/>
      <c r="X62" s="1529"/>
      <c r="Y62" s="1529"/>
      <c r="Z62" s="1529"/>
    </row>
    <row r="63" spans="1:26">
      <c r="A63" s="1464" t="s">
        <v>1204</v>
      </c>
      <c r="B63" s="1539">
        <f t="shared" ref="B63:C65" si="71">B64+(B$62-B$66)/4</f>
        <v>109.75</v>
      </c>
      <c r="C63" s="1539">
        <f t="shared" si="71"/>
        <v>112.25</v>
      </c>
      <c r="D63" s="1539">
        <f t="shared" si="35"/>
        <v>112.25</v>
      </c>
      <c r="E63" s="1539">
        <f t="shared" ref="E63:F65" si="72">E64+(E$62-E$66)/4</f>
        <v>107.25</v>
      </c>
      <c r="F63" s="1539">
        <f t="shared" si="72"/>
        <v>103.5</v>
      </c>
      <c r="G63" s="3320">
        <v>2003</v>
      </c>
      <c r="H63" s="1490">
        <v>3</v>
      </c>
      <c r="I63" s="1537"/>
      <c r="J63" s="1537"/>
      <c r="K63" s="1537"/>
      <c r="L63" s="1537"/>
      <c r="X63" s="1529"/>
      <c r="Y63" s="1529"/>
      <c r="Z63" s="1529"/>
    </row>
    <row r="64" spans="1:26">
      <c r="A64" s="1464" t="s">
        <v>1205</v>
      </c>
      <c r="B64" s="1539">
        <f t="shared" si="71"/>
        <v>108.5</v>
      </c>
      <c r="C64" s="1539">
        <f t="shared" si="71"/>
        <v>110.5</v>
      </c>
      <c r="D64" s="1539">
        <f t="shared" si="35"/>
        <v>110.5</v>
      </c>
      <c r="E64" s="1539">
        <f t="shared" si="72"/>
        <v>106.5</v>
      </c>
      <c r="F64" s="1539">
        <f t="shared" si="72"/>
        <v>103</v>
      </c>
      <c r="G64" s="3320">
        <v>2003</v>
      </c>
      <c r="H64" s="1468">
        <v>2</v>
      </c>
      <c r="I64" s="1537"/>
      <c r="J64" s="1537"/>
      <c r="K64" s="1537"/>
      <c r="L64" s="1537"/>
      <c r="X64" s="1529"/>
      <c r="Y64" s="1529"/>
      <c r="Z64" s="1529"/>
    </row>
    <row r="65" spans="1:26" ht="13.5" thickBot="1">
      <c r="A65" s="1464" t="s">
        <v>1206</v>
      </c>
      <c r="B65" s="1539">
        <f t="shared" si="71"/>
        <v>107.25</v>
      </c>
      <c r="C65" s="1539">
        <f t="shared" si="71"/>
        <v>108.75</v>
      </c>
      <c r="D65" s="1539">
        <f t="shared" si="35"/>
        <v>108.75</v>
      </c>
      <c r="E65" s="1539">
        <f t="shared" si="72"/>
        <v>105.75</v>
      </c>
      <c r="F65" s="1539">
        <f t="shared" si="72"/>
        <v>102.5</v>
      </c>
      <c r="G65" s="3321">
        <v>2003</v>
      </c>
      <c r="H65" s="1540">
        <v>1</v>
      </c>
      <c r="I65" s="1537"/>
      <c r="J65" s="1537"/>
      <c r="K65" s="1537"/>
      <c r="L65" s="1537"/>
      <c r="S65" s="1475"/>
      <c r="T65" s="1476"/>
      <c r="U65" s="1476"/>
      <c r="X65" s="1529"/>
      <c r="Y65" s="1529"/>
      <c r="Z65" s="1529"/>
    </row>
    <row r="66" spans="1:26" ht="13.5" thickBot="1">
      <c r="A66" s="1464" t="s">
        <v>1207</v>
      </c>
      <c r="B66" s="1541">
        <v>106</v>
      </c>
      <c r="C66" s="1541">
        <v>107</v>
      </c>
      <c r="D66" s="1541">
        <f t="shared" si="35"/>
        <v>107</v>
      </c>
      <c r="E66" s="1541">
        <v>105</v>
      </c>
      <c r="F66" s="1542">
        <v>102</v>
      </c>
      <c r="G66" s="3319">
        <v>2002</v>
      </c>
      <c r="H66" s="1485">
        <v>4</v>
      </c>
      <c r="I66" s="1537"/>
      <c r="J66" s="1537"/>
      <c r="K66" s="1537"/>
      <c r="L66" s="1537"/>
      <c r="N66" s="1538"/>
      <c r="O66" s="1537"/>
      <c r="P66" s="1537"/>
      <c r="Q66" s="1537"/>
      <c r="S66" s="1538"/>
      <c r="T66" s="1537"/>
      <c r="U66" s="1537"/>
      <c r="V66" s="1537"/>
      <c r="X66" s="1529"/>
      <c r="Y66" s="1529"/>
      <c r="Z66" s="1529"/>
    </row>
    <row r="67" spans="1:26">
      <c r="A67" s="1464" t="s">
        <v>1208</v>
      </c>
      <c r="B67" s="1539">
        <f t="shared" ref="B67:C69" si="73">B68+(B$66-B$70)/4</f>
        <v>105</v>
      </c>
      <c r="C67" s="1539">
        <f t="shared" si="73"/>
        <v>106</v>
      </c>
      <c r="D67" s="1539">
        <f t="shared" si="35"/>
        <v>106</v>
      </c>
      <c r="E67" s="1539">
        <f t="shared" ref="E67:F69" si="74">E68+(E$66-E$70)/4</f>
        <v>104.5</v>
      </c>
      <c r="F67" s="1539">
        <f t="shared" si="74"/>
        <v>101.5</v>
      </c>
      <c r="G67" s="3320">
        <v>2002</v>
      </c>
      <c r="H67" s="1490">
        <v>3</v>
      </c>
      <c r="I67" s="1537"/>
      <c r="J67" s="1537"/>
      <c r="K67" s="1537"/>
      <c r="L67" s="1537"/>
      <c r="X67" s="1529"/>
      <c r="Y67" s="1529"/>
      <c r="Z67" s="1529"/>
    </row>
    <row r="68" spans="1:26">
      <c r="A68" s="1464" t="s">
        <v>1209</v>
      </c>
      <c r="B68" s="1539">
        <f t="shared" si="73"/>
        <v>104</v>
      </c>
      <c r="C68" s="1539">
        <f t="shared" si="73"/>
        <v>105</v>
      </c>
      <c r="D68" s="1539">
        <f t="shared" si="35"/>
        <v>105</v>
      </c>
      <c r="E68" s="1539">
        <f t="shared" si="74"/>
        <v>104</v>
      </c>
      <c r="F68" s="1539">
        <f t="shared" si="74"/>
        <v>101</v>
      </c>
      <c r="G68" s="3320">
        <v>2002</v>
      </c>
      <c r="H68" s="1468">
        <v>2</v>
      </c>
      <c r="I68" s="1537"/>
      <c r="J68" s="1537"/>
      <c r="K68" s="1537"/>
      <c r="L68" s="1537"/>
      <c r="X68" s="1529"/>
      <c r="Y68" s="1529"/>
      <c r="Z68" s="1529"/>
    </row>
    <row r="69" spans="1:26" s="1501" customFormat="1" ht="13.5" thickBot="1">
      <c r="A69" s="1497" t="s">
        <v>1210</v>
      </c>
      <c r="B69" s="1543">
        <f t="shared" si="73"/>
        <v>103</v>
      </c>
      <c r="C69" s="1543">
        <f t="shared" si="73"/>
        <v>104</v>
      </c>
      <c r="D69" s="1543">
        <f t="shared" si="35"/>
        <v>104</v>
      </c>
      <c r="E69" s="1543">
        <f t="shared" si="74"/>
        <v>103.5</v>
      </c>
      <c r="F69" s="1543">
        <f t="shared" si="74"/>
        <v>100.5</v>
      </c>
      <c r="G69" s="3321">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1211</v>
      </c>
      <c r="G72" s="1553"/>
      <c r="N72" s="1553"/>
      <c r="S72" s="1553"/>
    </row>
    <row r="73" spans="1:26" s="1552" customFormat="1">
      <c r="A73" s="1552" t="s">
        <v>1212</v>
      </c>
      <c r="G73" s="1553"/>
      <c r="N73" s="1553"/>
      <c r="S73" s="1553"/>
    </row>
    <row r="74" spans="1:26" s="1552" customFormat="1">
      <c r="A74" s="1552" t="s">
        <v>1213</v>
      </c>
      <c r="G74" s="1553"/>
      <c r="I74" s="1554"/>
      <c r="J74" s="1554"/>
      <c r="K74" s="1554"/>
      <c r="L74" s="1554"/>
      <c r="N74" s="1555"/>
      <c r="O74" s="1554"/>
      <c r="P74" s="1554"/>
      <c r="Q74" s="1554"/>
      <c r="S74" s="1555"/>
      <c r="T74" s="1554"/>
      <c r="U74" s="1554"/>
      <c r="V74" s="1554"/>
    </row>
    <row r="75" spans="1:26" s="1552" customFormat="1">
      <c r="A75" s="1552" t="s">
        <v>1214</v>
      </c>
      <c r="G75" s="1553"/>
      <c r="N75" s="1553"/>
      <c r="S75" s="1553"/>
    </row>
    <row r="82" spans="7:22" ht="13.5" thickBot="1"/>
    <row r="83" spans="7:22">
      <c r="G83" s="1474"/>
      <c r="S83" s="1556" t="s">
        <v>1215</v>
      </c>
      <c r="T83" s="1557" t="s">
        <v>1216</v>
      </c>
      <c r="U83" s="1557" t="s">
        <v>1217</v>
      </c>
      <c r="V83" s="1557" t="s">
        <v>1218</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3007</v>
      </c>
      <c r="C1" s="3330" t="s">
        <v>3008</v>
      </c>
      <c r="D1" s="3331"/>
      <c r="E1" s="3331"/>
      <c r="F1" s="3331"/>
      <c r="G1" s="3331"/>
      <c r="H1" s="3331"/>
      <c r="I1" s="3331"/>
      <c r="J1" s="3331"/>
      <c r="K1" s="3331"/>
      <c r="L1" s="3331"/>
      <c r="M1" s="3331"/>
      <c r="N1" s="3331"/>
      <c r="O1" s="3331"/>
      <c r="P1" s="3331"/>
      <c r="Q1" s="3331"/>
      <c r="R1" s="3331"/>
      <c r="S1" s="3332"/>
      <c r="T1" s="1207" t="s">
        <v>3009</v>
      </c>
    </row>
    <row r="2" spans="1:45" s="707" customFormat="1">
      <c r="A2" s="1208"/>
      <c r="B2" s="703" t="s">
        <v>3010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3011</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3012</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3013</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3017</v>
      </c>
      <c r="B17" s="2922" t="s">
        <v>3018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3019</v>
      </c>
      <c r="E19" s="1794"/>
      <c r="F19" s="1794"/>
      <c r="G19" s="1794"/>
      <c r="H19" s="1283"/>
      <c r="I19" s="168"/>
      <c r="J19" s="168"/>
      <c r="K19" s="168"/>
      <c r="L19" s="168"/>
      <c r="M19" s="168"/>
      <c r="N19" s="168"/>
      <c r="O19" s="168"/>
      <c r="P19" s="168"/>
      <c r="Q19" s="168"/>
      <c r="R19" s="788"/>
      <c r="S19" s="138"/>
    </row>
    <row r="20" spans="1:45" ht="16.5" thickBot="1">
      <c r="A20" s="715" t="s">
        <v>3020</v>
      </c>
      <c r="B20" s="338" t="e">
        <f ca="1">IF(D20="——",S22,S22-F20)</f>
        <v>#REF!</v>
      </c>
      <c r="C20" s="168"/>
      <c r="D20" s="2924" t="s">
        <v>3021</v>
      </c>
      <c r="E20" s="1795"/>
      <c r="F20" s="1207" t="e">
        <f ca="1">SUMIF(INDIRECT("'"&amp;H20&amp;"'"&amp;"!A:A"),"承租人权益价值",INDIRECT("'"&amp;H20&amp;"'"&amp;"!c:c"))</f>
        <v>#REF!</v>
      </c>
      <c r="G20" s="1207" t="s">
        <v>3022</v>
      </c>
      <c r="H20" s="2925"/>
      <c r="I20" s="168"/>
      <c r="J20" s="168"/>
      <c r="K20" s="168"/>
      <c r="L20" s="168"/>
      <c r="M20" s="168"/>
      <c r="N20" s="168"/>
      <c r="O20" s="168"/>
      <c r="P20" s="168"/>
      <c r="Q20" s="168"/>
      <c r="R20" s="788"/>
      <c r="S20" s="138"/>
    </row>
    <row r="21" spans="1:45" ht="15.75">
      <c r="A21" s="715" t="s">
        <v>3023</v>
      </c>
      <c r="B21" s="338">
        <f>R22</f>
        <v>10000</v>
      </c>
      <c r="C21" s="168"/>
      <c r="D21" s="168"/>
      <c r="E21" s="168"/>
      <c r="F21" s="168"/>
      <c r="G21" s="168"/>
      <c r="H21" s="168"/>
      <c r="I21" s="168"/>
      <c r="J21" s="168"/>
      <c r="K21" s="168"/>
      <c r="L21" s="168"/>
      <c r="M21" s="168"/>
      <c r="N21" s="168"/>
      <c r="O21" s="168"/>
      <c r="P21" s="168"/>
      <c r="Q21" s="168"/>
      <c r="R21" s="788"/>
      <c r="S21" s="138"/>
    </row>
    <row r="22" spans="1:45">
      <c r="A22" s="361" t="s">
        <v>3024</v>
      </c>
      <c r="B22" s="24">
        <f>SUM(B24:B10000)</f>
        <v>100</v>
      </c>
      <c r="C22" s="3193" t="s">
        <v>33</v>
      </c>
      <c r="D22" s="3194"/>
      <c r="E22" s="3194"/>
      <c r="F22" s="3194"/>
      <c r="G22" s="3194"/>
      <c r="H22" s="3194"/>
      <c r="I22" s="3194"/>
      <c r="J22" s="3194"/>
      <c r="K22" s="3194"/>
      <c r="L22" s="3194"/>
      <c r="M22" s="3194"/>
      <c r="N22" s="3194"/>
      <c r="O22" s="3194"/>
      <c r="P22" s="3194"/>
      <c r="Q22" s="3329"/>
      <c r="R22" s="716">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7" t="s">
        <v>3028</v>
      </c>
      <c r="S23" s="11" t="s">
        <v>3029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44251</v>
      </c>
      <c r="C2" s="2" t="s">
        <v>133</v>
      </c>
      <c r="D2" s="243"/>
      <c r="E2" s="243"/>
      <c r="F2" s="243"/>
      <c r="G2" s="243"/>
    </row>
    <row r="3" spans="1:7" s="244" customFormat="1" ht="18" customHeight="1" thickBot="1">
      <c r="A3" s="247" t="s">
        <v>85</v>
      </c>
      <c r="B3" s="248">
        <f ca="1">ROUND(B2*10000/'数据-汇总表'!E3,0)</f>
        <v>10638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832</v>
      </c>
      <c r="D10" s="1035">
        <f>'数据-汇总表'!E6</f>
        <v>41596.89</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832</v>
      </c>
      <c r="D19" s="1039">
        <f>'数据-汇总表'!E3</f>
        <v>41596.89</v>
      </c>
      <c r="E19" s="255">
        <f>'数据-取费表'!B31</f>
        <v>200</v>
      </c>
      <c r="F19" s="275"/>
      <c r="G19" s="1" t="s">
        <v>1074</v>
      </c>
    </row>
    <row r="20" spans="1:7" s="258" customFormat="1" ht="13.5" customHeight="1">
      <c r="A20" s="951" t="s">
        <v>1057</v>
      </c>
      <c r="B20" s="254" t="s">
        <v>104</v>
      </c>
      <c r="C20" s="276">
        <f>ROUND((C5+C19)*F20,0)</f>
        <v>322</v>
      </c>
      <c r="D20" s="276"/>
      <c r="E20" s="276"/>
      <c r="F20" s="277">
        <f>'数据-取费表'!B37</f>
        <v>1.4999999999999999E-2</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1557</v>
      </c>
      <c r="D22" s="279">
        <f ca="1">C26</f>
        <v>1.1000000000000001E-3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1486</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60</v>
      </c>
      <c r="D24" s="282"/>
      <c r="E24" s="282"/>
      <c r="F24" s="283"/>
      <c r="G24" s="284" t="s">
        <v>109</v>
      </c>
    </row>
    <row r="25" spans="1:7" s="258" customFormat="1" ht="24">
      <c r="A25" s="954" t="s">
        <v>793</v>
      </c>
      <c r="B25" s="259" t="s">
        <v>1058</v>
      </c>
      <c r="C25" s="1358">
        <f ca="1">ROUND(IF('数据-取费表'!B22&lt;=1,C20*F22*'数据-取费表'!B23/2,C20*(POWER((1+F22),'数据-取费表'!B23/2)-1)),0)</f>
        <v>11</v>
      </c>
      <c r="D25" s="282"/>
      <c r="E25" s="285"/>
      <c r="F25" s="283"/>
      <c r="G25" s="286" t="s">
        <v>110</v>
      </c>
    </row>
    <row r="26" spans="1:7" s="258" customFormat="1">
      <c r="A26" s="954" t="s">
        <v>795</v>
      </c>
      <c r="B26" s="259" t="s">
        <v>1060</v>
      </c>
      <c r="C26" s="282">
        <f ca="1">ROUND(IF('数据-取费表'!B22&lt;=1,F21*F22*'数据-取费表'!B23/2,F21*(POWER((1+F22),'数据-取费表'!B23/2)-1)),4)</f>
        <v>1.1000000000000001E-3</v>
      </c>
      <c r="D26" s="282"/>
      <c r="E26" s="285"/>
      <c r="F26" s="283"/>
      <c r="G26" s="287"/>
    </row>
    <row r="27" spans="1:7" s="258" customFormat="1" ht="24.75">
      <c r="A27" s="951" t="s">
        <v>787</v>
      </c>
      <c r="B27" s="288" t="s">
        <v>112</v>
      </c>
      <c r="C27" s="289">
        <f>C28</f>
        <v>3265</v>
      </c>
      <c r="D27" s="279">
        <f>C29</f>
        <v>4.4999999999999997E-3</v>
      </c>
      <c r="E27" s="280" t="s">
        <v>126</v>
      </c>
      <c r="F27" s="290">
        <f>'数据-取费表'!Q16</f>
        <v>0.2</v>
      </c>
      <c r="G27" s="291" t="s">
        <v>1069</v>
      </c>
    </row>
    <row r="28" spans="1:7" s="258" customFormat="1" ht="13.5" customHeight="1">
      <c r="A28" s="954" t="s">
        <v>794</v>
      </c>
      <c r="B28" s="292" t="s">
        <v>1062</v>
      </c>
      <c r="C28" s="293">
        <f>ROUND((C5+C19+C20)*F27*'数据-取费表'!B21/'数据-取费表'!B20,0)</f>
        <v>3265</v>
      </c>
      <c r="D28" s="279"/>
      <c r="E28" s="280"/>
      <c r="F28" s="290"/>
      <c r="G28" s="291"/>
    </row>
    <row r="29" spans="1:7" s="258" customFormat="1" ht="13.5" customHeight="1">
      <c r="A29" s="954" t="s">
        <v>792</v>
      </c>
      <c r="B29" s="292" t="s">
        <v>1063</v>
      </c>
      <c r="C29" s="282">
        <f>ROUND(C21*F27*'数据-取费表'!B21/'数据-取费表'!B20,4)</f>
        <v>4.4999999999999997E-3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29181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10931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9983</v>
      </c>
      <c r="D34" s="261"/>
      <c r="E34" s="264"/>
      <c r="F34" s="301">
        <f>IF('数据-取费表'!B24=0,1,'数据-取费表'!N16)</f>
        <v>0.6</v>
      </c>
      <c r="G34" s="263" t="s">
        <v>116</v>
      </c>
    </row>
    <row r="35" spans="1:7" ht="13.5" customHeight="1">
      <c r="A35" s="954" t="s">
        <v>796</v>
      </c>
      <c r="B35" s="259" t="s">
        <v>60</v>
      </c>
      <c r="C35" s="264">
        <f>ROUND(C34*F35,0)</f>
        <v>299</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499</v>
      </c>
      <c r="D37" s="261">
        <f>'数据-汇总表'!E3</f>
        <v>41596.89</v>
      </c>
      <c r="E37" s="293">
        <f>'数据-取费表'!B35</f>
        <v>200</v>
      </c>
      <c r="F37" s="303"/>
      <c r="G37" s="305" t="s">
        <v>119</v>
      </c>
    </row>
    <row r="38" spans="1:7" ht="13.5" customHeight="1">
      <c r="A38" s="954" t="s">
        <v>799</v>
      </c>
      <c r="B38" s="259" t="s">
        <v>63</v>
      </c>
      <c r="C38" s="264">
        <f>ROUND(C34*F38,0)</f>
        <v>150</v>
      </c>
      <c r="D38" s="264"/>
      <c r="E38" s="264"/>
      <c r="F38" s="303">
        <f>'数据-取费表'!B36</f>
        <v>1.4999999999999999E-2</v>
      </c>
      <c r="G38" s="263" t="s">
        <v>117</v>
      </c>
    </row>
    <row r="39" spans="1:7" s="258" customFormat="1" ht="13.5" customHeight="1">
      <c r="A39" s="951" t="s">
        <v>783</v>
      </c>
      <c r="B39" s="254" t="s">
        <v>104</v>
      </c>
      <c r="C39" s="276">
        <f>ROUND(C33*F20,0)</f>
        <v>164</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393</v>
      </c>
      <c r="D41" s="279">
        <f ca="1">C44</f>
        <v>1.1000000000000001E-3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387</v>
      </c>
      <c r="D42" s="282"/>
      <c r="E42" s="282"/>
      <c r="F42" s="283"/>
      <c r="G42" s="3198" t="s">
        <v>121</v>
      </c>
    </row>
    <row r="43" spans="1:7" ht="13.5" customHeight="1">
      <c r="A43" s="954" t="s">
        <v>792</v>
      </c>
      <c r="B43" s="259" t="s">
        <v>1064</v>
      </c>
      <c r="C43" s="282">
        <f ca="1">ROUND(IF('数据-取费表'!B22&lt;=1,C39*F22*'数据-取费表'!B21/2,C39*(POWER((1+F22),'数据-取费表'!B21/2)-1)),0)</f>
        <v>6</v>
      </c>
      <c r="D43" s="282"/>
      <c r="E43" s="282"/>
      <c r="F43" s="283"/>
      <c r="G43" s="3199"/>
    </row>
    <row r="44" spans="1:7" ht="13.5" customHeight="1">
      <c r="A44" s="954" t="s">
        <v>793</v>
      </c>
      <c r="B44" s="259" t="s">
        <v>1066</v>
      </c>
      <c r="C44" s="282">
        <f ca="1">ROUND(IF('数据-取费表'!B22&lt;=1,C40*F22*'数据-取费表'!B21/2,C40*(POWER((1+F22),'数据-取费表'!B21/2)-1)),4)</f>
        <v>1.1000000000000001E-3</v>
      </c>
      <c r="D44" s="282"/>
      <c r="E44" s="282"/>
      <c r="F44" s="283"/>
      <c r="G44" s="3200"/>
    </row>
    <row r="45" spans="1:7" s="258" customFormat="1" ht="13.5" customHeight="1">
      <c r="A45" s="951" t="s">
        <v>786</v>
      </c>
      <c r="B45" s="288" t="s">
        <v>112</v>
      </c>
      <c r="C45" s="289">
        <f>C46</f>
        <v>2219</v>
      </c>
      <c r="D45" s="279">
        <f>C47</f>
        <v>6.0000000000000001E-3</v>
      </c>
      <c r="E45" s="280" t="s">
        <v>129</v>
      </c>
      <c r="F45" s="290"/>
      <c r="G45" s="291" t="s">
        <v>1072</v>
      </c>
    </row>
    <row r="46" spans="1:7" s="258" customFormat="1" ht="13.5" customHeight="1">
      <c r="A46" s="954" t="s">
        <v>794</v>
      </c>
      <c r="B46" s="292" t="s">
        <v>1065</v>
      </c>
      <c r="C46" s="293">
        <f>ROUND((C33+C39)*F27,0)</f>
        <v>2219</v>
      </c>
      <c r="D46" s="307"/>
      <c r="E46" s="280"/>
      <c r="F46" s="290"/>
      <c r="G46" s="291"/>
    </row>
    <row r="47" spans="1:7" s="258" customFormat="1" ht="13.5" customHeight="1">
      <c r="A47" s="954" t="s">
        <v>792</v>
      </c>
      <c r="B47" s="292" t="s">
        <v>1067</v>
      </c>
      <c r="C47" s="282">
        <f>ROUND(C40*F27,4)</f>
        <v>6.0000000000000001E-3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15070</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15070</v>
      </c>
      <c r="D51" s="276"/>
      <c r="E51" s="276"/>
      <c r="F51" s="308"/>
      <c r="G51" s="278" t="s">
        <v>64</v>
      </c>
    </row>
    <row r="52" spans="1:7" s="252" customFormat="1" ht="16.5" thickBot="1">
      <c r="A52" s="309" t="s">
        <v>65</v>
      </c>
      <c r="B52" s="310"/>
      <c r="C52" s="311">
        <f ca="1">C31+C51</f>
        <v>44251</v>
      </c>
      <c r="D52" s="310"/>
      <c r="E52" s="310"/>
      <c r="F52" s="310"/>
      <c r="G52" s="312"/>
    </row>
    <row r="55" spans="1:7" ht="15">
      <c r="B55" s="314" t="s">
        <v>66</v>
      </c>
      <c r="C55" s="315"/>
    </row>
    <row r="56" spans="1:7">
      <c r="B56" s="317" t="s">
        <v>67</v>
      </c>
      <c r="C56" s="318">
        <f ca="1">ROUND(C51/C52,3)</f>
        <v>0.34100000000000003</v>
      </c>
    </row>
    <row r="57" spans="1:7">
      <c r="B57" s="317" t="s">
        <v>68</v>
      </c>
      <c r="C57" s="319">
        <f ca="1">1-C56</f>
        <v>0.65900000000000003</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33" t="s">
        <v>156</v>
      </c>
      <c r="B1" s="3333"/>
      <c r="C1" s="3333"/>
      <c r="D1" s="3333"/>
      <c r="E1" s="3333"/>
      <c r="F1" s="333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34" t="s">
        <v>169</v>
      </c>
      <c r="B2" s="3334"/>
      <c r="C2" s="3334"/>
      <c r="D2" s="3334"/>
      <c r="E2" s="3334"/>
      <c r="F2" s="333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3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3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33" t="s">
        <v>871</v>
      </c>
      <c r="B1" s="3333"/>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43131</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22" t="str">
        <f>IF(项目基本情况!B9="房地产市场价值","估价结果一览表","结果表-2")</f>
        <v>结果表-2</v>
      </c>
      <c r="B1" s="3022"/>
      <c r="C1" s="3022"/>
      <c r="D1" s="3022"/>
      <c r="E1" s="3022"/>
      <c r="F1" s="3022"/>
      <c r="G1" s="3022"/>
      <c r="H1" s="3022"/>
      <c r="I1" s="3022"/>
    </row>
    <row r="2" spans="1:9" ht="30" customHeight="1" thickTop="1">
      <c r="A2" s="3023" t="s">
        <v>1642</v>
      </c>
      <c r="B2" s="3023" t="s">
        <v>1643</v>
      </c>
      <c r="C2" s="3023" t="s">
        <v>1644</v>
      </c>
      <c r="D2" s="3023" t="str">
        <f>结果表!D116</f>
        <v>出让国有建设用地使用权价值</v>
      </c>
      <c r="E2" s="3023"/>
      <c r="F2" s="3023" t="str">
        <f>结果表!F116</f>
        <v>在建建筑物价值</v>
      </c>
      <c r="G2" s="3023"/>
      <c r="H2" s="3023" t="str">
        <f>IF(项目基本情况!B9="房地产市场价值","房地产市场价值","房地产价值")</f>
        <v>房地产价值</v>
      </c>
      <c r="I2" s="3023"/>
    </row>
    <row r="3" spans="1:9" ht="15">
      <c r="A3" s="3017"/>
      <c r="B3" s="3017"/>
      <c r="C3" s="3017"/>
      <c r="D3" s="1047" t="s">
        <v>1639</v>
      </c>
      <c r="E3" s="1047" t="s">
        <v>1645</v>
      </c>
      <c r="F3" s="1047" t="s">
        <v>1639</v>
      </c>
      <c r="G3" s="1047" t="s">
        <v>1640</v>
      </c>
      <c r="H3" s="1047" t="s">
        <v>1639</v>
      </c>
      <c r="I3" s="1047" t="s">
        <v>1640</v>
      </c>
    </row>
    <row r="4" spans="1:9" ht="30">
      <c r="A4" s="1975" t="str">
        <f>项目基本情况!S2</f>
        <v>北京市出让国有建设用地使用权及在建建筑物房地产</v>
      </c>
      <c r="B4" s="1047">
        <f>项目基本情况!C17</f>
        <v>41596.89</v>
      </c>
      <c r="C4" s="1047">
        <f>项目基本情况!C18</f>
        <v>8452.18</v>
      </c>
      <c r="D4" s="1047">
        <f ca="1">结果表!D118</f>
        <v>163551</v>
      </c>
      <c r="E4" s="1047">
        <f ca="1">结果表!E118</f>
        <v>39319</v>
      </c>
      <c r="F4" s="1047">
        <f ca="1">结果表!F118</f>
        <v>11183</v>
      </c>
      <c r="G4" s="1047">
        <f ca="1">结果表!G118</f>
        <v>2688</v>
      </c>
      <c r="H4" s="1047">
        <f ca="1">结果表!H118</f>
        <v>174734</v>
      </c>
      <c r="I4" s="1047">
        <f ca="1">结果表!I118</f>
        <v>42007</v>
      </c>
    </row>
    <row r="5" spans="1:9" ht="30" customHeight="1">
      <c r="A5" s="3017" t="s">
        <v>1641</v>
      </c>
      <c r="B5" s="3017"/>
      <c r="C5" s="3017"/>
      <c r="D5" s="3018" t="str">
        <f ca="1">结果表!D119</f>
        <v>壹拾陆亿叁仟伍佰伍拾壹万元整</v>
      </c>
      <c r="E5" s="3018"/>
      <c r="F5" s="3018" t="str">
        <f ca="1">结果表!F119</f>
        <v>壹亿壹仟壹佰捌拾叁万元整</v>
      </c>
      <c r="G5" s="3018"/>
      <c r="H5" s="3018" t="str">
        <f ca="1">结果表!H119</f>
        <v>壹拾柒亿肆仟柒佰叁拾肆万元整</v>
      </c>
      <c r="I5" s="3018"/>
    </row>
    <row r="6" spans="1:9" ht="15.75">
      <c r="A6" s="3016" t="str">
        <f>结果表!A120</f>
        <v>估价师知悉的法定优先受偿款</v>
      </c>
      <c r="B6" s="3016"/>
      <c r="C6" s="3016"/>
      <c r="D6" s="3016">
        <f>结果表!D120</f>
        <v>0</v>
      </c>
      <c r="E6" s="3016"/>
      <c r="F6" s="3016"/>
      <c r="G6" s="3016"/>
      <c r="H6" s="3016"/>
      <c r="I6" s="3016"/>
    </row>
    <row r="7" spans="1:9" ht="15">
      <c r="A7" s="3017" t="s">
        <v>1641</v>
      </c>
      <c r="B7" s="3017"/>
      <c r="C7" s="3017"/>
      <c r="D7" s="3019" t="str">
        <f>结果表!D121</f>
        <v>零元整</v>
      </c>
      <c r="E7" s="3020"/>
      <c r="F7" s="3020"/>
      <c r="G7" s="3020"/>
      <c r="H7" s="3020"/>
      <c r="I7" s="3021"/>
    </row>
    <row r="8" spans="1:9" ht="15.75">
      <c r="A8" s="3016" t="str">
        <f>结果表!A122</f>
        <v>房地产抵押价值</v>
      </c>
      <c r="B8" s="3016"/>
      <c r="C8" s="3016"/>
      <c r="D8" s="3016">
        <f ca="1">结果表!D122</f>
        <v>174734</v>
      </c>
      <c r="E8" s="3016"/>
      <c r="F8" s="3016"/>
      <c r="G8" s="3016"/>
      <c r="H8" s="3016"/>
      <c r="I8" s="3016"/>
    </row>
    <row r="9" spans="1:9" ht="15">
      <c r="A9" s="3017" t="s">
        <v>1641</v>
      </c>
      <c r="B9" s="3017"/>
      <c r="C9" s="3017"/>
      <c r="D9" s="3018" t="str">
        <f ca="1">结果表!D123</f>
        <v>壹拾柒亿肆仟柒佰叁拾肆万元整</v>
      </c>
      <c r="E9" s="3018"/>
      <c r="F9" s="3018"/>
      <c r="G9" s="3018"/>
      <c r="H9" s="3018"/>
      <c r="I9" s="3018"/>
    </row>
    <row r="10" spans="1:9" ht="15.75">
      <c r="A10" s="3016" t="str">
        <f>结果表!A124</f>
        <v/>
      </c>
      <c r="B10" s="3016"/>
      <c r="C10" s="3016"/>
      <c r="D10" s="3016" t="str">
        <f>结果表!D124</f>
        <v>——</v>
      </c>
      <c r="E10" s="3016"/>
      <c r="F10" s="3016"/>
      <c r="G10" s="3016"/>
      <c r="H10" s="3016"/>
      <c r="I10" s="3016"/>
    </row>
    <row r="11" spans="1:9" ht="15">
      <c r="A11" s="3017" t="s">
        <v>1641</v>
      </c>
      <c r="B11" s="3017"/>
      <c r="C11" s="3017"/>
      <c r="D11" s="3018" t="e">
        <f>结果表!D125</f>
        <v>#VALUE!</v>
      </c>
      <c r="E11" s="3018"/>
      <c r="F11" s="3018"/>
      <c r="G11" s="3018"/>
      <c r="H11" s="3018"/>
      <c r="I11" s="3018"/>
    </row>
    <row r="12" spans="1:9" ht="15.75">
      <c r="A12" s="3016" t="str">
        <f>结果表!A126</f>
        <v/>
      </c>
      <c r="B12" s="3016"/>
      <c r="C12" s="3016"/>
      <c r="D12" s="3016" t="str">
        <f>结果表!D126</f>
        <v>——</v>
      </c>
      <c r="E12" s="3016"/>
      <c r="F12" s="3016"/>
      <c r="G12" s="3016"/>
      <c r="H12" s="3016"/>
      <c r="I12" s="3016"/>
    </row>
    <row r="13" spans="1:9" ht="15.75" thickBot="1">
      <c r="A13" s="3013" t="s">
        <v>1641</v>
      </c>
      <c r="B13" s="3013"/>
      <c r="C13" s="3013"/>
      <c r="D13" s="3014" t="e">
        <f>结果表!D127</f>
        <v>#VALUE!</v>
      </c>
      <c r="E13" s="3014"/>
      <c r="F13" s="3014"/>
      <c r="G13" s="3014"/>
      <c r="H13" s="3014"/>
      <c r="I13" s="3014"/>
    </row>
    <row r="14" spans="1:9" ht="15" thickTop="1">
      <c r="A14" s="3015" t="s">
        <v>1646</v>
      </c>
      <c r="B14" s="3015"/>
      <c r="C14" s="3015"/>
      <c r="D14" s="3015"/>
      <c r="E14" s="3015"/>
      <c r="F14" s="3015"/>
      <c r="G14" s="3015"/>
      <c r="H14" s="3015"/>
      <c r="I14" s="3015"/>
    </row>
    <row r="16" spans="1:9" ht="18.75">
      <c r="A16" s="1976" t="s">
        <v>1629</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30" t="s">
        <v>1663</v>
      </c>
      <c r="B1" s="3030"/>
      <c r="C1" s="3030"/>
      <c r="D1" s="3030"/>
    </row>
    <row r="2" spans="1:4" ht="18">
      <c r="A2" s="3031" t="s">
        <v>1647</v>
      </c>
      <c r="B2" s="3031"/>
      <c r="C2" s="3031"/>
      <c r="D2" s="3031"/>
    </row>
    <row r="3" spans="1:4" ht="18.75">
      <c r="A3" s="1979" t="s">
        <v>1648</v>
      </c>
      <c r="B3" s="1979" t="s">
        <v>1649</v>
      </c>
      <c r="C3" s="1979" t="s">
        <v>1650</v>
      </c>
      <c r="D3" s="1979" t="s">
        <v>1651</v>
      </c>
    </row>
    <row r="4" spans="1:4" ht="56.25" customHeight="1">
      <c r="A4" s="1980" t="str">
        <f>项目基本情况!B4</f>
        <v>王鹏</v>
      </c>
      <c r="B4" s="1981">
        <f ca="1">项目基本情况!C4</f>
        <v>1120050019</v>
      </c>
      <c r="C4" s="1982"/>
      <c r="D4" s="1983" t="s">
        <v>1652</v>
      </c>
    </row>
    <row r="5" spans="1:4" ht="56.25" customHeight="1">
      <c r="A5" s="1980" t="str">
        <f>项目基本情况!D4</f>
        <v>郑燚</v>
      </c>
      <c r="B5" s="1981">
        <f ca="1">项目基本情况!E4</f>
        <v>1120070131</v>
      </c>
      <c r="C5" s="1984"/>
      <c r="D5" s="1983" t="s">
        <v>1652</v>
      </c>
    </row>
    <row r="6" spans="1:4" ht="18">
      <c r="A6" s="3031" t="s">
        <v>1653</v>
      </c>
      <c r="B6" s="3031"/>
      <c r="C6" s="3031"/>
      <c r="D6" s="3031"/>
    </row>
    <row r="7" spans="1:4" ht="18.75">
      <c r="A7" s="1979" t="s">
        <v>1648</v>
      </c>
      <c r="B7" s="1981" t="s">
        <v>1654</v>
      </c>
      <c r="C7" s="1979" t="s">
        <v>1650</v>
      </c>
      <c r="D7" s="1979" t="s">
        <v>1651</v>
      </c>
    </row>
    <row r="8" spans="1:4" ht="56.25" customHeight="1">
      <c r="A8" s="1985" t="s">
        <v>869</v>
      </c>
      <c r="B8" s="1985" t="s">
        <v>1</v>
      </c>
      <c r="C8" s="1982"/>
      <c r="D8" s="1983" t="s">
        <v>1652</v>
      </c>
    </row>
    <row r="9" spans="1:4">
      <c r="A9" s="728"/>
      <c r="B9" s="728"/>
      <c r="C9" s="728"/>
      <c r="D9" s="728"/>
    </row>
    <row r="10" spans="1:4" ht="18.75">
      <c r="A10" s="1986" t="s">
        <v>1655</v>
      </c>
      <c r="B10" s="728"/>
      <c r="C10" s="728"/>
      <c r="D10" s="728"/>
    </row>
    <row r="11" spans="1:4" ht="30" customHeight="1">
      <c r="A11" s="3032" t="s">
        <v>1656</v>
      </c>
      <c r="B11" s="3024"/>
      <c r="C11" s="3024"/>
      <c r="D11" s="3024"/>
    </row>
    <row r="12" spans="1:4" ht="15.75">
      <c r="A12" s="30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9"/>
      <c r="C12" s="3029"/>
      <c r="D12" s="3029"/>
    </row>
    <row r="13" spans="1:4" ht="30" customHeight="1">
      <c r="A13" s="30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9"/>
      <c r="C13" s="3029"/>
      <c r="D13" s="3029"/>
    </row>
    <row r="14" spans="1:4" ht="15.75" customHeight="1">
      <c r="A14" s="3024" t="str">
        <f>IF(项目基本情况!B8="抵押","4.本次评估估价师所知悉的法定优先受偿款情况说明如下：","——")</f>
        <v>4.本次评估估价师所知悉的法定优先受偿款情况说明如下：</v>
      </c>
      <c r="B14" s="3029"/>
      <c r="C14" s="3029"/>
      <c r="D14" s="3029"/>
    </row>
    <row r="15" spans="1:4" ht="42" customHeight="1">
      <c r="A15" s="30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4"/>
      <c r="C15" s="3024"/>
      <c r="D15" s="3024"/>
    </row>
    <row r="16" spans="1:4" ht="30" customHeight="1">
      <c r="A16" s="3026" t="s">
        <v>1657</v>
      </c>
      <c r="B16" s="3026"/>
      <c r="C16" s="3026"/>
      <c r="D16" s="3026"/>
    </row>
    <row r="17" spans="1:4" ht="144" customHeight="1">
      <c r="A17" s="3026" t="s">
        <v>1658</v>
      </c>
      <c r="B17" s="3026"/>
      <c r="C17" s="3026"/>
      <c r="D17" s="3026"/>
    </row>
    <row r="18" spans="1:4" ht="15.75" customHeight="1">
      <c r="A18" s="3024" t="str">
        <f>IF(项目基本情况!B8="抵押",结果表!K120,"——")</f>
        <v>故，本次评估不存在估价师知悉的法定优先受偿款</v>
      </c>
      <c r="B18" s="3024"/>
      <c r="C18" s="3024"/>
      <c r="D18" s="3024"/>
    </row>
    <row r="19" spans="1:4" ht="46.5" customHeight="1">
      <c r="A19" s="30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4"/>
      <c r="C19" s="3024"/>
      <c r="D19" s="3024"/>
    </row>
    <row r="20" spans="1:4" ht="57.75" customHeight="1">
      <c r="A20" s="30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4"/>
      <c r="C20" s="3024"/>
      <c r="D20" s="3024"/>
    </row>
    <row r="21" spans="1:4" ht="57.75" customHeight="1">
      <c r="A21" s="30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7"/>
      <c r="C21" s="3027"/>
      <c r="D21" s="3027"/>
    </row>
    <row r="22" spans="1:4" ht="18.75" customHeight="1">
      <c r="A22" s="3028" t="s">
        <v>1659</v>
      </c>
      <c r="B22" s="3028"/>
      <c r="C22" s="3028"/>
      <c r="D22" s="3028"/>
    </row>
    <row r="23" spans="1:4">
      <c r="A23" s="1987"/>
      <c r="B23" s="1959"/>
      <c r="C23" s="1959"/>
      <c r="D23" s="1959"/>
    </row>
    <row r="24" spans="1:4">
      <c r="A24" s="1987"/>
      <c r="B24" s="1959"/>
      <c r="C24" s="1959"/>
      <c r="D24" s="1959"/>
    </row>
    <row r="25" spans="1:4" ht="18.75">
      <c r="A25" s="1988" t="s">
        <v>1660</v>
      </c>
    </row>
    <row r="26" spans="1:4" ht="18">
      <c r="A26" s="1957"/>
    </row>
    <row r="27" spans="1:4" ht="18.75">
      <c r="A27" s="1957" t="s">
        <v>1661</v>
      </c>
    </row>
    <row r="30" spans="1:4" ht="18.75">
      <c r="D30" s="1988" t="s">
        <v>1662</v>
      </c>
    </row>
    <row r="31" spans="1:4" ht="13.5" customHeight="1">
      <c r="C31" s="3025">
        <v>42551</v>
      </c>
      <c r="D31" s="302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1664</v>
      </c>
    </row>
    <row r="3" spans="1:7">
      <c r="A3" s="1993" t="s">
        <v>82</v>
      </c>
      <c r="B3" s="1977" t="s">
        <v>1665</v>
      </c>
      <c r="G3" s="1994"/>
    </row>
    <row r="4" spans="1:7">
      <c r="G4" s="1994"/>
    </row>
    <row r="5" spans="1:7">
      <c r="A5" s="1996" t="s">
        <v>73</v>
      </c>
      <c r="B5" s="1977" t="s">
        <v>1666</v>
      </c>
      <c r="G5" s="1994"/>
    </row>
    <row r="6" spans="1:7">
      <c r="G6" s="1994"/>
    </row>
    <row r="7" spans="1:7">
      <c r="A7" s="1997" t="s">
        <v>135</v>
      </c>
      <c r="B7" s="1977" t="s">
        <v>1667</v>
      </c>
      <c r="G7" s="1994"/>
    </row>
    <row r="8" spans="1:7">
      <c r="G8" s="1994"/>
    </row>
    <row r="9" spans="1:7">
      <c r="A9" s="1998" t="s">
        <v>74</v>
      </c>
      <c r="B9" s="1977" t="s">
        <v>1668</v>
      </c>
    </row>
    <row r="11" spans="1:7">
      <c r="A11" s="1999" t="s">
        <v>75</v>
      </c>
      <c r="B11" s="2000" t="s">
        <v>72</v>
      </c>
    </row>
    <row r="13" spans="1:7">
      <c r="A13" s="2001" t="s">
        <v>1669</v>
      </c>
    </row>
    <row r="15" spans="1:7" ht="13.5">
      <c r="A15" s="3038" t="s">
        <v>1670</v>
      </c>
      <c r="B15" s="3033" t="s">
        <v>136</v>
      </c>
      <c r="C15" s="3034"/>
    </row>
    <row r="16" spans="1:7" ht="13.5">
      <c r="A16" s="3039"/>
      <c r="B16" s="3033" t="s">
        <v>69</v>
      </c>
      <c r="C16" s="3034"/>
    </row>
    <row r="17" spans="1:3" ht="13.5">
      <c r="A17" s="3039"/>
      <c r="B17" s="3036" t="s">
        <v>1671</v>
      </c>
      <c r="C17" s="2002" t="s">
        <v>1670</v>
      </c>
    </row>
    <row r="18" spans="1:3" ht="13.5">
      <c r="A18" s="3039"/>
      <c r="B18" s="3036"/>
      <c r="C18" s="2002" t="s">
        <v>1672</v>
      </c>
    </row>
    <row r="19" spans="1:3" ht="13.5">
      <c r="A19" s="3039"/>
      <c r="B19" s="3036"/>
      <c r="C19" s="2002" t="s">
        <v>1673</v>
      </c>
    </row>
    <row r="20" spans="1:3" ht="13.5">
      <c r="A20" s="3040"/>
      <c r="B20" s="3035" t="s">
        <v>1674</v>
      </c>
      <c r="C20" s="3034"/>
    </row>
    <row r="21" spans="1:3" ht="13.5">
      <c r="A21" s="2003" t="s">
        <v>1675</v>
      </c>
      <c r="B21" s="2004"/>
      <c r="C21" s="2005"/>
    </row>
    <row r="22" spans="1:3" ht="13.5">
      <c r="A22" s="3037" t="s">
        <v>1676</v>
      </c>
      <c r="B22" s="3035" t="s">
        <v>1677</v>
      </c>
      <c r="C22" s="3034"/>
    </row>
    <row r="23" spans="1:3" ht="13.5">
      <c r="A23" s="3037"/>
      <c r="B23" s="3035" t="s">
        <v>1678</v>
      </c>
      <c r="C23" s="3034"/>
    </row>
    <row r="24" spans="1:3" ht="13.5">
      <c r="A24" s="3037"/>
      <c r="B24" s="3035" t="s">
        <v>1679</v>
      </c>
      <c r="C24" s="3034"/>
    </row>
    <row r="25" spans="1:3" ht="13.5">
      <c r="A25" s="3037"/>
      <c r="B25" s="3036" t="s">
        <v>1680</v>
      </c>
      <c r="C25" s="2002" t="s">
        <v>1681</v>
      </c>
    </row>
    <row r="26" spans="1:3" ht="13.5">
      <c r="A26" s="3037"/>
      <c r="B26" s="3036"/>
      <c r="C26" s="2002" t="s">
        <v>1682</v>
      </c>
    </row>
    <row r="27" spans="1:3" ht="13.5">
      <c r="A27" s="3037"/>
      <c r="B27" s="3036"/>
      <c r="C27" s="2002" t="s">
        <v>1683</v>
      </c>
    </row>
    <row r="28" spans="1:3" ht="13.5">
      <c r="A28" s="3037"/>
      <c r="B28" s="3036"/>
      <c r="C28" s="2002" t="s">
        <v>1684</v>
      </c>
    </row>
    <row r="29" spans="1:3" ht="13.5">
      <c r="A29" s="3037"/>
      <c r="B29" s="3036"/>
      <c r="C29" s="2002" t="s">
        <v>1685</v>
      </c>
    </row>
    <row r="30" spans="1:3" ht="13.5">
      <c r="A30" s="3037"/>
      <c r="B30" s="3036"/>
      <c r="C30" s="2002" t="s">
        <v>1686</v>
      </c>
    </row>
    <row r="31" spans="1:3" ht="13.5">
      <c r="A31" s="3037"/>
      <c r="B31" s="3036"/>
      <c r="C31" s="2002" t="s">
        <v>1687</v>
      </c>
    </row>
    <row r="32" spans="1:3" ht="13.5">
      <c r="A32" s="3037"/>
      <c r="B32" s="3036"/>
      <c r="C32" s="2002" t="s">
        <v>1688</v>
      </c>
    </row>
    <row r="33" spans="1:3" ht="13.5">
      <c r="A33" s="3037"/>
      <c r="B33" s="3036"/>
      <c r="C33" s="2002" t="s">
        <v>1689</v>
      </c>
    </row>
    <row r="34" spans="1:3">
      <c r="A34" s="2006" t="s">
        <v>76</v>
      </c>
    </row>
    <row r="37" spans="1:3">
      <c r="A37" s="2006" t="s">
        <v>1690</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43336</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43359</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f ca="1">IF(C10&lt;B2,"已过期",1120060040)</f>
        <v>1120060040</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c r="B12" s="1025"/>
      <c r="C12" s="2351"/>
      <c r="D12" s="2354"/>
      <c r="E12" s="1025"/>
      <c r="F12" s="1025"/>
    </row>
    <row r="13" spans="1:6" ht="24" customHeight="1">
      <c r="A13" s="1705" t="s">
        <v>840</v>
      </c>
      <c r="B13" s="1025">
        <f ca="1">IF(C13&lt;B2,"已过期",1120070131)</f>
        <v>1120070131</v>
      </c>
      <c r="C13" s="2351">
        <v>43814</v>
      </c>
      <c r="D13" s="2354" t="s">
        <v>840</v>
      </c>
      <c r="E13" s="1025">
        <v>2014110011</v>
      </c>
      <c r="F13" s="1033">
        <v>49302</v>
      </c>
    </row>
    <row r="14" spans="1:6" ht="24" customHeight="1">
      <c r="A14" s="1705" t="s">
        <v>841</v>
      </c>
      <c r="B14" s="1025">
        <f ca="1">IF(C14&lt;B2,"已过期",1120130020)</f>
        <v>1120130020</v>
      </c>
      <c r="C14" s="2351">
        <v>43622</v>
      </c>
      <c r="D14" s="2354"/>
      <c r="E14" s="1025"/>
      <c r="F14" s="1025"/>
    </row>
    <row r="15" spans="1:6" ht="24" customHeight="1">
      <c r="A15" s="1706" t="s">
        <v>1149</v>
      </c>
      <c r="B15" s="1025">
        <v>1120070085</v>
      </c>
      <c r="C15" s="2351">
        <v>43814</v>
      </c>
      <c r="D15" s="2355" t="s">
        <v>1149</v>
      </c>
      <c r="E15" s="1025">
        <v>2004110128</v>
      </c>
      <c r="F15" s="1026">
        <v>47118</v>
      </c>
    </row>
    <row r="16" spans="1:6" ht="24" customHeight="1">
      <c r="A16" s="1705" t="s">
        <v>842</v>
      </c>
      <c r="B16" s="1025">
        <f ca="1">IF(C16&lt;B2,"已过期",1120140022)</f>
        <v>1120140022</v>
      </c>
      <c r="C16" s="2351">
        <v>44029</v>
      </c>
      <c r="D16" s="2354" t="s">
        <v>842</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843</v>
      </c>
      <c r="E21" s="1025">
        <f ca="1">IF(F21&lt;B2,"已过期",2011110090)</f>
        <v>2011110090</v>
      </c>
      <c r="F21" s="1033">
        <v>48302</v>
      </c>
    </row>
    <row r="22" spans="1:7" ht="24" customHeight="1">
      <c r="A22" s="1705" t="s">
        <v>844</v>
      </c>
      <c r="B22" s="1025" t="str">
        <f ca="1">IF(C22&lt;B2,"已过期",1120020033)</f>
        <v>已过期</v>
      </c>
      <c r="C22" s="2351">
        <v>43304</v>
      </c>
      <c r="D22" s="2354" t="s">
        <v>844</v>
      </c>
      <c r="E22" s="1025">
        <f ca="1">IF(F22&lt;B2,"已过期",2000110137)</f>
        <v>2000110137</v>
      </c>
      <c r="F22" s="1033">
        <v>46387</v>
      </c>
    </row>
    <row r="23" spans="1:7" ht="24" customHeight="1">
      <c r="A23" s="1705" t="s">
        <v>845</v>
      </c>
      <c r="B23" s="1025">
        <f ca="1">IF(C23&lt;B2,"已过期",1120130048)</f>
        <v>1120130048</v>
      </c>
      <c r="C23" s="2351">
        <v>43686</v>
      </c>
      <c r="D23" s="2354"/>
      <c r="E23" s="1025"/>
      <c r="F23" s="1025"/>
    </row>
    <row r="24" spans="1:7" s="1027" customFormat="1" ht="24" customHeight="1">
      <c r="A24" s="1706" t="s">
        <v>1333</v>
      </c>
      <c r="B24" s="1706" t="s">
        <v>1333</v>
      </c>
      <c r="C24" s="2352" t="s">
        <v>1333</v>
      </c>
      <c r="D24" s="2355" t="s">
        <v>1333</v>
      </c>
      <c r="E24" s="1706" t="s">
        <v>1333</v>
      </c>
      <c r="F24" s="1706" t="s">
        <v>1333</v>
      </c>
    </row>
    <row r="25" spans="1:7" ht="24" customHeight="1">
      <c r="A25" s="3041" t="s">
        <v>846</v>
      </c>
      <c r="B25" s="3041"/>
      <c r="C25" s="3041"/>
      <c r="D25" s="3041"/>
      <c r="E25" s="3041"/>
      <c r="F25" s="3041"/>
      <c r="G25" s="3041"/>
    </row>
    <row r="26" spans="1:7" s="1028" customFormat="1" ht="24" customHeight="1">
      <c r="A26" s="3042" t="s">
        <v>847</v>
      </c>
      <c r="B26" s="3042"/>
      <c r="C26" s="3043"/>
      <c r="D26" s="3044" t="s">
        <v>848</v>
      </c>
      <c r="E26" s="3042"/>
      <c r="F26" s="3042"/>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136</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隆福项目汇总表</vt:lpstr>
      <vt:lpstr>结果表</vt:lpstr>
      <vt:lpstr>成本法</vt:lpstr>
      <vt:lpstr>成本法 (元)</vt:lpstr>
      <vt:lpstr>基准地价修正</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面积!Print_Area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DZ</cp:lastModifiedBy>
  <cp:lastPrinted>2017-03-01T09:15:43Z</cp:lastPrinted>
  <dcterms:created xsi:type="dcterms:W3CDTF">2015-07-13T07:17:23Z</dcterms:created>
  <dcterms:modified xsi:type="dcterms:W3CDTF">2018-08-24T02:01:00Z</dcterms:modified>
</cp:coreProperties>
</file>