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70" windowWidth="12120" windowHeight="7560"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2)" sheetId="70"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state="hidden" r:id="rId42"/>
    <sheet name="Sheet3" sheetId="71"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 (2)'!$A$1:$L$50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(2)'!$B$108:$M$108</definedName>
    <definedName name="套综道路等级">#REF!</definedName>
    <definedName name="套综工程地质条件" localSheetId="17">'比较法-住宅、综合 (2)'!$B$127:$M$127</definedName>
    <definedName name="套综工程地质条件">#REF!</definedName>
    <definedName name="套综交易情况" localSheetId="17">'比较法-住宅、综合 (2)'!$A$75:$M$75</definedName>
    <definedName name="套综交易情况">#REF!</definedName>
    <definedName name="套综临街宽度及深度" localSheetId="17">'比较法-住宅、综合 (2)'!$B$123:$M$123</definedName>
    <definedName name="套综临街宽度及深度">#REF!</definedName>
    <definedName name="套综土地级别" localSheetId="17">'比较法-住宅、综合 (2)'!$B$110:$M$110</definedName>
    <definedName name="套综土地级别">#REF!</definedName>
    <definedName name="套综用途" localSheetId="17">'比较法-住宅、综合 (2)'!$B$77:$M$77</definedName>
    <definedName name="套综用途">#REF!</definedName>
    <definedName name="套综宗地内开发程度" localSheetId="17">'比较法-住宅、综合 (2)'!$B$125:$M$125</definedName>
    <definedName name="套综宗地内开发程度">#REF!</definedName>
    <definedName name="套综宗地形状" localSheetId="17">'比较法-住宅、综合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23" i="68" l="1"/>
  <c r="O22" i="68"/>
  <c r="O21" i="68"/>
  <c r="O20" i="68"/>
  <c r="O19" i="68"/>
  <c r="O18" i="68"/>
  <c r="O17" i="68"/>
  <c r="O16" i="68"/>
  <c r="O15" i="68"/>
  <c r="O14" i="68"/>
  <c r="O13" i="68"/>
  <c r="O12" i="68"/>
  <c r="O11" i="68"/>
  <c r="O10" i="68"/>
  <c r="O9" i="68"/>
  <c r="O8" i="68"/>
  <c r="O7" i="68"/>
  <c r="O6" i="68"/>
  <c r="O5" i="68"/>
  <c r="O4" i="68"/>
  <c r="O3" i="68"/>
  <c r="O2" i="68"/>
  <c r="I13" i="3" l="1"/>
  <c r="D3" i="4" l="1"/>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I61" i="70"/>
  <c r="C61" i="70" s="1"/>
  <c r="H61" i="70"/>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K23" i="69"/>
  <c r="K22" i="69"/>
  <c r="K21" i="69"/>
  <c r="K20" i="69"/>
  <c r="K19" i="69"/>
  <c r="K18" i="69"/>
  <c r="K17" i="69"/>
  <c r="K16" i="69"/>
  <c r="K15" i="69"/>
  <c r="K14" i="69"/>
  <c r="K13" i="69"/>
  <c r="K12" i="69"/>
  <c r="K11" i="69"/>
  <c r="O11" i="69" s="1"/>
  <c r="K10" i="69"/>
  <c r="K9" i="69"/>
  <c r="K8" i="69"/>
  <c r="K7" i="69"/>
  <c r="K6" i="69"/>
  <c r="K5" i="69"/>
  <c r="K4" i="69"/>
  <c r="K3" i="69"/>
  <c r="K2" i="69"/>
  <c r="H29" i="70" l="1"/>
  <c r="AB29" i="70" s="1"/>
  <c r="U10" i="70"/>
  <c r="AC38" i="70"/>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F19" i="6" l="1"/>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s="1"/>
  <c r="N12" i="59"/>
  <c r="X12" i="59" s="1"/>
  <c r="D12" i="59"/>
  <c r="X8" i="59"/>
  <c r="X10" i="59"/>
  <c r="AA8" i="59"/>
  <c r="AA10" i="59"/>
  <c r="Y8" i="59"/>
  <c r="Z8" i="59" s="1"/>
  <c r="Y10" i="59"/>
  <c r="Z10" i="59" s="1"/>
  <c r="Y11" i="59"/>
  <c r="Z11" i="59" s="1"/>
  <c r="Y3" i="59"/>
  <c r="Z3" i="59" s="1"/>
  <c r="AB11" i="59"/>
  <c r="AB8" i="59"/>
  <c r="AB9" i="59"/>
  <c r="AB10" i="59"/>
  <c r="E13" i="59"/>
  <c r="E14" i="59" s="1"/>
  <c r="E15" i="59" s="1"/>
  <c r="U15" i="59" s="1"/>
  <c r="S51" i="59"/>
  <c r="Z21" i="59"/>
  <c r="AA22" i="59"/>
  <c r="F18" i="59"/>
  <c r="F19" i="59" s="1"/>
  <c r="V19" i="59" s="1"/>
  <c r="F26" i="59"/>
  <c r="F27" i="59" s="1"/>
  <c r="V27" i="59" s="1"/>
  <c r="F30" i="59"/>
  <c r="F31" i="59" s="1"/>
  <c r="V31" i="59" s="1"/>
  <c r="F38" i="59"/>
  <c r="F39" i="59" s="1"/>
  <c r="V39" i="59" s="1"/>
  <c r="F42" i="59"/>
  <c r="F43" i="59"/>
  <c r="V43" i="59" s="1"/>
  <c r="C22" i="59"/>
  <c r="D21" i="59"/>
  <c r="C26" i="59"/>
  <c r="D25" i="59"/>
  <c r="C30" i="59"/>
  <c r="D30" i="59" s="1"/>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18" i="35"/>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AA41" i="21"/>
  <c r="W41" i="21"/>
  <c r="U30" i="37"/>
  <c r="F103" i="37"/>
  <c r="F39" i="37"/>
  <c r="S39" i="37"/>
  <c r="F29" i="36"/>
  <c r="AA29" i="36" s="1"/>
  <c r="F16" i="36"/>
  <c r="AA16" i="36" s="1"/>
  <c r="U22" i="36"/>
  <c r="W22" i="36"/>
  <c r="U26" i="36"/>
  <c r="AC31" i="36"/>
  <c r="W33" i="36"/>
  <c r="U31" i="35"/>
  <c r="W24" i="35"/>
  <c r="W31" i="35"/>
  <c r="F36" i="34"/>
  <c r="S36" i="34"/>
  <c r="S34" i="34"/>
  <c r="W39" i="34"/>
  <c r="H39" i="33"/>
  <c r="AB39" i="33" s="1"/>
  <c r="U9" i="33"/>
  <c r="W38" i="33"/>
  <c r="S40" i="33"/>
  <c r="S33" i="33"/>
  <c r="W33" i="33"/>
  <c r="U38" i="33"/>
  <c r="S8" i="21"/>
  <c r="W8" i="21"/>
  <c r="H39" i="37"/>
  <c r="AB39" i="37"/>
  <c r="S10" i="40"/>
  <c r="W10" i="40"/>
  <c r="S11" i="40"/>
  <c r="U11" i="40"/>
  <c r="S36" i="40"/>
  <c r="U36" i="40"/>
  <c r="F11" i="21"/>
  <c r="S11" i="21" s="1"/>
  <c r="AC40" i="21"/>
  <c r="AA38" i="21"/>
  <c r="AC35" i="21"/>
  <c r="H32" i="33"/>
  <c r="AB32" i="33" s="1"/>
  <c r="H11" i="21"/>
  <c r="U11" i="21" s="1"/>
  <c r="J11" i="21"/>
  <c r="W11" i="21" s="1"/>
  <c r="F100" i="40"/>
  <c r="AA12" i="33"/>
  <c r="J27" i="36"/>
  <c r="W27" i="36" s="1"/>
  <c r="J34" i="36"/>
  <c r="J30" i="35"/>
  <c r="W30" i="35" s="1"/>
  <c r="F22" i="35"/>
  <c r="AA22" i="35" s="1"/>
  <c r="H10" i="35"/>
  <c r="U10" i="35" s="1"/>
  <c r="U24" i="36"/>
  <c r="E85" i="36"/>
  <c r="F85" i="36"/>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F125" i="21"/>
  <c r="G125" i="21" s="1"/>
  <c r="AB30" i="36"/>
  <c r="H29" i="35"/>
  <c r="S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AZ504" i="3" s="1"/>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W12" i="36"/>
  <c r="AC12" i="36"/>
  <c r="U31" i="36"/>
  <c r="S8" i="37"/>
  <c r="AA8" i="37"/>
  <c r="F15" i="40"/>
  <c r="AA15" i="40" s="1"/>
  <c r="J15" i="40"/>
  <c r="AC15" i="40" s="1"/>
  <c r="H15" i="40"/>
  <c r="AB15" i="40" s="1"/>
  <c r="E92" i="40"/>
  <c r="F92" i="40" s="1"/>
  <c r="H23" i="40"/>
  <c r="U23" i="40" s="1"/>
  <c r="H41" i="40"/>
  <c r="AB41" i="40" s="1"/>
  <c r="F41" i="40"/>
  <c r="AA41" i="40" s="1"/>
  <c r="J41" i="40"/>
  <c r="W41" i="40" s="1"/>
  <c r="H36" i="33"/>
  <c r="AB36" i="33"/>
  <c r="H37" i="34"/>
  <c r="E94" i="40"/>
  <c r="F94" i="40" s="1"/>
  <c r="G94" i="40" s="1"/>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s="1"/>
  <c r="W40" i="40"/>
  <c r="F34" i="44"/>
  <c r="F27" i="43"/>
  <c r="F66" i="9"/>
  <c r="P72" i="9" s="1"/>
  <c r="F71" i="9"/>
  <c r="F72" i="9"/>
  <c r="AC14" i="40"/>
  <c r="W35" i="40"/>
  <c r="S33" i="40"/>
  <c r="AB32" i="40"/>
  <c r="U37" i="34"/>
  <c r="AB37" i="34"/>
  <c r="AC41" i="40"/>
  <c r="U41" i="40"/>
  <c r="J23" i="40"/>
  <c r="AC23" i="40" s="1"/>
  <c r="G92" i="40"/>
  <c r="F23" i="40"/>
  <c r="S23" i="40"/>
  <c r="W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22" i="31"/>
  <c r="M20" i="15"/>
  <c r="D96" i="9"/>
  <c r="F28" i="15"/>
  <c r="M18" i="15"/>
  <c r="BA16" i="3"/>
  <c r="BA17" i="3"/>
  <c r="AZ17" i="3"/>
  <c r="F3" i="35"/>
  <c r="K1" i="43"/>
  <c r="K1" i="12"/>
  <c r="G1" i="44"/>
  <c r="I4" i="6"/>
  <c r="C13" i="70" s="1"/>
  <c r="AZ15" i="3"/>
  <c r="BK5" i="3"/>
  <c r="BO5" i="3"/>
  <c r="BP5" i="3"/>
  <c r="BN5" i="3"/>
  <c r="BL18" i="3"/>
  <c r="AZ18" i="3"/>
  <c r="BC5" i="3"/>
  <c r="E8" i="6"/>
  <c r="BD5" i="3"/>
  <c r="BR5" i="3"/>
  <c r="G28" i="6" s="1"/>
  <c r="BS5" i="3"/>
  <c r="BQ5" i="3"/>
  <c r="F28"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B73" i="70" s="1"/>
  <c r="P23" i="46"/>
  <c r="P21" i="46"/>
  <c r="P22" i="46"/>
  <c r="H7" i="33"/>
  <c r="AB7" i="33" s="1"/>
  <c r="T48" i="33" s="1"/>
  <c r="G48" i="33"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A9" i="64"/>
  <c r="E52" i="37"/>
  <c r="F52" i="37" s="1"/>
  <c r="G52" i="37" s="1"/>
  <c r="F48" i="35"/>
  <c r="G48" i="35" s="1"/>
  <c r="H48" i="35" s="1"/>
  <c r="I48" i="35" s="1"/>
  <c r="J48" i="35" s="1"/>
  <c r="W7" i="33"/>
  <c r="AC7" i="33"/>
  <c r="V48" i="33" s="1"/>
  <c r="I48" i="33" s="1"/>
  <c r="U7" i="33"/>
  <c r="D67" i="40"/>
  <c r="E65" i="40"/>
  <c r="E67" i="40" s="1"/>
  <c r="AA7" i="33"/>
  <c r="R48" i="33" s="1"/>
  <c r="R49" i="33" s="1"/>
  <c r="E4" i="4"/>
  <c r="B21" i="55" s="1"/>
  <c r="B72" i="63" s="1"/>
  <c r="G66" i="36"/>
  <c r="J18" i="36"/>
  <c r="W18" i="36" s="1"/>
  <c r="AE8" i="1"/>
  <c r="AE7" i="1"/>
  <c r="AC18" i="36"/>
  <c r="AG6" i="1"/>
  <c r="E29" i="6"/>
  <c r="K15" i="1" s="1"/>
  <c r="L20" i="6"/>
  <c r="L19" i="6"/>
  <c r="F7" i="21"/>
  <c r="S7" i="21" s="1"/>
  <c r="J7" i="21"/>
  <c r="W7" i="21" s="1"/>
  <c r="H7" i="21"/>
  <c r="U7" i="21" s="1"/>
  <c r="S7" i="1"/>
  <c r="S8" i="1"/>
  <c r="S9" i="1"/>
  <c r="R9" i="1"/>
  <c r="R7" i="1"/>
  <c r="R8" i="1"/>
  <c r="C45" i="9"/>
  <c r="H14" i="66" s="1"/>
  <c r="B7" i="66" s="1"/>
  <c r="K31" i="9"/>
  <c r="K32" i="9" s="1"/>
  <c r="N76" i="9"/>
  <c r="C46" i="9"/>
  <c r="K33" i="9" s="1"/>
  <c r="F33" i="44"/>
  <c r="M23" i="15"/>
  <c r="J36" i="15"/>
  <c r="B11" i="67"/>
  <c r="F40" i="44"/>
  <c r="E11" i="67"/>
  <c r="M8" i="15"/>
  <c r="B13" i="67"/>
  <c r="F36" i="15"/>
  <c r="L48" i="15"/>
  <c r="M28" i="15"/>
  <c r="M10" i="44"/>
  <c r="N4" i="65"/>
  <c r="L49" i="44"/>
  <c r="F37" i="44"/>
  <c r="F11" i="44"/>
  <c r="M29" i="44"/>
  <c r="N3" i="65"/>
  <c r="M9" i="15"/>
  <c r="M6" i="15"/>
  <c r="M26" i="15"/>
  <c r="E14" i="67"/>
  <c r="M26" i="44"/>
  <c r="F14" i="67"/>
  <c r="F8" i="44"/>
  <c r="M8" i="44"/>
  <c r="F42" i="15"/>
  <c r="F9" i="15"/>
  <c r="F39" i="44"/>
  <c r="F13" i="67"/>
  <c r="F43" i="15"/>
  <c r="M22" i="15"/>
  <c r="F11" i="67"/>
  <c r="F37" i="15"/>
  <c r="F38" i="44"/>
  <c r="C19" i="44"/>
  <c r="M25" i="44"/>
  <c r="F40" i="15"/>
  <c r="F10" i="44"/>
  <c r="F26" i="15"/>
  <c r="E10" i="67"/>
  <c r="M27" i="15"/>
  <c r="F9" i="44"/>
  <c r="M29" i="15"/>
  <c r="F12" i="67"/>
  <c r="F38" i="15"/>
  <c r="F16" i="15"/>
  <c r="F8" i="15"/>
  <c r="F9" i="67"/>
  <c r="F43" i="44"/>
  <c r="E9" i="67"/>
  <c r="F45" i="44"/>
  <c r="E13" i="67"/>
  <c r="M23" i="44"/>
  <c r="M30" i="44"/>
  <c r="M11" i="44"/>
  <c r="F46" i="44"/>
  <c r="F8" i="67"/>
  <c r="E12" i="67"/>
  <c r="M24" i="44"/>
  <c r="N6" i="65"/>
  <c r="F6" i="15"/>
  <c r="E8" i="67"/>
  <c r="F28" i="44"/>
  <c r="F18" i="44"/>
  <c r="B14" i="67"/>
  <c r="M28" i="44"/>
  <c r="M31" i="44"/>
  <c r="B12" i="67"/>
  <c r="B10" i="67"/>
  <c r="F13" i="15"/>
  <c r="B9" i="67"/>
  <c r="F10" i="67"/>
  <c r="L47" i="15"/>
  <c r="M24" i="15"/>
  <c r="F7" i="15"/>
  <c r="J17" i="44"/>
  <c r="L48" i="44"/>
  <c r="N5" i="65"/>
  <c r="F15" i="44"/>
  <c r="B8" i="67"/>
  <c r="J15" i="15"/>
  <c r="N7" i="65"/>
  <c r="P75" i="15" l="1"/>
  <c r="AB7" i="21"/>
  <c r="T48" i="21" s="1"/>
  <c r="G48" i="21" s="1"/>
  <c r="F65" i="40"/>
  <c r="G65" i="40" s="1"/>
  <c r="AC7" i="21"/>
  <c r="V48" i="21" s="1"/>
  <c r="I48" i="21" s="1"/>
  <c r="AA7" i="21"/>
  <c r="R48" i="21" s="1"/>
  <c r="R49" i="21" s="1"/>
  <c r="F30" i="6"/>
  <c r="E53" i="40"/>
  <c r="E58" i="70"/>
  <c r="AZ492" i="3"/>
  <c r="AZ544" i="3"/>
  <c r="U36" i="21"/>
  <c r="AB36" i="21"/>
  <c r="BL13" i="3"/>
  <c r="BF5" i="3"/>
  <c r="E12" i="6" s="1"/>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L56" i="15"/>
  <c r="F65" i="15"/>
  <c r="F50" i="15"/>
  <c r="L58" i="15"/>
  <c r="C8" i="44"/>
  <c r="M7" i="15"/>
  <c r="J6" i="15" s="1"/>
  <c r="F49" i="15"/>
  <c r="C29" i="44"/>
  <c r="F63" i="15"/>
  <c r="Q72" i="15"/>
  <c r="M17" i="15"/>
  <c r="F58" i="15"/>
  <c r="M19" i="44"/>
  <c r="J6" i="65"/>
  <c r="I4" i="65"/>
  <c r="C18" i="44"/>
  <c r="J7" i="65"/>
  <c r="I7" i="65"/>
  <c r="I5" i="65"/>
  <c r="I3" i="65"/>
  <c r="I6" i="65"/>
  <c r="J4" i="65"/>
  <c r="J3" i="65"/>
  <c r="C16" i="15"/>
  <c r="J5" i="65"/>
  <c r="B70" i="63" l="1"/>
  <c r="Q16" i="1"/>
  <c r="F24" i="43" s="1"/>
  <c r="C26" i="43" s="1"/>
  <c r="D24" i="43" s="1"/>
  <c r="H65" i="40"/>
  <c r="G67" i="40"/>
  <c r="E64" i="7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W12" i="40" s="1"/>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W7" i="37" s="1"/>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AC7" i="37"/>
  <c r="V42" i="37" s="1"/>
  <c r="I42" i="37" s="1"/>
  <c r="K34" i="9"/>
  <c r="L47" i="44"/>
  <c r="Q74" i="15"/>
  <c r="Q61" i="15"/>
  <c r="Q75" i="44"/>
  <c r="Q62" i="44"/>
  <c r="C48" i="15"/>
  <c r="F1" i="15"/>
  <c r="Q53" i="15"/>
  <c r="F1" i="44"/>
  <c r="Q54" i="44"/>
  <c r="M13" i="44"/>
  <c r="J12" i="44" s="1"/>
  <c r="J7" i="44" s="1"/>
  <c r="F11" i="15"/>
  <c r="F13" i="44"/>
  <c r="C12" i="44" s="1"/>
  <c r="C7" i="44" s="1"/>
  <c r="M11" i="15"/>
  <c r="J10" i="15" s="1"/>
  <c r="J5" i="15" s="1"/>
  <c r="Q76" i="44"/>
  <c r="Q63" i="44"/>
  <c r="E3" i="65"/>
  <c r="C17" i="15"/>
  <c r="AE6" i="1"/>
  <c r="E2" i="65"/>
  <c r="F18" i="11" l="1"/>
  <c r="C18" i="11" s="1"/>
  <c r="AC12" i="40"/>
  <c r="F33" i="12"/>
  <c r="C34" i="12" s="1"/>
  <c r="D33" i="12" s="1"/>
  <c r="I65" i="40"/>
  <c r="H67" i="40"/>
  <c r="Q75" i="15"/>
  <c r="D35" i="59"/>
  <c r="T35" i="59"/>
  <c r="E65" i="70"/>
  <c r="E68" i="70" s="1"/>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C19" i="11" l="1"/>
  <c r="C20" i="11" s="1"/>
  <c r="C21" i="11" s="1"/>
  <c r="C22" i="11" s="1"/>
  <c r="C23" i="11" s="1"/>
  <c r="B2" i="11" s="1"/>
  <c r="B4" i="11" s="1"/>
  <c r="I67" i="40"/>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C59" i="15"/>
  <c r="C65" i="15"/>
  <c r="C32" i="15"/>
  <c r="C38" i="15"/>
  <c r="C23" i="43"/>
  <c r="D21" i="43" s="1"/>
  <c r="Q67" i="44"/>
  <c r="Q49" i="44"/>
  <c r="Q55" i="44" s="1"/>
  <c r="Q58" i="44"/>
  <c r="C16" i="44"/>
  <c r="C14" i="15"/>
  <c r="J67" i="40" l="1"/>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M21" i="15"/>
  <c r="E7" i="67"/>
  <c r="F35" i="15"/>
  <c r="I6" i="6" l="1"/>
  <c r="N65" i="40"/>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E48" i="40" l="1"/>
  <c r="F48" i="40" s="1"/>
  <c r="E49" i="40"/>
  <c r="F49" i="40" s="1"/>
  <c r="C44" i="40"/>
  <c r="C45" i="40"/>
  <c r="G49" i="40"/>
  <c r="H49" i="40" s="1"/>
  <c r="G48" i="40"/>
  <c r="H48" i="40" s="1"/>
  <c r="L72" i="70"/>
  <c r="M70" i="70"/>
  <c r="J39" i="15"/>
  <c r="J40" i="15" s="1"/>
  <c r="Q70" i="15"/>
  <c r="Q69" i="15" s="1"/>
  <c r="B4" i="44"/>
  <c r="B5" i="44"/>
  <c r="L57" i="15"/>
  <c r="L60" i="15" s="1"/>
  <c r="L46" i="15" s="1"/>
  <c r="B2" i="15" s="1"/>
  <c r="C70" i="15"/>
  <c r="C46" i="15"/>
  <c r="Q57" i="15"/>
  <c r="Q66" i="15"/>
  <c r="Q48" i="15"/>
  <c r="Q54" i="15" s="1"/>
  <c r="C43" i="15"/>
  <c r="J42" i="15"/>
  <c r="J43" i="15" s="1"/>
  <c r="L51" i="15"/>
  <c r="Q68" i="15" l="1"/>
  <c r="B57" i="40"/>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0" i="9"/>
  <c r="D21"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1" i="9"/>
  <c r="C20" i="9"/>
  <c r="G21" i="9" l="1"/>
  <c r="G20" i="9"/>
  <c r="N43" i="9"/>
  <c r="G22" i="9"/>
  <c r="C32" i="9"/>
  <c r="C34" i="9" l="1"/>
  <c r="C42" i="9"/>
  <c r="O38" i="9"/>
  <c r="O43" i="9"/>
  <c r="C33" i="9"/>
  <c r="C35" i="9"/>
  <c r="F42" i="9" s="1"/>
  <c r="R5" i="54" l="1"/>
  <c r="C44" i="9"/>
  <c r="D63" i="9"/>
  <c r="D73" i="9" s="1"/>
  <c r="N73" i="9" s="1"/>
  <c r="D14" i="66"/>
  <c r="N68" i="9"/>
  <c r="N38" i="9"/>
  <c r="K28" i="9" s="1"/>
  <c r="D42" i="9"/>
  <c r="Q5" i="54" s="1"/>
  <c r="K26" i="9"/>
  <c r="K25" i="9"/>
  <c r="E42" i="9"/>
  <c r="P5" i="54" s="1"/>
  <c r="M38" i="9"/>
  <c r="K27" i="9" s="1"/>
  <c r="B46" i="63" l="1"/>
  <c r="B47" i="63"/>
  <c r="B48" i="63"/>
  <c r="F14" i="66"/>
  <c r="E14" i="66"/>
  <c r="G14" i="66"/>
  <c r="E44" i="9"/>
  <c r="D44" i="9"/>
  <c r="N69" i="9"/>
  <c r="O39" i="9"/>
  <c r="F44" i="9"/>
  <c r="C103" i="9"/>
  <c r="C96" i="9"/>
  <c r="C91" i="9" s="1"/>
  <c r="C111" i="9"/>
  <c r="C104" i="9" s="1"/>
  <c r="C90" i="9"/>
  <c r="D77" i="9"/>
  <c r="N75" i="9" s="1"/>
  <c r="D70" i="9"/>
  <c r="D71" i="9"/>
  <c r="D66" i="9" s="1"/>
  <c r="N72" i="9" s="1"/>
  <c r="C82" i="9"/>
  <c r="C81" i="9" s="1"/>
  <c r="C85" i="9" s="1"/>
  <c r="C86" i="9" s="1"/>
  <c r="D72" i="9" s="1"/>
  <c r="C97" i="9" l="1"/>
  <c r="C98" i="9" s="1"/>
  <c r="E98" i="9" s="1"/>
  <c r="E99" i="9" s="1"/>
  <c r="M83" i="9"/>
  <c r="N83" i="9" s="1"/>
  <c r="M84" i="9"/>
  <c r="N84" i="9" s="1"/>
  <c r="M87" i="9"/>
  <c r="N87" i="9" s="1"/>
  <c r="M85" i="9"/>
  <c r="N85" i="9" s="1"/>
  <c r="M86" i="9"/>
  <c r="N86" i="9" s="1"/>
  <c r="M88" i="9"/>
  <c r="N88" i="9" s="1"/>
  <c r="C113" i="9"/>
  <c r="R6" i="54"/>
  <c r="K29" i="9"/>
  <c r="K30" i="9" s="1"/>
  <c r="B50" i="63" l="1"/>
  <c r="C99" i="9"/>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<sst xmlns="http://schemas.openxmlformats.org/spreadsheetml/2006/main" count="7291" uniqueCount="3141">
  <si>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</si>
  <si>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</si>
  <si>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</si>
  <si>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</si>
  <si>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</si>
  <si>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</si>
  <si>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</si>
  <si>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</si>
  <si>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</si>
  <si>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</si>
  <si>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</si>
  <si>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</si>
  <si>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</si>
  <si>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</si>
  <si>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</si>
  <si>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</si>
  <si>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</si>
  <si>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</si>
  <si>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</si>
  <si>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</si>
  <si>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</si>
  <si>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</si>
  <si>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</si>
  <si>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</si>
  <si>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</si>
  <si>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</si>
  <si>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</si>
  <si>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</si>
  <si>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</si>
  <si>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</si>
  <si>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</si>
  <si>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</si>
  <si>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</si>
  <si>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</si>
  <si>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</si>
  <si>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</si>
  <si>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</si>
  <si>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</si>
  <si>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</si>
  <si>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</si>
  <si>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</si>
  <si>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</si>
  <si>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</si>
  <si>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</si>
  <si>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</si>
  <si>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</si>
  <si>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</si>
  <si>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</si>
  <si>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</si>
  <si>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</si>
  <si>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</si>
  <si>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</si>
  <si>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</si>
  <si>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</si>
  <si>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</si>
  <si>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</si>
  <si>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</si>
  <si>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</si>
  <si>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</si>
  <si>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</si>
  <si>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</si>
  <si>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</si>
  <si>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</si>
  <si>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</si>
  <si>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</si>
  <si>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</si>
  <si>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</si>
  <si>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</si>
  <si>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</si>
  <si>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</si>
  <si>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</si>
  <si>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</si>
  <si>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</si>
  <si>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</si>
  <si>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</si>
  <si>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</si>
  <si>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</si>
  <si>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</si>
  <si>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</si>
  <si>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</si>
  <si>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</si>
  <si>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</si>
  <si>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</si>
  <si>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</si>
  <si>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</si>
  <si>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</si>
  <si>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</si>
  <si>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</si>
  <si>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</si>
  <si>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</si>
  <si>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</si>
  <si>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</si>
  <si>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</si>
  <si>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</si>
  <si>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</si>
  <si>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</si>
  <si>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</si>
  <si>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</si>
  <si>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</si>
  <si>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</si>
  <si>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</si>
  <si>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</si>
  <si>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</si>
  <si>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</si>
  <si>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</si>
  <si>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</si>
  <si>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</si>
  <si>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</si>
  <si>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</si>
  <si>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</si>
  <si>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</si>
  <si>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</si>
  <si>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</si>
  <si>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</si>
  <si>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</si>
  <si>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</si>
  <si>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</si>
  <si>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</si>
  <si>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</si>
  <si>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</si>
  <si>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</si>
  <si>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</si>
  <si>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</si>
  <si>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</si>
  <si>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</si>
  <si>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</si>
  <si>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</si>
  <si>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</si>
  <si>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</si>
  <si>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</si>
  <si>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</si>
  <si>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</si>
  <si>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</si>
  <si>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</si>
  <si>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</si>
  <si>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</si>
  <si>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</si>
  <si>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</si>
  <si>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</si>
  <si>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</si>
  <si>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</si>
  <si>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</si>
  <si>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</si>
  <si>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</si>
  <si>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</si>
  <si>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</si>
  <si>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</si>
  <si>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</si>
  <si>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</si>
  <si>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</si>
  <si>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</si>
  <si>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</si>
  <si>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</si>
  <si>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</si>
  <si>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</si>
  <si>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</si>
  <si>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</si>
  <si>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</si>
  <si>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</si>
  <si>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</si>
  <si>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</si>
  <si>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</si>
  <si>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</si>
  <si>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</si>
  <si>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</si>
  <si>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</si>
  <si>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</si>
  <si>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</si>
  <si>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</si>
  <si>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</si>
  <si>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</si>
  <si>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</si>
  <si>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</si>
  <si>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</si>
  <si>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</si>
  <si>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</si>
  <si>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</si>
  <si>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</si>
  <si>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</si>
  <si>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</si>
  <si>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</si>
  <si>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</si>
  <si>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</si>
  <si>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</si>
  <si>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</si>
  <si>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</si>
  <si>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</si>
  <si>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</si>
  <si>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</si>
  <si>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</si>
  <si>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</si>
  <si>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</si>
  <si>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</si>
  <si>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</si>
  <si>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</si>
  <si>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</si>
  <si>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</si>
  <si>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</si>
  <si>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</si>
  <si>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</si>
  <si>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</si>
  <si>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</si>
  <si>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</si>
  <si>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</si>
  <si>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</si>
  <si>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</si>
  <si>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</si>
  <si>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</si>
  <si>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</si>
  <si>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</si>
  <si>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</si>
  <si>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</si>
  <si>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</si>
  <si>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</si>
  <si>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</si>
  <si>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</si>
  <si>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</si>
  <si>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</si>
  <si>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</si>
  <si>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</si>
  <si>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</si>
  <si>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</si>
  <si>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</si>
  <si>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</si>
  <si>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</si>
  <si>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</si>
  <si>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</si>
  <si>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</si>
  <si>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</si>
  <si>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</si>
  <si>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</si>
  <si>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</si>
  <si>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</si>
  <si>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</si>
  <si>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</si>
  <si>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</si>
  <si>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</si>
  <si>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</si>
  <si>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</si>
  <si>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</si>
  <si>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</si>
  <si>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</si>
  <si>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</si>
  <si>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</si>
  <si>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</si>
  <si>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</si>
  <si>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</si>
  <si>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</si>
  <si>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</si>
  <si>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</si>
  <si>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</si>
  <si>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</si>
  <si>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</si>
  <si>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</si>
  <si>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</si>
  <si>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</si>
  <si>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</si>
  <si>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</si>
  <si>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</si>
  <si>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</si>
  <si>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</si>
  <si>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</si>
  <si>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</si>
  <si>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</si>
  <si>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</si>
  <si>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</si>
  <si>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</si>
  <si>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</si>
  <si>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</si>
  <si>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</si>
  <si>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</si>
  <si>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</si>
  <si>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</si>
  <si>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</si>
  <si>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</si>
  <si>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</si>
  <si>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</si>
  <si>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</si>
  <si>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</si>
  <si>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</si>
  <si>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</si>
  <si>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</si>
  <si>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</si>
  <si>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</si>
  <si>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</si>
  <si>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</si>
  <si>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</si>
  <si>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</si>
  <si>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</si>
  <si>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</si>
  <si>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</si>
  <si>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</si>
  <si>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</si>
  <si>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</si>
  <si>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</si>
  <si>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</si>
  <si>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</si>
  <si>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</si>
  <si>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</si>
  <si>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</si>
  <si>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</si>
  <si>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</si>
  <si>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</si>
  <si>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</si>
  <si>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</si>
  <si>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</si>
  <si>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</si>
  <si>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</si>
  <si>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</si>
  <si>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</si>
  <si>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</si>
  <si>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</si>
  <si>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</si>
  <si>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</si>
  <si>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</si>
  <si>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</si>
  <si>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</si>
  <si>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</si>
  <si>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</si>
  <si>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</si>
  <si>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</si>
  <si>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</si>
  <si>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</si>
  <si>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</si>
  <si>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</si>
  <si>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</si>
  <si>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</si>
  <si>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</si>
  <si>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</si>
  <si>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</si>
  <si>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</si>
  <si>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</si>
  <si>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</si>
  <si>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</si>
  <si>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</si>
  <si>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</si>
  <si>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</si>
  <si>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</si>
  <si>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</si>
  <si>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</si>
  <si>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</si>
  <si>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</si>
  <si>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</si>
  <si>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</si>
  <si>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</si>
  <si>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</si>
  <si>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</si>
  <si>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</si>
  <si>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</si>
  <si>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</si>
  <si>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</si>
  <si>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</si>
  <si>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</si>
  <si>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</si>
  <si>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</si>
  <si>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</si>
  <si>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</si>
  <si>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</si>
  <si>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</si>
  <si>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</si>
  <si>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</si>
  <si>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</si>
  <si>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</si>
  <si>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</si>
  <si>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</si>
  <si>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</si>
  <si>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</si>
  <si>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</si>
  <si>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</si>
  <si>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</si>
  <si>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</si>
  <si>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</si>
  <si>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</si>
  <si>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</si>
  <si>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</si>
  <si>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</si>
  <si>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</si>
  <si>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</si>
  <si>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</si>
  <si>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</si>
  <si>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</si>
  <si>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</si>
  <si>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</si>
  <si>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</si>
  <si>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</si>
  <si>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</si>
  <si>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</si>
  <si>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</si>
  <si>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</si>
  <si>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</si>
  <si>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</si>
  <si>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</si>
  <si>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</si>
  <si>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</si>
  <si>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</si>
  <si>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</si>
  <si>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</si>
  <si>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</si>
  <si>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</si>
  <si>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</si>
  <si>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</si>
  <si>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</si>
  <si>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</si>
  <si>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</si>
  <si>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</si>
  <si>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</si>
  <si>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</si>
  <si>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</si>
  <si>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</si>
  <si>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</si>
  <si>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</si>
  <si>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</si>
  <si>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</si>
  <si>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</si>
  <si>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</si>
  <si>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</si>
  <si>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</si>
  <si>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</si>
  <si>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</si>
  <si>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</si>
  <si>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</si>
  <si>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</si>
  <si>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</si>
  <si>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</si>
  <si>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</si>
  <si>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</si>
  <si>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</si>
  <si>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</si>
  <si>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</si>
  <si>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</si>
  <si>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</si>
  <si>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</si>
  <si>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</si>
  <si>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</si>
  <si>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</si>
  <si>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</si>
  <si>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</si>
  <si>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</si>
  <si>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</si>
  <si>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</si>
  <si>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</si>
  <si>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</si>
  <si>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</si>
  <si>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</si>
  <si>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</si>
  <si>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</si>
  <si>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</si>
  <si>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</si>
  <si>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</si>
  <si>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</si>
  <si>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</si>
  <si>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</si>
  <si>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</si>
  <si>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</si>
  <si>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</si>
  <si>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</si>
  <si>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</si>
  <si>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</si>
  <si>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</si>
  <si>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</si>
  <si>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</si>
  <si>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</si>
  <si>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</si>
  <si>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</si>
  <si>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</si>
  <si>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</si>
  <si>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</si>
  <si>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</si>
  <si>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</si>
  <si>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</si>
  <si>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</si>
  <si>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</si>
  <si>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</si>
  <si>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</si>
  <si>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</si>
  <si>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</si>
  <si>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</si>
  <si>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</si>
  <si>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</si>
  <si>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</si>
  <si>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</si>
  <si>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</si>
  <si>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</si>
  <si>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</si>
  <si>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</si>
  <si>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</si>
  <si>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</si>
  <si>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</si>
  <si>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</si>
  <si>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</si>
  <si>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</si>
  <si>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</si>
  <si>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</si>
  <si>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</si>
  <si>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</si>
  <si>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</si>
  <si>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</si>
  <si>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</si>
  <si>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</si>
  <si>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</si>
  <si>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</si>
  <si>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</si>
  <si>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</si>
  <si>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</si>
  <si>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</si>
  <si>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</si>
  <si>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</si>
  <si>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</si>
  <si>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</si>
  <si>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</si>
  <si>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</si>
  <si>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</si>
  <si>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</si>
  <si>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</si>
  <si>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</si>
  <si>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</si>
  <si>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</si>
  <si>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</si>
  <si>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</si>
  <si>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</si>
  <si>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</si>
  <si>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</si>
  <si>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</si>
  <si>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</si>
  <si>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</si>
  <si>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</si>
  <si>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</si>
  <si>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</si>
  <si>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</si>
  <si>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</si>
  <si>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</si>
  <si>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</si>
  <si>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</si>
  <si>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</si>
  <si>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</si>
  <si>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</si>
  <si>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</si>
  <si>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</si>
  <si>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</si>
  <si>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</si>
  <si>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</si>
  <si>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</si>
  <si>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</si>
  <si>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</si>
  <si>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</si>
  <si>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</si>
  <si>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</si>
  <si>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</si>
  <si>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</si>
  <si>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</si>
  <si>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</si>
  <si>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</si>
  <si>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</si>
  <si>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</si>
  <si>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</si>
  <si>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</si>
  <si>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</si>
  <si>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</si>
  <si>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</si>
  <si>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</si>
  <si>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</si>
  <si>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</si>
  <si>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</si>
  <si>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</si>
  <si>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</si>
  <si>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</si>
  <si>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</si>
  <si>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</si>
  <si>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</si>
  <si>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</si>
  <si>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</si>
  <si>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</si>
  <si>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</si>
  <si>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</si>
  <si>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</si>
  <si>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</si>
  <si>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</si>
  <si>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</si>
  <si>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</si>
  <si>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</si>
  <si>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</si>
  <si>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</si>
  <si>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</si>
  <si>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</si>
  <si>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</si>
  <si>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</si>
  <si>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</si>
  <si>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</si>
  <si>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</si>
  <si>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</si>
  <si>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</si>
  <si>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</si>
  <si>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</si>
  <si>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</si>
  <si>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</si>
  <si>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</si>
  <si>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</si>
  <si>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</si>
  <si>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</si>
  <si>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</si>
  <si>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</si>
  <si>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</si>
  <si>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</si>
  <si>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</si>
  <si>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</si>
  <si>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</si>
  <si>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</si>
  <si>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</si>
  <si>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</si>
  <si>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</si>
  <si>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</si>
  <si>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</si>
  <si>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</si>
  <si>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</si>
  <si>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</si>
  <si>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</si>
  <si>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</si>
  <si>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</si>
  <si>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</si>
  <si>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</si>
  <si>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</si>
  <si>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</si>
  <si>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</si>
  <si>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</si>
  <si>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</si>
  <si>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</si>
  <si>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</si>
  <si>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</si>
  <si>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</si>
  <si>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</si>
  <si>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</si>
  <si>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</si>
  <si>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</si>
  <si>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</si>
  <si>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</si>
  <si>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</si>
  <si>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</si>
  <si>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</si>
  <si>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</si>
  <si>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</si>
  <si>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</si>
  <si>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</si>
  <si>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</si>
  <si>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</si>
  <si>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</si>
  <si>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</si>
  <si>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</si>
  <si>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</si>
  <si>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</si>
  <si>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</si>
  <si>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</si>
  <si>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</si>
  <si>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</si>
  <si>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</si>
  <si>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</si>
  <si>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</si>
  <si>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</si>
  <si>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</si>
  <si>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</si>
  <si>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</si>
  <si>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</si>
  <si>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</si>
  <si>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</si>
  <si>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</si>
  <si>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</si>
  <si>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</si>
  <si>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</si>
  <si>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</si>
  <si>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</si>
  <si>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</si>
  <si>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</si>
  <si>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</si>
  <si>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</si>
  <si>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</si>
  <si>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</si>
  <si>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</si>
  <si>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</si>
  <si>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</si>
  <si>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</si>
  <si>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</si>
  <si>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</si>
  <si>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</si>
  <si>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</si>
  <si>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</si>
  <si>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</si>
  <si>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</si>
  <si>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</si>
  <si>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</si>
  <si>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</si>
  <si>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</si>
  <si>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</si>
  <si>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</si>
  <si>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</si>
  <si>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</si>
  <si>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</si>
  <si>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</si>
  <si>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</si>
  <si>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</si>
  <si>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</si>
  <si>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</si>
  <si>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</si>
  <si>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</si>
  <si>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</si>
  <si>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</si>
  <si>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</si>
  <si>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</si>
  <si>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</si>
  <si>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</si>
  <si>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</si>
  <si>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</si>
  <si>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</si>
  <si>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</si>
  <si>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</si>
  <si>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</si>
  <si>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</si>
  <si>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</si>
  <si>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</si>
  <si>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</si>
  <si>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</si>
  <si>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</si>
  <si>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</si>
  <si>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</si>
  <si>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</si>
  <si>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</si>
  <si>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</si>
  <si>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</si>
  <si>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</si>
  <si>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</si>
  <si>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</si>
  <si>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</si>
  <si>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</si>
  <si>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</si>
  <si>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</si>
  <si>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</si>
  <si>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</si>
  <si>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</si>
  <si>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</si>
  <si>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</si>
  <si>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</si>
  <si>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</si>
  <si>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</si>
  <si>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</si>
  <si>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</si>
  <si>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</si>
  <si>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</si>
  <si>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</si>
  <si>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</si>
  <si>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</si>
  <si>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</si>
  <si>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</si>
  <si>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</si>
  <si>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</si>
  <si>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</si>
  <si>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</si>
  <si>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</si>
  <si>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</si>
  <si>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</si>
  <si>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</si>
  <si>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</si>
  <si>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</si>
  <si>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</si>
  <si>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</si>
  <si>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</si>
  <si>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</si>
  <si>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</si>
  <si>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</si>
  <si>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</si>
  <si>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</si>
  <si>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</si>
  <si>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</si>
  <si>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</si>
  <si>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</si>
  <si>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</si>
  <si>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</si>
  <si>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</si>
  <si>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</si>
  <si>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</si>
  <si>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</si>
  <si>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</si>
  <si>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</si>
  <si>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</si>
  <si>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</si>
  <si>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</si>
  <si>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</si>
  <si>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</si>
  <si>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</si>
  <si>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</si>
  <si>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</si>
  <si>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</si>
  <si>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</si>
  <si>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</si>
  <si>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</si>
  <si>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</si>
  <si>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</si>
  <si>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</si>
  <si>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</si>
  <si>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</si>
  <si>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</si>
  <si>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</si>
  <si>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</si>
  <si>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</si>
  <si>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</si>
  <si>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</si>
  <si>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</si>
  <si>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</si>
  <si>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</si>
  <si>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</si>
  <si>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</si>
  <si>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</si>
  <si>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</si>
  <si>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</si>
  <si>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</si>
  <si>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</si>
  <si>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</si>
  <si>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</si>
  <si>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</si>
  <si>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</si>
  <si>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</si>
  <si>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</si>
  <si>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</si>
  <si>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</si>
  <si>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</si>
  <si>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</si>
  <si>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</si>
  <si>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</si>
  <si>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</si>
  <si>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</si>
  <si>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</si>
  <si>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</si>
  <si>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</si>
  <si>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</si>
  <si>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</si>
  <si>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</si>
  <si>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</si>
  <si>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</si>
  <si>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</si>
  <si>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</si>
  <si>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</si>
  <si>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</si>
  <si>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</si>
  <si>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</si>
  <si>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</si>
  <si>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</si>
  <si>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</si>
  <si>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</si>
  <si>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</si>
  <si>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</si>
  <si>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</si>
  <si>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</si>
  <si>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</si>
  <si>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</si>
  <si>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</si>
  <si>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</si>
  <si>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</si>
  <si>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</si>
  <si>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</si>
  <si>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</si>
  <si>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</si>
  <si>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</si>
  <si>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</si>
  <si>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</si>
  <si>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</si>
  <si>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</si>
  <si>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</si>
  <si>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</si>
  <si>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</si>
  <si>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</si>
  <si>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</si>
  <si>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</si>
  <si>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</si>
  <si>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</si>
  <si>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</si>
  <si>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</si>
  <si>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</si>
  <si>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</si>
  <si>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</si>
  <si>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</si>
  <si>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</si>
  <si>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</si>
  <si>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</si>
  <si>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</si>
  <si>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</si>
  <si>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</si>
  <si>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</si>
  <si>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</si>
  <si>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</si>
  <si>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</si>
  <si>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</si>
  <si>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</si>
  <si>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</si>
  <si>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</si>
  <si>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</si>
  <si>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</si>
  <si>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</si>
  <si>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</si>
  <si>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</si>
  <si>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</si>
  <si>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</si>
  <si>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</si>
  <si>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</si>
  <si>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</si>
  <si>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</si>
  <si>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</si>
  <si>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</si>
  <si>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</si>
  <si>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</si>
  <si>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</si>
  <si>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</si>
  <si>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</si>
  <si>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</si>
  <si>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</si>
  <si>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</si>
  <si>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</si>
  <si>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</si>
  <si>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</si>
  <si>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</si>
  <si>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</si>
  <si>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</si>
  <si>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</si>
  <si>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</si>
  <si>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</si>
  <si>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</si>
  <si>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</si>
  <si>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</si>
  <si>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</si>
  <si>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</si>
  <si>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</si>
  <si>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</si>
  <si>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</si>
  <si>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</si>
  <si>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</si>
  <si>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</si>
  <si>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</si>
  <si>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</si>
  <si>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</si>
  <si>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</si>
  <si>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</si>
  <si>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</si>
  <si>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</si>
  <si>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</si>
  <si>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</si>
  <si>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</si>
  <si>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</si>
  <si>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</si>
  <si>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</si>
  <si>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</si>
  <si>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</si>
  <si>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</si>
  <si>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</si>
  <si>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</si>
  <si>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</si>
  <si>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</si>
  <si>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</si>
  <si>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</si>
  <si>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</si>
  <si>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</si>
  <si>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</si>
  <si>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</si>
  <si>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</si>
  <si>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</si>
  <si>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</si>
  <si>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</si>
  <si>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</si>
  <si>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</si>
  <si>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</si>
  <si>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</si>
  <si>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</si>
  <si>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</si>
  <si>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</si>
  <si>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</si>
  <si>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</si>
  <si>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</si>
  <si>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</si>
  <si>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</si>
  <si>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</si>
  <si>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</si>
  <si>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</si>
  <si>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</si>
  <si>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</si>
  <si>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</si>
  <si>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</si>
  <si>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</si>
  <si>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</si>
  <si>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</si>
  <si>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</si>
  <si>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</si>
  <si>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</si>
  <si>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</si>
  <si>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</si>
  <si>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</si>
  <si>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</si>
  <si>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</si>
  <si>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</si>
  <si>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</si>
  <si>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</si>
  <si>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</si>
  <si>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</si>
  <si>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</si>
  <si>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</si>
  <si>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</si>
  <si>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</si>
  <si>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</si>
  <si>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</si>
  <si>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</si>
  <si>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</si>
  <si>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</si>
  <si>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</si>
  <si>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</si>
  <si>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</si>
  <si>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</si>
  <si>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</si>
  <si>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</si>
  <si>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</si>
  <si>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</si>
  <si>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</si>
  <si>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</si>
  <si>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</si>
  <si>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</si>
  <si>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</si>
  <si>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</si>
  <si>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</si>
  <si>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</si>
  <si>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</si>
  <si>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</si>
  <si>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</si>
  <si>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</si>
  <si>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</si>
  <si>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</si>
  <si>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</si>
  <si>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</si>
  <si>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</si>
  <si>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</si>
  <si>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</si>
  <si>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</si>
  <si>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</si>
  <si>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</si>
  <si>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</si>
  <si>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</si>
  <si>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</si>
  <si>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</si>
  <si>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</si>
  <si>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</si>
  <si>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</si>
  <si>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</si>
  <si>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</si>
  <si>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</si>
  <si>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</si>
  <si>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</si>
  <si>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</si>
  <si>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</si>
  <si>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</si>
  <si>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</si>
  <si>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</si>
  <si>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</si>
  <si>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</si>
  <si>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</si>
  <si>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</si>
  <si>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</si>
  <si>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</si>
  <si>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</si>
  <si>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</si>
  <si>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</si>
  <si>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</si>
  <si>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</si>
  <si>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</si>
  <si>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</si>
  <si>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</si>
  <si>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</si>
  <si>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</si>
  <si>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</si>
  <si>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</si>
  <si>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</si>
  <si>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</si>
  <si>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</si>
  <si>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</si>
  <si>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</si>
  <si>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</si>
  <si>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</si>
  <si>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</si>
  <si>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</si>
  <si>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</si>
  <si>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</si>
  <si>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</si>
  <si>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</si>
  <si>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</si>
  <si>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</si>
  <si>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</si>
  <si>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</si>
  <si>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</si>
  <si>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</si>
  <si>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</si>
  <si>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</si>
  <si>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</si>
  <si>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</si>
  <si>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</si>
  <si>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</si>
  <si>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</si>
  <si>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</si>
  <si>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</si>
  <si>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</si>
  <si>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</si>
  <si>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</si>
  <si>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</si>
  <si>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</si>
  <si>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</si>
  <si>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</si>
  <si>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</si>
  <si>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</si>
  <si>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</si>
  <si>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</si>
  <si>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</si>
  <si>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</si>
  <si>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</si>
  <si>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</si>
  <si>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</si>
  <si>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</si>
  <si>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</si>
  <si>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</si>
  <si>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</si>
  <si>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</si>
  <si>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</si>
  <si>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</si>
  <si>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</si>
  <si>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</si>
  <si>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</si>
  <si>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</si>
  <si>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</si>
  <si>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</si>
  <si>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</si>
  <si>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</si>
  <si>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</si>
  <si>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</si>
  <si>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</si>
  <si>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</si>
  <si>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</si>
  <si>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</si>
  <si>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</si>
  <si>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</si>
  <si>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</si>
  <si>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</si>
  <si>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</si>
  <si>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</si>
  <si>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</si>
  <si>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</si>
  <si>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</si>
  <si>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</si>
  <si>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</si>
  <si>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</si>
  <si>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</si>
  <si>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</si>
  <si>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</si>
  <si>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</si>
  <si>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</si>
  <si>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</si>
  <si>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</si>
  <si>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</si>
  <si>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</si>
  <si>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</si>
  <si>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</si>
  <si>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</si>
  <si>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</si>
  <si>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</si>
  <si>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</si>
  <si>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</si>
  <si>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</si>
  <si>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</si>
  <si>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</si>
  <si>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</si>
  <si>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</si>
  <si>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</si>
  <si>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</si>
  <si>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</si>
  <si>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</si>
  <si>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</si>
  <si>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</si>
  <si>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</si>
  <si>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</si>
  <si>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</si>
  <si>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</si>
  <si>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</si>
  <si>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</si>
  <si>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</si>
  <si>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</si>
  <si>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</si>
  <si>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</si>
  <si>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</si>
  <si>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</si>
  <si>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</si>
  <si>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</si>
  <si>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</si>
  <si>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</si>
  <si>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</si>
  <si>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</si>
  <si>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</si>
  <si>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</si>
  <si>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</si>
  <si>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</si>
  <si>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</si>
  <si>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</si>
  <si>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</si>
  <si>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</si>
  <si>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</si>
  <si>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</si>
  <si>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</si>
  <si>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</si>
  <si>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</si>
  <si>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</si>
  <si>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</si>
  <si>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</si>
  <si>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</si>
  <si>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</si>
  <si>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</si>
  <si>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</si>
  <si>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</si>
  <si>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</si>
  <si>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</si>
  <si>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</si>
  <si>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</si>
  <si>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</si>
  <si>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</si>
  <si>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</si>
  <si>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</si>
  <si>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</si>
  <si>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</si>
  <si>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</si>
  <si>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</si>
  <si>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</si>
  <si>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</si>
  <si>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</si>
  <si>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</si>
  <si>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</si>
  <si>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</si>
  <si>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</si>
  <si>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</si>
  <si>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</si>
  <si>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</si>
  <si>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</si>
  <si>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</si>
  <si>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</si>
  <si>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</si>
  <si>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</si>
  <si>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</si>
  <si>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</si>
  <si>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</si>
  <si>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</si>
  <si>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</si>
  <si>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</si>
  <si>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</si>
  <si>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</si>
  <si>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</si>
  <si>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</si>
  <si>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</si>
  <si>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</si>
  <si>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</si>
  <si>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</si>
  <si>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</si>
  <si>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</si>
  <si>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</si>
  <si>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</si>
  <si>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</si>
  <si>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</si>
  <si>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</si>
  <si>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</si>
  <si>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</si>
  <si>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</si>
  <si>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</si>
  <si>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</si>
  <si>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</si>
  <si>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</si>
  <si>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</si>
  <si>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</si>
  <si>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</si>
  <si>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</si>
  <si>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</si>
  <si>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</si>
  <si>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</si>
  <si>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</si>
  <si>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</si>
  <si>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</si>
  <si>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</si>
  <si>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</si>
  <si>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</si>
  <si>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</si>
  <si>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</si>
  <si>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</si>
  <si>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</si>
  <si>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</si>
  <si>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</si>
  <si>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</si>
  <si>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</si>
  <si>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</si>
  <si>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</si>
  <si>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</si>
  <si>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</si>
  <si>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</si>
  <si>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</si>
  <si>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</si>
  <si>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</si>
  <si>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</si>
  <si>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</si>
  <si>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</si>
  <si>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</si>
  <si>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</si>
  <si>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</si>
  <si>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</si>
  <si>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</si>
  <si>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</si>
  <si>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</si>
  <si>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</si>
  <si>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</si>
  <si>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</si>
  <si>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</si>
  <si>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</si>
  <si>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</si>
  <si>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</si>
  <si>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</si>
  <si>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</si>
  <si>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</si>
  <si>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</si>
  <si>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</si>
  <si>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</si>
  <si>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</si>
  <si>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</si>
  <si>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</si>
  <si>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</si>
  <si>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</si>
  <si>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</si>
  <si>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</si>
  <si>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</si>
  <si>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</si>
  <si>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</si>
  <si>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</si>
  <si>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</si>
  <si>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</si>
  <si>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</si>
  <si>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</si>
  <si>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</si>
  <si>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</si>
  <si>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</si>
  <si>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</si>
  <si>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</si>
  <si>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</si>
  <si>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</si>
  <si>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</si>
  <si>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</si>
  <si>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</si>
  <si>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</si>
  <si>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</si>
  <si>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</si>
  <si>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</si>
  <si>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</si>
  <si>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</si>
  <si>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</si>
  <si>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</si>
  <si>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</si>
  <si>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</si>
  <si>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</si>
  <si>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</si>
  <si>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</si>
  <si>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</si>
  <si>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</si>
  <si>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</si>
  <si>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</si>
  <si>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</si>
  <si>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</si>
  <si>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</si>
  <si>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</si>
  <si>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</si>
  <si>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</si>
  <si>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</si>
  <si>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</si>
  <si>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</si>
  <si>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</si>
  <si>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</si>
  <si>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</si>
  <si>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</si>
  <si>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</si>
  <si>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</si>
  <si>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</si>
  <si>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</si>
  <si>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</si>
  <si>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</si>
  <si>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</si>
  <si>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</si>
  <si>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</si>
  <si>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</si>
  <si>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</si>
  <si>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</si>
  <si>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</si>
  <si>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</si>
  <si>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</si>
  <si>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</si>
  <si>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</si>
  <si>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</si>
  <si>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</si>
  <si>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</si>
  <si>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</si>
  <si>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</si>
  <si>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</si>
  <si>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</si>
  <si>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</si>
  <si>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</si>
  <si>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</si>
  <si>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</si>
  <si>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</si>
  <si>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</si>
  <si>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</si>
  <si>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</si>
  <si>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</si>
  <si>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</si>
  <si>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</si>
  <si>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</si>
  <si>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</si>
  <si>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</si>
  <si>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</si>
  <si>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</si>
  <si>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</si>
  <si>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</si>
  <si>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</si>
  <si>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</si>
  <si>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</si>
  <si>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</si>
  <si>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</si>
  <si>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</si>
  <si>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</si>
  <si>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</si>
  <si>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</si>
  <si>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</si>
  <si>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</si>
  <si>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</si>
  <si>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</si>
  <si>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</si>
  <si>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</si>
  <si>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</si>
  <si>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</si>
  <si>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</si>
  <si>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</si>
  <si>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</si>
  <si>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</si>
  <si>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</si>
  <si>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</si>
  <si>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</si>
  <si>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</si>
  <si>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</si>
  <si>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</si>
  <si>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</si>
  <si>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</si>
  <si>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</si>
  <si>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</si>
  <si>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</si>
  <si>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</si>
  <si>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</si>
  <si>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</si>
  <si>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</si>
  <si>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</si>
  <si>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</si>
  <si>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</si>
  <si>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</si>
  <si>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</si>
  <si>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</si>
  <si>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</si>
  <si>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</si>
  <si>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</si>
  <si>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</si>
  <si>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</si>
  <si>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</si>
  <si>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</si>
  <si>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</si>
  <si>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</si>
  <si>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</si>
  <si>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</si>
  <si>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</si>
  <si>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</si>
  <si>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</si>
  <si>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</si>
  <si>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</si>
  <si>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</si>
  <si>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</si>
  <si>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</si>
  <si>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</si>
  <si>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</si>
  <si>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</si>
  <si>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</si>
  <si>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</si>
  <si>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</si>
  <si>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</si>
  <si>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</si>
  <si>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</si>
  <si>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</si>
  <si>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</si>
  <si>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</si>
  <si>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</si>
  <si>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</si>
  <si>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</si>
  <si>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</si>
  <si>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</si>
  <si>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</si>
  <si>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</si>
  <si>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</si>
  <si>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</si>
  <si>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</si>
  <si>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</si>
  <si>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</si>
  <si>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</si>
  <si>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</si>
  <si>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</si>
  <si>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</si>
  <si>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</si>
  <si>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</si>
  <si>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</si>
  <si>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</si>
  <si>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</si>
  <si>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</si>
  <si>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</si>
  <si>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</si>
  <si>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</si>
  <si>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</si>
  <si>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</si>
  <si>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</si>
  <si>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</si>
  <si>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</si>
  <si>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</si>
  <si>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</si>
  <si>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</si>
  <si>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</si>
  <si>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</si>
  <si>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</si>
  <si>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</si>
  <si>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</si>
  <si>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</si>
  <si>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</si>
  <si>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</si>
  <si>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</si>
  <si>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</si>
  <si>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</si>
  <si>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</si>
  <si>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</si>
  <si>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</si>
  <si>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</si>
  <si>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</si>
  <si>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</si>
  <si>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</si>
  <si>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</si>
  <si>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</si>
  <si>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</si>
  <si>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</si>
  <si>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</si>
  <si>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</si>
  <si>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</si>
  <si>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</si>
  <si>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</si>
  <si>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</si>
  <si>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</si>
  <si>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</si>
  <si>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</si>
  <si>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</si>
  <si>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</si>
  <si>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</si>
  <si>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</si>
  <si>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</si>
  <si>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</si>
  <si>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</si>
  <si>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</si>
  <si>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</si>
  <si>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</si>
  <si>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</si>
  <si>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</si>
  <si>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</si>
  <si>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</si>
  <si>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</si>
  <si>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</si>
  <si>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</si>
  <si>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</si>
  <si>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</si>
  <si>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</si>
  <si>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</si>
  <si>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</si>
  <si>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</si>
  <si>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</si>
  <si>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</si>
  <si>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</si>
  <si>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</si>
  <si>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</si>
  <si>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</si>
  <si>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</si>
  <si>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</si>
  <si>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</si>
  <si>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</si>
  <si>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</si>
  <si>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</si>
  <si>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</si>
  <si>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</si>
  <si>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</si>
  <si>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</si>
  <si>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</si>
  <si>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</si>
  <si>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</si>
  <si>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</si>
  <si>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</si>
  <si>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</si>
  <si>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</si>
  <si>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</si>
  <si>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</si>
  <si>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</si>
  <si>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</si>
  <si>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</si>
  <si>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</si>
  <si>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</si>
  <si>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</si>
  <si>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</si>
  <si>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</si>
  <si>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</si>
  <si>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</si>
  <si>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</si>
  <si>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</si>
  <si>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</si>
  <si>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</si>
  <si>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</si>
  <si>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</si>
  <si>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</si>
  <si>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</si>
  <si>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</si>
  <si>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</si>
  <si>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</si>
  <si>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</si>
  <si>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</si>
  <si>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</si>
  <si>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</si>
  <si>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</si>
  <si>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</si>
  <si>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</si>
  <si>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</si>
  <si>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</si>
  <si>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</si>
  <si>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</si>
  <si>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</si>
  <si>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</si>
  <si>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</si>
  <si>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</si>
  <si>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</si>
  <si>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</si>
  <si>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</si>
  <si>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</si>
  <si>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</si>
  <si>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</si>
  <si>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</si>
  <si>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</si>
  <si>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</si>
  <si>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</si>
  <si>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</si>
  <si>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</si>
  <si>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</si>
  <si>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</si>
  <si>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</si>
  <si>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</si>
  <si>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</si>
  <si>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</si>
  <si>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</si>
  <si>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</si>
  <si>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</si>
  <si>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</si>
  <si>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</si>
  <si>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</si>
  <si>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</si>
  <si>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</si>
  <si>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</si>
  <si>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</si>
  <si>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</si>
  <si>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</si>
  <si>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</si>
  <si>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</si>
  <si>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</si>
  <si>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</si>
  <si>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</si>
  <si>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</si>
  <si>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</si>
  <si>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</si>
  <si>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</si>
  <si>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</si>
  <si>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</si>
  <si>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</si>
  <si>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</si>
  <si>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</si>
  <si>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</si>
  <si>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</si>
  <si>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</si>
  <si>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</si>
  <si>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</si>
  <si>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</si>
  <si>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</si>
  <si>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</si>
  <si>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</si>
  <si>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</si>
  <si>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</si>
  <si>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</si>
  <si>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</si>
  <si>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</si>
  <si>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</si>
  <si>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</si>
  <si>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</si>
  <si>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</si>
  <si>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</si>
  <si>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</si>
  <si>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</si>
  <si>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</si>
  <si>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</si>
  <si>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</si>
  <si>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</si>
  <si>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</si>
  <si>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</si>
  <si>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</si>
  <si>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</si>
  <si>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</si>
  <si>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</si>
  <si>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</si>
  <si>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</si>
  <si>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</si>
  <si>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</si>
  <si>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</si>
  <si>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</si>
  <si>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</si>
  <si>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</si>
  <si>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</si>
  <si>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</si>
  <si>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</si>
  <si>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</si>
  <si>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</si>
  <si>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</si>
  <si>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</si>
  <si>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</si>
  <si>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</si>
  <si>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</si>
  <si>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</si>
  <si>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</si>
  <si>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</si>
  <si>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</si>
  <si>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</si>
  <si>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</si>
  <si>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</si>
  <si>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</si>
  <si>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</si>
  <si>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</si>
  <si>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</si>
  <si>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</si>
  <si>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</si>
  <si>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</si>
  <si>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</si>
  <si>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</si>
  <si>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</si>
  <si>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</si>
  <si>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</si>
  <si>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</si>
  <si>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</si>
  <si>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</si>
  <si>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</si>
  <si>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</si>
  <si>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</si>
  <si>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</si>
  <si>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</si>
  <si>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</si>
  <si>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</si>
  <si>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</si>
  <si>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</si>
  <si>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</si>
  <si>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</si>
  <si>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</si>
  <si>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</si>
  <si>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</si>
  <si>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</si>
  <si>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</si>
  <si>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</si>
  <si>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</si>
  <si>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</si>
  <si>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</si>
  <si>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</si>
  <si>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</si>
  <si>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</si>
  <si>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</si>
  <si>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</si>
  <si>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</si>
  <si>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</si>
  <si>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</si>
  <si>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</si>
  <si>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</si>
  <si>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</si>
  <si>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</si>
  <si>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</si>
  <si>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</si>
  <si>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</si>
  <si>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</si>
  <si>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</si>
  <si>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</si>
  <si>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</si>
  <si>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</si>
  <si>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</si>
  <si>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</si>
  <si>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</si>
  <si>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</si>
  <si>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</si>
  <si>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</si>
  <si>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</si>
  <si>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</si>
  <si>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</si>
  <si>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</si>
  <si>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</si>
  <si>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</si>
  <si>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</si>
  <si>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</si>
  <si>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</si>
  <si>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</si>
  <si>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</si>
  <si>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</si>
  <si>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</si>
  <si>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</si>
  <si>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</si>
  <si>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</si>
  <si>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</si>
  <si>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</si>
  <si>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</si>
  <si>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</si>
  <si>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</si>
  <si>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</si>
  <si>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</si>
  <si>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</si>
  <si>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</si>
  <si>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</si>
  <si>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</si>
  <si>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</si>
  <si>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</si>
  <si>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</si>
  <si>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</si>
  <si>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</si>
  <si>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</si>
  <si>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</si>
  <si>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</si>
  <si>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</si>
  <si>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</si>
  <si>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</si>
  <si>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</si>
  <si>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</si>
  <si>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</si>
  <si>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</si>
  <si>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</si>
  <si>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</si>
  <si>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</si>
  <si>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</si>
  <si>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</si>
  <si>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</si>
  <si>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</si>
  <si>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</si>
  <si>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</si>
  <si>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</si>
  <si>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</si>
  <si>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</si>
  <si>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</si>
  <si>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</si>
  <si>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</si>
  <si>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</si>
  <si>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</si>
  <si>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</si>
  <si>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</si>
  <si>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</si>
  <si>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</si>
  <si>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</si>
  <si>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</si>
  <si>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</si>
  <si>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</si>
  <si>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</si>
  <si>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</si>
  <si>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</si>
  <si>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</si>
  <si>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</si>
  <si>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</si>
  <si>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</si>
  <si>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</si>
  <si>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</si>
  <si>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</si>
  <si>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</si>
  <si>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</si>
  <si>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</si>
  <si>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</si>
  <si>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</si>
  <si>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</si>
  <si>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</si>
  <si>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</si>
  <si>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</si>
  <si>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</si>
  <si>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</si>
  <si>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</si>
  <si>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</si>
  <si>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</si>
  <si>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</si>
  <si>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</si>
  <si>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</si>
  <si>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</si>
  <si>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</si>
  <si>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</si>
  <si>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</si>
  <si>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</si>
  <si>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</si>
  <si>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</si>
  <si>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</si>
  <si>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</si>
  <si>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</si>
  <si>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</si>
  <si>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</si>
  <si>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</si>
  <si>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</si>
  <si>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</si>
  <si>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</si>
  <si>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</si>
  <si>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</si>
  <si>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</si>
  <si>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</si>
  <si>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</si>
  <si>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</si>
  <si>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</si>
  <si>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</si>
  <si>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</si>
  <si>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</si>
  <si>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</si>
  <si>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</si>
  <si>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</si>
  <si>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</si>
  <si>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</si>
  <si>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</si>
  <si>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</si>
  <si>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</si>
  <si>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</si>
  <si>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</si>
  <si>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</si>
  <si>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</si>
  <si>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</si>
  <si>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</si>
  <si>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</si>
  <si>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</si>
  <si>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</si>
  <si>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</si>
  <si>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</si>
  <si>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</si>
  <si>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</si>
  <si>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</si>
  <si>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</si>
  <si>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</si>
  <si>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</si>
  <si>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</si>
  <si>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</si>
  <si>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</si>
  <si>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</si>
  <si>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</si>
  <si>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</si>
  <si>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</si>
  <si>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</si>
  <si>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</si>
  <si>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</si>
  <si>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</si>
  <si>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</si>
  <si>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</si>
  <si>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</si>
  <si>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</si>
  <si>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</si>
  <si>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</si>
  <si>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</si>
  <si>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</si>
  <si>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</si>
  <si>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</si>
  <si>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</si>
  <si>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</si>
  <si>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</si>
  <si>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</si>
  <si>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</si>
  <si>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</si>
  <si>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</si>
  <si>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</si>
  <si>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</si>
  <si>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</si>
  <si>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</si>
  <si>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</si>
  <si>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</si>
  <si>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</si>
  <si>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</si>
  <si>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</si>
  <si>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</si>
  <si>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</si>
  <si>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</si>
  <si>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</si>
  <si>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</si>
  <si>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</si>
  <si>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</si>
  <si>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</si>
  <si>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</si>
  <si>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</si>
  <si>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</si>
  <si>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</si>
  <si>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</si>
  <si>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</si>
  <si>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</si>
  <si>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</si>
  <si>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</si>
  <si>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</si>
  <si>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</si>
  <si>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</si>
  <si>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</si>
  <si>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</si>
  <si>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</si>
  <si>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</si>
  <si>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</si>
  <si>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</si>
  <si>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</si>
  <si>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</si>
  <si>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</si>
  <si>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</si>
  <si>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</si>
  <si>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</si>
  <si>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</si>
  <si>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</si>
  <si>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</si>
  <si>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</si>
  <si>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</si>
  <si>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</si>
  <si>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</si>
  <si>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</si>
  <si>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</si>
  <si>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</si>
  <si>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</si>
  <si>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</si>
  <si>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</si>
  <si>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</si>
  <si>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</si>
  <si>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</si>
  <si>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</si>
  <si>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</si>
  <si>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</si>
  <si>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</si>
  <si>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</si>
  <si>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</si>
  <si>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</si>
  <si>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</si>
  <si>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</si>
  <si>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</si>
  <si>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</si>
  <si>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</si>
  <si>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</si>
  <si>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</si>
  <si>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</si>
  <si>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</si>
  <si>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</si>
  <si>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</si>
  <si>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</si>
  <si>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</si>
  <si>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</si>
  <si>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</si>
  <si>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</si>
  <si>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</si>
  <si>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</si>
  <si>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</si>
  <si>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</si>
  <si>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</si>
  <si>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</si>
  <si>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</si>
  <si>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</si>
  <si>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</si>
  <si>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</si>
  <si>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</si>
  <si>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</si>
  <si>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</si>
  <si>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</si>
  <si>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</si>
  <si>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</si>
  <si>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</si>
  <si>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</si>
  <si>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</si>
  <si>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</si>
  <si>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</si>
  <si>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</si>
  <si>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</si>
  <si>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</si>
  <si>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</si>
  <si>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</si>
  <si>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</si>
  <si>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</si>
  <si>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</si>
  <si>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</si>
  <si>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</si>
  <si>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</si>
  <si>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</si>
  <si>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</si>
  <si>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</si>
  <si>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</si>
  <si>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</si>
  <si>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</si>
  <si>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</si>
  <si>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</si>
  <si>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</si>
  <si>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</si>
  <si>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</si>
  <si>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</si>
  <si>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</si>
  <si>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</si>
  <si>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</si>
  <si>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</si>
  <si>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</si>
  <si>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</si>
  <si>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</si>
  <si>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</si>
  <si>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</si>
  <si>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</si>
  <si>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</si>
  <si>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</si>
  <si>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</si>
  <si>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</si>
  <si>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</si>
  <si>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</si>
  <si>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</si>
  <si>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</si>
  <si>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</si>
  <si>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</si>
  <si>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</si>
  <si>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</si>
  <si>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</si>
  <si>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</si>
  <si>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</si>
  <si>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</si>
  <si>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</si>
  <si>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</si>
  <si>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</si>
  <si>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</si>
  <si>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</si>
  <si>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</si>
  <si>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</si>
  <si>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</si>
  <si>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</si>
  <si>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</si>
  <si>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</si>
  <si>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</si>
  <si>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</si>
  <si>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</si>
  <si>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</si>
  <si>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</si>
  <si>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</si>
  <si>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</si>
  <si>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</si>
  <si>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</si>
  <si>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</si>
  <si>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</si>
  <si>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</si>
  <si>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</si>
  <si>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</si>
  <si>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</si>
  <si>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</si>
  <si>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</si>
  <si>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</si>
  <si>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</si>
  <si>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</si>
  <si>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</si>
  <si>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</si>
  <si>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</si>
  <si>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</si>
  <si>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</si>
  <si>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</si>
  <si>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</si>
  <si>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</si>
  <si>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</si>
  <si>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</si>
  <si>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</si>
  <si>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</si>
  <si>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</si>
  <si>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</si>
  <si>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</si>
  <si>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</si>
  <si>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</si>
  <si>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</si>
  <si>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</si>
  <si>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</si>
  <si>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</si>
  <si>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</si>
  <si>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</si>
  <si>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</si>
  <si>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</si>
  <si>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</si>
  <si>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</si>
  <si>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</si>
  <si>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</si>
  <si>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</si>
  <si>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</si>
  <si>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</si>
  <si>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</si>
  <si>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</si>
  <si>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</si>
  <si>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</si>
  <si>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</si>
  <si>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</si>
  <si>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</si>
  <si>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</si>
  <si>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</si>
  <si>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</si>
  <si>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</si>
  <si>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</si>
  <si>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</si>
  <si>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</si>
  <si>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</si>
  <si>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</si>
  <si>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</si>
  <si>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</si>
  <si>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</si>
  <si>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</si>
  <si>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</si>
  <si>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</si>
  <si>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</si>
  <si>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</si>
  <si>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</si>
  <si>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</si>
  <si>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</si>
  <si>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</si>
  <si>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</si>
  <si>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</si>
  <si>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</si>
  <si>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</si>
  <si>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</si>
  <si>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</si>
  <si>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</si>
  <si>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</si>
  <si>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</si>
  <si>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</si>
  <si>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</si>
  <si>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</si>
  <si>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</si>
  <si>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</si>
  <si>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</si>
  <si>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</si>
  <si>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</si>
  <si>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</si>
  <si>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</si>
  <si>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</si>
  <si>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</si>
  <si>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</si>
  <si>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</si>
  <si>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</si>
  <si>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</si>
  <si>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</si>
  <si>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</si>
  <si>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</si>
  <si>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</si>
  <si>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</si>
  <si>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</si>
  <si>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</si>
  <si>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</si>
  <si>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</si>
  <si>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</si>
  <si>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</si>
  <si>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</si>
  <si>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</si>
  <si>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</si>
  <si>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</si>
  <si>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</si>
  <si>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</si>
  <si>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</si>
  <si>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</si>
  <si>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</si>
  <si>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</si>
  <si>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</si>
  <si>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</si>
  <si>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</si>
  <si>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</si>
  <si>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</si>
  <si>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</si>
  <si>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</si>
  <si>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</si>
  <si>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</si>
  <si>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</si>
  <si>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</si>
  <si>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</si>
  <si>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</si>
  <si>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</si>
  <si>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</si>
  <si>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</si>
  <si>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</si>
  <si>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</si>
  <si>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</si>
  <si>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</si>
  <si>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</si>
  <si>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</si>
  <si>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</si>
  <si>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</si>
  <si>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</si>
  <si>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</si>
  <si>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</si>
  <si>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</si>
  <si>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</si>
  <si>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</si>
  <si>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</si>
  <si>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</si>
  <si>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</si>
  <si>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</si>
  <si>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</si>
  <si>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</si>
  <si>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</si>
  <si>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</si>
  <si>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</si>
  <si>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</si>
  <si>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</si>
  <si>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</si>
  <si>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</si>
  <si>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</si>
  <si>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</si>
  <si>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</si>
  <si>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</si>
  <si>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</si>
  <si>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</si>
  <si>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</si>
  <si>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</si>
  <si>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</si>
  <si>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</si>
  <si>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</si>
  <si>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</si>
  <si>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</si>
  <si>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</si>
  <si>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</si>
  <si>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</si>
  <si>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</si>
  <si>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</si>
  <si>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</si>
  <si>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</si>
  <si>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</si>
  <si>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</si>
  <si>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</si>
  <si>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</si>
  <si>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</si>
  <si>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</si>
  <si>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</si>
  <si>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</si>
  <si>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</si>
  <si>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</si>
  <si>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</si>
  <si>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</si>
  <si>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</si>
  <si>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</si>
  <si>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</si>
  <si>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</si>
  <si>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</si>
  <si>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</si>
  <si>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</si>
  <si>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</si>
  <si>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</si>
  <si>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</si>
  <si>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</si>
  <si>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</si>
  <si>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</si>
  <si>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</si>
  <si>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</si>
  <si>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</si>
  <si>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</si>
  <si>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</si>
  <si>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</si>
  <si>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</si>
  <si>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</si>
  <si>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</si>
  <si>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</si>
  <si>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</si>
  <si>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</si>
  <si>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</si>
  <si>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</si>
  <si>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</si>
  <si>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</si>
  <si>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</si>
  <si>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</si>
  <si>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</si>
  <si>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</si>
  <si>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</si>
  <si>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</si>
  <si>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</si>
  <si>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</si>
  <si>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</si>
  <si>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</si>
  <si>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</si>
  <si>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</si>
  <si>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</si>
  <si>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</si>
  <si>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</si>
  <si>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</si>
  <si>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</si>
  <si>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</si>
  <si>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</si>
  <si>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</si>
  <si>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</si>
  <si>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</si>
  <si>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</si>
  <si>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</si>
  <si>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</si>
  <si>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</si>
  <si>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</si>
  <si>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</si>
  <si>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</si>
  <si>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</si>
  <si>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</si>
  <si>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</si>
  <si>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</si>
  <si>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</si>
  <si>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</si>
  <si>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</si>
  <si>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</si>
  <si>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</si>
  <si>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</si>
  <si>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</si>
  <si>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</si>
  <si>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</si>
  <si>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</si>
  <si>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</si>
  <si>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</si>
  <si>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</si>
  <si>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</si>
  <si>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</si>
  <si>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</si>
  <si>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</si>
  <si>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</si>
  <si>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</si>
  <si>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</si>
  <si>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</si>
  <si>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</si>
  <si>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</si>
  <si>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</si>
  <si>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</si>
  <si>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</si>
  <si>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</si>
  <si>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</si>
  <si>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</si>
  <si>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</si>
  <si>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</si>
  <si>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</si>
  <si>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</si>
  <si>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</si>
  <si>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</si>
  <si>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</si>
  <si>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</si>
  <si>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</si>
  <si>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</si>
  <si>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</si>
  <si>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</si>
  <si>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</si>
  <si>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</si>
  <si>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</si>
  <si>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</si>
  <si>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</si>
  <si>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</si>
  <si>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</si>
  <si>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</si>
  <si>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</si>
  <si>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</si>
  <si>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</si>
  <si>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</si>
  <si>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</si>
  <si>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</si>
  <si>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</si>
  <si>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</si>
  <si>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</si>
  <si>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</si>
  <si>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</si>
  <si>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</si>
  <si>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</si>
  <si>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</si>
  <si>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</si>
  <si>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</si>
  <si>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</si>
  <si>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</si>
  <si>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</si>
  <si>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</si>
  <si>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</si>
  <si>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</si>
  <si>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</si>
  <si>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</si>
  <si>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</si>
  <si>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</si>
  <si>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</si>
  <si>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</si>
  <si>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</si>
  <si>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</si>
  <si>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</si>
  <si>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</si>
  <si>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</si>
  <si>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</si>
  <si>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</si>
  <si>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</si>
  <si>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</si>
  <si>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</si>
  <si>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</si>
  <si>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</si>
  <si>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</si>
  <si>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</si>
  <si>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</si>
  <si>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</si>
  <si>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</si>
  <si>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</si>
  <si>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</si>
  <si>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</si>
  <si>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</si>
  <si>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</si>
  <si>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</si>
  <si>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</si>
  <si>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</si>
  <si>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</si>
  <si>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</si>
  <si>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</si>
  <si>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</si>
  <si>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</si>
  <si>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</si>
  <si>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</si>
  <si>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</si>
  <si>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</si>
  <si>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</si>
  <si>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</si>
  <si>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</si>
  <si>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</si>
  <si>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</si>
  <si>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</si>
  <si>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</si>
  <si>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</si>
  <si>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</si>
  <si>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</si>
  <si>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</si>
  <si>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</si>
  <si>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</si>
  <si>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</si>
  <si>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</si>
  <si>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</si>
  <si>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</si>
  <si>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</si>
  <si>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</si>
  <si>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</si>
  <si>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</si>
  <si>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</si>
  <si>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</si>
  <si>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</si>
  <si>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</si>
  <si>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</si>
  <si>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</si>
  <si>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</si>
  <si>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</si>
  <si>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</si>
  <si>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</si>
  <si>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</si>
  <si>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</si>
  <si>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</si>
  <si>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</si>
  <si>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</si>
  <si>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</si>
  <si>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</si>
  <si>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</si>
  <si>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</si>
  <si>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</si>
  <si>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</si>
  <si>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</si>
  <si>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</si>
  <si>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</si>
  <si>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</si>
  <si>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</si>
  <si>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</si>
  <si>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</si>
  <si>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</si>
  <si>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</si>
  <si>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</si>
  <si>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</si>
  <si>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</si>
  <si>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</si>
  <si>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</si>
  <si>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</si>
  <si>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</si>
  <si>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</si>
  <si>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</si>
  <si>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</si>
  <si>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</si>
  <si>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</si>
  <si>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</si>
  <si>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</si>
  <si>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</si>
  <si>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</si>
  <si>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</si>
  <si>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</si>
  <si>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</si>
  <si>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</si>
  <si>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</si>
  <si>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</si>
  <si>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</si>
  <si>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</si>
  <si>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</si>
  <si>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</si>
  <si>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</si>
  <si>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</si>
  <si>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</si>
  <si>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</si>
  <si>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</si>
  <si>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</si>
  <si>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</si>
  <si>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</si>
  <si>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</si>
  <si>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</si>
  <si>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</si>
  <si>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</si>
  <si>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</si>
  <si>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</si>
  <si>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</si>
  <si>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</si>
  <si>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</si>
  <si>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</si>
  <si>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</si>
  <si>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</si>
  <si>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</si>
  <si>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</si>
  <si>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</si>
  <si>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</si>
  <si>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</si>
  <si>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</si>
  <si>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</si>
  <si>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</si>
  <si>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</si>
  <si>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</si>
  <si>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</si>
  <si>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</si>
  <si>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</si>
  <si>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</si>
  <si>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</si>
  <si>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</si>
  <si>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</si>
  <si>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</si>
  <si>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</si>
  <si>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</si>
  <si>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</si>
  <si>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</si>
  <si>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</si>
  <si>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</si>
  <si>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</si>
  <si>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</si>
  <si>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</si>
  <si>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</si>
  <si>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</si>
  <si>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</si>
  <si>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</si>
  <si>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</si>
  <si>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</si>
  <si>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</si>
  <si>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</si>
  <si>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</si>
  <si>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</si>
  <si>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</si>
  <si>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</si>
  <si>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</si>
  <si>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</si>
  <si>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</si>
  <si>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</si>
  <si>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</si>
  <si>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</si>
  <si>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</si>
  <si>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</si>
  <si>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</si>
  <si>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</si>
  <si>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</si>
  <si>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</si>
  <si>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</si>
  <si>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</si>
  <si>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</si>
  <si>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</si>
  <si>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</si>
  <si>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</si>
  <si>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</si>
  <si>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</si>
  <si>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</si>
  <si>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</si>
  <si>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</si>
  <si>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</si>
  <si>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</si>
  <si>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</si>
  <si>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</si>
  <si>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</si>
  <si>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</si>
  <si>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</si>
  <si>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</si>
  <si>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</si>
  <si>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</si>
  <si>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</si>
  <si>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</si>
  <si>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</si>
  <si>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</si>
  <si>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</si>
  <si>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</si>
  <si>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</si>
  <si>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</si>
  <si>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</si>
  <si>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</si>
  <si>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</si>
  <si>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</si>
  <si>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</si>
  <si>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</si>
  <si>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</si>
  <si>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</si>
  <si>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</si>
  <si>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</si>
  <si>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</si>
  <si>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</si>
  <si>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</si>
  <si>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</si>
  <si>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</si>
  <si>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</si>
  <si>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</si>
  <si>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</si>
  <si>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</si>
  <si>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</si>
  <si>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</si>
  <si>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</si>
  <si>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</si>
  <si>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</si>
  <si>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</si>
  <si>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</si>
  <si>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</si>
  <si>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</si>
  <si>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</si>
  <si>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</si>
  <si>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</si>
  <si>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</si>
  <si>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</si>
  <si>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</si>
  <si>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</si>
  <si>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</si>
  <si>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</si>
  <si>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</si>
  <si>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</si>
  <si>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</si>
  <si>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</si>
  <si>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</si>
  <si>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</si>
  <si>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</si>
  <si>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</si>
  <si>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</si>
  <si>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</si>
  <si>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</si>
  <si>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</si>
  <si>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</si>
  <si>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</si>
  <si>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</si>
  <si>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</si>
  <si>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</si>
  <si>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</si>
  <si>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</si>
  <si>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</si>
  <si>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</si>
  <si>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</si>
  <si>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</si>
  <si>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</si>
  <si>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</si>
  <si>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</si>
  <si>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</si>
  <si>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</si>
  <si>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</si>
  <si>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</si>
  <si>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</si>
  <si>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</si>
  <si>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</si>
  <si>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</si>
  <si>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</si>
  <si>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</si>
  <si>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</si>
  <si>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</si>
  <si>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</si>
  <si>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</si>
  <si>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</si>
  <si>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</si>
  <si>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</si>
  <si>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</si>
  <si>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</si>
  <si>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</si>
  <si>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</si>
  <si>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</si>
  <si>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</si>
  <si>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</si>
  <si>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</si>
  <si>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</si>
  <si>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</si>
  <si>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</si>
  <si>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</si>
  <si>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</si>
  <si>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</si>
  <si>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</si>
  <si>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</si>
  <si>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</si>
  <si>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</si>
  <si>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</si>
  <si>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</si>
  <si>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</si>
  <si>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</si>
  <si>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</si>
  <si>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</si>
  <si>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</si>
  <si>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</si>
  <si>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</si>
  <si>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</si>
  <si>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</si>
  <si>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</si>
  <si>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</si>
  <si>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</si>
  <si>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</si>
  <si>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</si>
  <si>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</si>
  <si>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</si>
  <si>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</si>
  <si>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</si>
  <si>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</si>
  <si>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</si>
  <si>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</si>
  <si>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</si>
  <si>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</si>
  <si>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</si>
  <si>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</si>
  <si>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</si>
  <si>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</si>
  <si>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</si>
  <si>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</si>
  <si>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</si>
  <si>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</si>
  <si>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</si>
  <si>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</si>
  <si>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</si>
  <si>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</si>
  <si>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</si>
  <si>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</si>
  <si>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</si>
  <si>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</si>
  <si>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</si>
  <si>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</si>
  <si>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</si>
  <si>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</si>
  <si>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</si>
  <si>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</si>
  <si>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</si>
  <si>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</si>
  <si>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</si>
  <si>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</si>
  <si>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</si>
  <si>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</si>
  <si>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</si>
  <si>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</si>
  <si>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</si>
  <si>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</si>
  <si>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</si>
  <si>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</si>
  <si>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</si>
  <si>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</si>
  <si>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</si>
  <si>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</si>
  <si>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</si>
  <si>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</si>
  <si>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</si>
  <si>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</si>
  <si>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</si>
  <si>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</si>
  <si>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</si>
  <si>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</si>
  <si>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</si>
  <si>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</si>
  <si>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</si>
  <si>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</si>
  <si>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</si>
  <si>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</si>
  <si>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</si>
  <si>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</si>
  <si>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</si>
  <si>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</si>
  <si>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</si>
  <si>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</si>
  <si>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</si>
  <si>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</si>
  <si>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</si>
  <si>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</si>
  <si>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</si>
  <si>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</si>
  <si>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</si>
  <si>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</si>
  <si>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</si>
  <si>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</si>
  <si>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</si>
  <si>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</si>
  <si>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</si>
  <si>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</si>
  <si>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</si>
  <si>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</si>
  <si>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</si>
  <si>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</si>
  <si>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</si>
  <si>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</si>
  <si>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</si>
  <si>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</si>
  <si>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</si>
  <si>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</si>
  <si>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</si>
  <si>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</si>
  <si>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</si>
  <si>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</si>
  <si>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</si>
  <si>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</si>
  <si>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</si>
  <si>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</si>
  <si>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</si>
  <si>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</si>
  <si>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</si>
  <si>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</si>
  <si>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</si>
  <si>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</si>
  <si>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</si>
  <si>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</si>
  <si>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</si>
  <si>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</si>
  <si>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</si>
  <si>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</si>
  <si>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</si>
  <si>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</si>
  <si>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</si>
  <si>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</si>
  <si>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</si>
  <si>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</si>
  <si>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</si>
  <si>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</si>
  <si>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</si>
  <si>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</si>
  <si>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</si>
  <si>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</si>
  <si>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</si>
  <si>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</si>
  <si>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</si>
  <si>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</si>
  <si>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</si>
  <si>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</si>
  <si>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</si>
  <si>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</si>
  <si>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</si>
  <si>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</si>
  <si>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</si>
  <si>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</si>
  <si>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</si>
  <si>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</si>
  <si>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</si>
  <si>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</si>
  <si>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</si>
  <si>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</si>
  <si>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</si>
  <si>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</si>
  <si>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</si>
  <si>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</si>
  <si>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</si>
  <si>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</si>
  <si>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</si>
  <si>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</si>
  <si>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</si>
  <si>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</si>
  <si>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</si>
  <si>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</si>
  <si>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</si>
  <si>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</si>
  <si>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</si>
  <si>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</si>
  <si>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</si>
  <si>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</si>
  <si>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</si>
  <si>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</si>
  <si>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</si>
  <si>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</si>
  <si>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</si>
  <si>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</si>
  <si>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</si>
  <si>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</si>
  <si>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</si>
  <si>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</si>
  <si>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</si>
  <si>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</si>
  <si>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</si>
  <si>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</si>
  <si>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</si>
  <si>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</si>
  <si>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</si>
  <si>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</si>
  <si>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</si>
  <si>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</si>
  <si>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</si>
  <si>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</si>
  <si>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</si>
  <si>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</si>
  <si>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</si>
  <si>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</si>
  <si>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</si>
  <si>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</si>
  <si>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</si>
  <si>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</si>
  <si>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</si>
  <si>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</si>
  <si>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</si>
  <si>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</si>
  <si>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</si>
  <si>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</si>
  <si>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</si>
  <si>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</si>
  <si>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</si>
  <si>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</si>
  <si>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</si>
  <si>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</si>
  <si>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</si>
  <si>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</si>
  <si>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</si>
  <si>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</si>
  <si>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</si>
  <si>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</si>
  <si>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</si>
  <si>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</si>
  <si>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</si>
  <si>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</si>
  <si>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</si>
  <si>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</si>
  <si>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</si>
  <si>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</si>
  <si>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</si>
  <si>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</si>
  <si>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</si>
  <si>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</si>
  <si>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</si>
  <si>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</si>
  <si>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</si>
  <si>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</si>
  <si>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</si>
  <si>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</si>
  <si>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</si>
  <si>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</si>
  <si>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</si>
  <si>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</si>
  <si>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</si>
  <si>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</si>
  <si>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</si>
  <si>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</si>
  <si>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</si>
  <si>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</si>
  <si>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</si>
  <si>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</si>
  <si>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</si>
  <si>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</si>
  <si>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</si>
  <si>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</si>
  <si>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</si>
  <si>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</si>
  <si>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</si>
  <si>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</si>
  <si>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</si>
  <si>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</si>
  <si>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</si>
  <si>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</si>
  <si>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</si>
  <si>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</si>
  <si>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</si>
  <si>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</si>
  <si>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</si>
  <si>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</si>
  <si>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</si>
  <si>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</si>
  <si>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</si>
  <si>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</si>
  <si>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</si>
  <si>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</si>
  <si>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</si>
  <si>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</si>
  <si>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</si>
  <si>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</si>
  <si>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</si>
  <si>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</si>
  <si>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</si>
  <si>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</si>
  <si>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</si>
  <si>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</si>
  <si>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</si>
  <si>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</si>
  <si>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</si>
  <si>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</si>
  <si>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</si>
  <si>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</si>
  <si>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</si>
  <si>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</si>
  <si>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</si>
  <si>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</si>
  <si>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</si>
  <si>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</si>
  <si>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</si>
  <si>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</si>
  <si>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</si>
  <si>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</si>
  <si>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</si>
  <si>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</si>
  <si>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</si>
  <si>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</si>
  <si>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</si>
  <si>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</si>
  <si>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</si>
  <si>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</si>
  <si>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</si>
  <si>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</si>
  <si>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</si>
  <si>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</si>
  <si>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</si>
  <si>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</si>
  <si>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</si>
  <si>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</si>
  <si>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</si>
  <si>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</si>
  <si>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</si>
  <si>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</si>
  <si>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</si>
  <si>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</si>
  <si>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</si>
  <si>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</si>
  <si>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</si>
  <si>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</si>
  <si>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</si>
  <si>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</si>
  <si>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</si>
  <si>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</si>
  <si>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</si>
  <si>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</si>
  <si>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</si>
  <si>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</si>
  <si>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</si>
  <si>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</si>
  <si>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</si>
  <si>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</si>
  <si>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</si>
  <si>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</si>
  <si>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</si>
  <si>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</si>
  <si>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</si>
  <si>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国民信托有限公司</t>
    <phoneticPr fontId="6" type="noConversion"/>
  </si>
  <si>
    <t>鲁家村以东、大南曲、吴家村以西</t>
    <phoneticPr fontId="6" type="noConversion"/>
  </si>
  <si>
    <t>《国有土地使用证》[高国用（2013）第781号]</t>
    <phoneticPr fontId="6"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</si>
  <si>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</si>
  <si>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</si>
  <si>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</si>
  <si>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</si>
  <si>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</si>
  <si>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</si>
  <si>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</si>
  <si>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</si>
  <si>
    <t>晏子路东、朝阳大街北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</si>
</sst>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0" fillId="9" borderId="0" xfId="0" applyFill="1" applyAlignment="1"/>
    <xf numFmtId="176" fontId="0" fillId="9" borderId="0" xfId="0" applyNumberFormat="1" applyFill="1" applyAlignment="1"/>
    <xf numFmtId="0" fontId="127" fillId="9" borderId="0" xfId="0" applyFont="1" applyFill="1" applyAlignment="1"/>
    <xf numFmtId="0" fontId="152" fillId="9" borderId="0" xfId="0" applyFont="1" applyFill="1" applyAlignment="1"/>
    <xf numFmtId="0" fontId="145" fillId="9" borderId="0" xfId="0" applyFont="1" applyFill="1" applyAlignment="1"/>
    <xf numFmtId="177" fontId="0" fillId="0" borderId="0" xfId="0" applyNumberFormat="1" applyFill="1" applyAlignment="1"/>
    <xf numFmtId="177" fontId="0" fillId="9" borderId="0" xfId="0" applyNumberFormat="1" applyFill="1" applyAlignment="1"/>
    <xf numFmtId="177" fontId="0" fillId="6" borderId="0" xfId="0" applyNumberFormat="1" applyFill="1" applyAlignment="1"/>
    <xf numFmtId="177" fontId="152" fillId="0" borderId="0" xfId="0" applyNumberFormat="1" applyFon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山东省高密市鲁家村以东、大南曲、吴家村以西出让国有建设用地使用权抵押价格预评估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受贵公司委托，我公司对山东省高密市鲁家村以东、大南曲、吴家村以西出让国有建设用地使用权抵押价格进行了预评估。</v>
      </c>
      <c r="AM6" s="2900"/>
    </row>
    <row r="7" spans="1:55" s="2874" customFormat="1">
      <c r="A7" s="2875" t="s">
        <v>2653</v>
      </c>
      <c r="B7" s="2876" t="str">
        <f>'预评函-1'!A6</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2019年4月23日（评估专业人员勘察现场之日）</v>
      </c>
    </row>
    <row r="11" spans="1:55" s="2874" customFormat="1">
      <c r="A11" s="2875" t="s">
        <v>2661</v>
      </c>
      <c r="B11" s="2876" t="str">
        <f>'预评函-1'!A14</f>
        <v>根据《国有土地使用证》[高国用（2013）第781号]，本次评估估价对象证载（地类）用途为商服用地。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根据《国有土地使用证》[]，估价对象（分摊）出让国有建设用地使用权面积为266666.3平方米。根据《建设工程规划许可证》[]、《出让合同》[]，估价对象规划建筑面积为1146665.09平方米。</v>
      </c>
    </row>
    <row r="16" spans="1:55" s="2874" customFormat="1">
      <c r="A16" s="2875" t="s">
        <v>2665</v>
      </c>
      <c r="B16" s="2876" t="str">
        <f>'预评函-1'!A22</f>
        <v>本次估价对象为出让国有建设用地使用权，《国有土地使用证》[高国用（2013）第781号]证载土地终止日期为商业2045年2月25日。截至估价期日，出让国有建设用地使用权剩余土地使用年限为商业用地27.98年。</v>
      </c>
    </row>
    <row r="17" spans="1:48" s="2874" customFormat="1">
      <c r="A17" s="2875" t="s">
        <v>2666</v>
      </c>
      <c r="B17" s="2876" t="str">
        <f>'预评函-1'!A23</f>
        <v>本次评估设定估价对象剩余土地使用年限为商业用地27.98年。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2670</v>
      </c>
      <c r="B21" s="2898" t="str">
        <f>'预评函-1'!A28</f>
        <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估价期日：2019年4月23日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商业用地27.98年</v>
      </c>
    </row>
    <row r="42" spans="1:2">
      <c r="A42" s="2875" t="s">
        <v>2735</v>
      </c>
      <c r="B42" s="2876" t="str">
        <f>'预评函-2'!N3</f>
        <v>（分摊）出让国有建设用地使用权面积/㎡</v>
      </c>
    </row>
    <row r="43" spans="1:2">
      <c r="A43" s="2875" t="s">
        <v>2717</v>
      </c>
      <c r="B43" s="2876">
        <f>'预评函-2'!N5</f>
        <v>266666.3</v>
      </c>
    </row>
    <row r="44" spans="1:2">
      <c r="A44" s="2875" t="s">
        <v>2736</v>
      </c>
      <c r="B44" s="2876" t="str">
        <f>'预评函-2'!O3</f>
        <v>规划建筑面积/㎡</v>
      </c>
    </row>
    <row r="45" spans="1:2">
      <c r="A45" s="2875" t="s">
        <v>2718</v>
      </c>
      <c r="B45" s="2876">
        <f>'预评函-2'!O5</f>
        <v>1146665.0899999999</v>
      </c>
    </row>
    <row r="46" spans="1:2">
      <c r="A46" s="2875" t="s">
        <v>2719</v>
      </c>
      <c r="B46" s="2876">
        <f ca="1">'预评函-2'!P5</f>
        <v>2251</v>
      </c>
    </row>
    <row r="47" spans="1:2">
      <c r="A47" s="2875" t="s">
        <v>2720</v>
      </c>
      <c r="B47" s="2876">
        <f ca="1">'预评函-2'!Q5</f>
        <v>523</v>
      </c>
    </row>
    <row r="48" spans="1:2">
      <c r="A48" s="2875" t="s">
        <v>2721</v>
      </c>
      <c r="B48" s="2876">
        <f ca="1">'预评函-2'!R5</f>
        <v>60022</v>
      </c>
    </row>
    <row r="49" spans="1:2">
      <c r="A49" s="2875" t="s">
        <v>2737</v>
      </c>
      <c r="B49" s="2876" t="str">
        <f>'预评函-2'!A6</f>
        <v>抵押价格</v>
      </c>
    </row>
    <row r="50" spans="1:2">
      <c r="A50" s="2875" t="s">
        <v>2722</v>
      </c>
      <c r="B50" s="2876">
        <f ca="1">'预评函-2'!R6</f>
        <v>60022</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7" sqref="I2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1937</v>
      </c>
      <c r="B1" s="3245" t="str">
        <f>IF(B10="北京市","北京市",C10)&amp;F10&amp;B16&amp;"国有建设用地使用权"&amp;B9&amp;"预评估"</f>
        <v>山东省高密市鲁家村以东、大南曲、吴家村以西出让国有建设用地使用权抵押价格预评估</v>
      </c>
      <c r="C1" s="3246"/>
      <c r="D1" s="3246"/>
      <c r="E1" s="3246"/>
      <c r="F1" s="3246"/>
      <c r="G1" s="3246"/>
      <c r="H1" s="3246"/>
      <c r="I1" s="3247"/>
      <c r="J1" s="1693"/>
      <c r="K1" s="2452" t="str">
        <f>IF(B10="北京市","北京市",C10)&amp;F10&amp;B16&amp;"国有建设用地使用权"&amp;B9</f>
        <v>山东省高密市鲁家村以东、大南曲、吴家村以西出让国有建设用地使用权抵押价格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山东省高密市鲁家村以东、大南曲、吴家村以西出让国有建设用地使用权</v>
      </c>
      <c r="L2" s="1722"/>
      <c r="M2" s="1722"/>
      <c r="N2" s="1693"/>
      <c r="O2" s="1694"/>
      <c r="P2" s="1693"/>
      <c r="Q2" s="1693"/>
      <c r="R2" s="1693"/>
      <c r="S2" s="1693"/>
      <c r="T2" s="1693"/>
      <c r="U2" s="1693"/>
    </row>
    <row r="3" spans="1:21">
      <c r="A3" s="1661" t="s">
        <v>1939</v>
      </c>
      <c r="B3" s="1662">
        <v>43578</v>
      </c>
      <c r="C3" s="1663" t="s">
        <v>1994</v>
      </c>
      <c r="D3" s="1662">
        <f>B3</f>
        <v>43578</v>
      </c>
      <c r="E3" s="1693"/>
      <c r="F3" s="1693"/>
      <c r="G3" s="1693"/>
      <c r="H3" s="1660"/>
      <c r="I3" s="1694"/>
      <c r="J3" s="1693"/>
      <c r="K3" s="1773"/>
      <c r="L3" s="1722"/>
      <c r="M3" s="1722"/>
      <c r="N3" s="1693"/>
      <c r="O3" s="1694"/>
      <c r="P3" s="1693"/>
      <c r="Q3" s="1693"/>
      <c r="R3" s="1693"/>
      <c r="S3" s="1693"/>
      <c r="T3" s="1693"/>
      <c r="U3" s="1693"/>
    </row>
    <row r="4" spans="1:21" ht="15"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1941</v>
      </c>
      <c r="B5" s="1788" t="s">
        <v>3136</v>
      </c>
      <c r="C5" s="1666"/>
      <c r="D5" s="1667"/>
      <c r="E5" s="1693"/>
      <c r="F5" s="1693"/>
      <c r="G5" s="1693"/>
      <c r="H5" s="1660"/>
      <c r="I5" s="1694"/>
      <c r="J5" s="1693"/>
      <c r="K5" s="1773"/>
      <c r="L5" s="1722"/>
      <c r="M5" s="1722"/>
      <c r="N5" s="1693"/>
      <c r="O5" s="1694"/>
      <c r="P5" s="1693"/>
      <c r="Q5" s="1693"/>
      <c r="R5" s="1693"/>
      <c r="S5" s="1693"/>
      <c r="T5" s="1693"/>
      <c r="U5" s="1693"/>
    </row>
    <row r="6" spans="1:21" ht="26.25">
      <c r="A6" s="1663" t="s">
        <v>2702</v>
      </c>
      <c r="B6" s="1788" t="s">
        <v>3129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3136</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51" t="s">
        <v>1944</v>
      </c>
      <c r="E8" s="1843" t="s">
        <v>2979</v>
      </c>
      <c r="F8" s="1672"/>
      <c r="G8" s="1660"/>
      <c r="H8" s="1660"/>
      <c r="I8" s="1706"/>
      <c r="J8" s="1693"/>
      <c r="K8" s="1773"/>
      <c r="L8" s="1722"/>
      <c r="M8" s="1722"/>
      <c r="N8" s="1693"/>
      <c r="O8" s="1694"/>
      <c r="P8" s="1693"/>
      <c r="Q8" s="1693"/>
      <c r="R8" s="1693"/>
      <c r="S8" s="1693"/>
      <c r="T8" s="1693"/>
      <c r="U8" s="1693"/>
    </row>
    <row r="9" spans="1:21" ht="15" thickBot="1">
      <c r="A9" s="1673" t="s">
        <v>1943</v>
      </c>
      <c r="B9" s="1674" t="s">
        <v>2979</v>
      </c>
      <c r="C9" s="1675"/>
      <c r="D9" s="3252"/>
      <c r="E9" s="1674" t="s">
        <v>949</v>
      </c>
      <c r="F9" s="1746"/>
      <c r="G9" s="1741"/>
      <c r="H9" s="1741"/>
      <c r="I9" s="1742"/>
      <c r="J9" s="1693"/>
      <c r="K9" s="1773"/>
      <c r="L9" s="1722"/>
      <c r="M9" s="1722"/>
      <c r="N9" s="1693"/>
      <c r="O9" s="1694"/>
      <c r="P9" s="1693"/>
      <c r="Q9" s="1693"/>
      <c r="R9" s="1693"/>
      <c r="S9" s="1693"/>
      <c r="T9" s="1693"/>
      <c r="U9" s="1693"/>
    </row>
    <row r="10" spans="1:21" ht="15" thickTop="1">
      <c r="A10" s="1743" t="s">
        <v>1998</v>
      </c>
      <c r="B10" s="1718" t="s">
        <v>2980</v>
      </c>
      <c r="C10" s="1676" t="s">
        <v>2995</v>
      </c>
      <c r="D10" s="1667"/>
      <c r="E10" s="1677" t="s">
        <v>1946</v>
      </c>
      <c r="F10" s="1678" t="s">
        <v>3130</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48" t="s">
        <v>2996</v>
      </c>
      <c r="C12" s="3249"/>
      <c r="D12" s="3250"/>
      <c r="E12" s="1698" t="s">
        <v>2060</v>
      </c>
      <c r="F12" s="3266" t="s">
        <v>3131</v>
      </c>
      <c r="G12" s="3267"/>
      <c r="H12" s="3267"/>
      <c r="I12" s="3268"/>
      <c r="J12" s="1693"/>
      <c r="K12" s="1773"/>
      <c r="L12" s="1722"/>
      <c r="M12" s="1722"/>
      <c r="N12" s="1693"/>
      <c r="O12" s="1694"/>
      <c r="P12" s="1693"/>
      <c r="Q12" s="1693"/>
      <c r="R12" s="1693"/>
      <c r="S12" s="1693"/>
      <c r="T12" s="1693"/>
      <c r="U12" s="1693"/>
    </row>
    <row r="13" spans="1:21">
      <c r="A13" s="1686" t="s">
        <v>2058</v>
      </c>
      <c r="B13" s="3248" t="s">
        <v>2996</v>
      </c>
      <c r="C13" s="3249"/>
      <c r="D13" s="3250"/>
      <c r="E13" s="1698" t="s">
        <v>2060</v>
      </c>
      <c r="F13" s="3266" t="s">
        <v>3131</v>
      </c>
      <c r="G13" s="3267"/>
      <c r="H13" s="3267"/>
      <c r="I13" s="3268"/>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商业2045年2月25日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53018</v>
      </c>
      <c r="F17" s="1699"/>
      <c r="G17" s="1699"/>
      <c r="H17" s="1699"/>
      <c r="I17" s="1699"/>
      <c r="J17" s="1693"/>
      <c r="K17" s="2452" t="str">
        <f>CONCATENATE(K16,L16,M16,N16,O16,P16,Q16,R16,S16,T16,,U16)</f>
        <v>商业2045年2月25日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3" t="s">
        <v>2999</v>
      </c>
      <c r="E20" s="3264"/>
      <c r="F20" s="3264"/>
      <c r="G20" s="3264"/>
      <c r="H20" s="3264"/>
      <c r="I20" s="3265"/>
      <c r="J20" s="1693"/>
      <c r="K20" s="1773"/>
      <c r="L20" s="1722"/>
      <c r="M20" s="1722"/>
      <c r="N20" s="1693"/>
      <c r="O20" s="1694"/>
      <c r="P20" s="1693"/>
      <c r="Q20" s="1693"/>
      <c r="R20" s="1693"/>
      <c r="S20" s="1693"/>
      <c r="T20" s="1693"/>
      <c r="U20" s="1693"/>
    </row>
    <row r="21" spans="1:21">
      <c r="A21" s="1762" t="s">
        <v>1958</v>
      </c>
      <c r="B21" s="1763" t="s">
        <v>1959</v>
      </c>
      <c r="C21" s="1758">
        <f>'数据-汇总表'!E3</f>
        <v>1146665.0899999999</v>
      </c>
      <c r="D21" s="1759" t="s">
        <v>1960</v>
      </c>
      <c r="E21" s="3253" t="s">
        <v>1997</v>
      </c>
      <c r="F21" s="3254"/>
      <c r="G21" s="3254"/>
      <c r="H21" s="3254"/>
      <c r="I21" s="3255"/>
      <c r="J21" s="1693"/>
      <c r="K21" s="1773"/>
      <c r="L21" s="1722"/>
      <c r="M21" s="1722"/>
      <c r="N21" s="1693"/>
      <c r="O21" s="1694"/>
      <c r="P21" s="1693"/>
      <c r="Q21" s="1693"/>
      <c r="R21" s="1693"/>
      <c r="S21" s="1693"/>
      <c r="T21" s="1693"/>
      <c r="U21" s="1693"/>
    </row>
    <row r="22" spans="1:21">
      <c r="A22" s="3146" t="s">
        <v>949</v>
      </c>
      <c r="B22" s="1661" t="s">
        <v>1961</v>
      </c>
      <c r="C22" s="1685">
        <f>'数据-汇总表'!D3</f>
        <v>266666.3</v>
      </c>
      <c r="D22" s="1686" t="s">
        <v>1960</v>
      </c>
      <c r="E22" s="3253" t="s">
        <v>2884</v>
      </c>
      <c r="F22" s="3254"/>
      <c r="G22" s="3254"/>
      <c r="H22" s="3254"/>
      <c r="I22" s="3255"/>
      <c r="J22" s="1693"/>
      <c r="K22" s="1773"/>
      <c r="L22" s="1722"/>
      <c r="M22" s="1722"/>
      <c r="N22" s="1693"/>
      <c r="O22" s="1694"/>
      <c r="P22" s="1693"/>
      <c r="Q22" s="1693"/>
      <c r="R22" s="1693"/>
      <c r="S22" s="1693"/>
      <c r="T22" s="1693"/>
      <c r="U22" s="1693"/>
    </row>
    <row r="23" spans="1:21" ht="43.5" thickBot="1">
      <c r="A23" s="1764" t="s">
        <v>1962</v>
      </c>
      <c r="B23" s="1700" t="s">
        <v>1963</v>
      </c>
      <c r="C23" s="1701" t="s">
        <v>3000</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56" t="s">
        <v>1966</v>
      </c>
      <c r="C24" s="3257"/>
      <c r="D24" s="3258" t="s">
        <v>1967</v>
      </c>
      <c r="E24" s="3259"/>
      <c r="F24" s="1707" t="s">
        <v>1968</v>
      </c>
      <c r="G24" s="1693"/>
      <c r="H24" s="1693"/>
      <c r="I24" s="1706"/>
      <c r="J24" s="1693"/>
      <c r="K24" s="3244"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3001</v>
      </c>
      <c r="C25" s="1708" t="s">
        <v>1970</v>
      </c>
      <c r="D25" s="1709"/>
      <c r="E25" s="1710"/>
      <c r="F25" s="1711"/>
      <c r="G25" s="1693"/>
      <c r="H25" s="1693"/>
      <c r="I25" s="1706"/>
      <c r="J25" s="1693"/>
      <c r="K25" s="3244"/>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44"/>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71" t="s">
        <v>2000</v>
      </c>
      <c r="B31" s="1763" t="s">
        <v>2001</v>
      </c>
      <c r="C31" s="3269" t="s">
        <v>3004</v>
      </c>
      <c r="D31" s="3270"/>
      <c r="E31" s="1693"/>
      <c r="F31" s="1693"/>
      <c r="G31" s="1693"/>
      <c r="H31" s="1693"/>
      <c r="I31" s="1706"/>
      <c r="J31" s="1693"/>
      <c r="K31" s="2455"/>
      <c r="L31" s="1693"/>
      <c r="M31" s="1693"/>
      <c r="N31" s="1693"/>
      <c r="O31" s="1693"/>
      <c r="P31" s="1693"/>
      <c r="Q31" s="1693"/>
      <c r="R31" s="1693"/>
      <c r="S31" s="1693"/>
      <c r="T31" s="1693"/>
      <c r="U31" s="1693"/>
    </row>
    <row r="32" spans="1:21">
      <c r="A32" s="3271"/>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71"/>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72"/>
      <c r="B34" s="1661" t="s">
        <v>2004</v>
      </c>
      <c r="C34" s="3273"/>
      <c r="D34" s="3274"/>
      <c r="E34" s="1693"/>
      <c r="F34" s="1693"/>
      <c r="G34" s="1693"/>
      <c r="H34" s="1693"/>
      <c r="I34" s="1706"/>
      <c r="J34" s="1693"/>
      <c r="K34" s="2455"/>
      <c r="L34" s="1693"/>
      <c r="M34" s="1693"/>
      <c r="N34" s="1693"/>
      <c r="O34" s="1693"/>
      <c r="P34" s="1693"/>
      <c r="Q34" s="1693"/>
      <c r="R34" s="1693"/>
      <c r="S34" s="1693"/>
      <c r="T34" s="1693"/>
      <c r="U34" s="1693"/>
    </row>
    <row r="35" spans="1:21">
      <c r="A35" s="3275" t="s">
        <v>844</v>
      </c>
      <c r="B35" s="1721" t="s">
        <v>3006</v>
      </c>
      <c r="C35" s="1775" t="str">
        <f>IF(B35="场地平整","——","具体情况：")</f>
        <v>具体情况：</v>
      </c>
      <c r="D35" s="3277"/>
      <c r="E35" s="3278"/>
      <c r="F35" s="3278"/>
      <c r="G35" s="3278"/>
      <c r="H35" s="3278"/>
      <c r="I35" s="3279"/>
      <c r="J35" s="1693"/>
      <c r="K35" s="1774"/>
      <c r="L35" s="1722"/>
      <c r="M35" s="1722"/>
      <c r="N35" s="1693"/>
      <c r="O35" s="1694"/>
      <c r="P35" s="1693"/>
      <c r="Q35" s="1693"/>
      <c r="R35" s="1693"/>
      <c r="S35" s="1693"/>
      <c r="T35" s="1693"/>
      <c r="U35" s="1693"/>
    </row>
    <row r="36" spans="1:21" ht="28.5">
      <c r="A36" s="3271"/>
      <c r="B36" s="3280" t="s">
        <v>2053</v>
      </c>
      <c r="C36" s="3281"/>
      <c r="D36" s="1791" t="s">
        <v>3005</v>
      </c>
      <c r="E36" s="3282"/>
      <c r="F36" s="3282"/>
      <c r="G36" s="1686" t="str">
        <f>IF(B35="场地未平整","估价结果处理","")</f>
        <v>估价结果处理</v>
      </c>
      <c r="H36" s="3283"/>
      <c r="I36" s="3283"/>
      <c r="J36" s="1693"/>
      <c r="K36" s="1774"/>
      <c r="L36" s="1722"/>
      <c r="M36" s="1722"/>
      <c r="N36" s="1693"/>
      <c r="O36" s="1694"/>
      <c r="P36" s="1693"/>
      <c r="Q36" s="1693"/>
      <c r="R36" s="1693"/>
      <c r="S36" s="1693"/>
      <c r="T36" s="1693"/>
      <c r="U36" s="1693"/>
    </row>
    <row r="37" spans="1:21" ht="28.5">
      <c r="A37" s="3271"/>
      <c r="B37" s="3260"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71"/>
      <c r="B38" s="3261"/>
      <c r="C38" s="1669" t="s">
        <v>847</v>
      </c>
      <c r="D38" s="1790">
        <f>ROUNDDOWN(MIN(('数据-取费表'!$B$2-D37)/365,D34),1)</f>
        <v>119.3</v>
      </c>
      <c r="E38" s="1726" t="s">
        <v>848</v>
      </c>
      <c r="F38" s="1693"/>
      <c r="G38" s="1693"/>
      <c r="H38" s="1693"/>
      <c r="I38" s="1706"/>
      <c r="J38" s="1693"/>
      <c r="K38" s="1774"/>
      <c r="L38" s="1693"/>
      <c r="M38" s="1693"/>
      <c r="N38" s="1693"/>
      <c r="O38" s="1693"/>
      <c r="P38" s="1693"/>
      <c r="Q38" s="1693"/>
      <c r="R38" s="1693"/>
      <c r="S38" s="1693"/>
      <c r="T38" s="1693"/>
      <c r="U38" s="1693"/>
    </row>
    <row r="39" spans="1:21">
      <c r="A39" s="3272"/>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3007</v>
      </c>
      <c r="C40" s="1689" t="s">
        <v>3008</v>
      </c>
      <c r="D40" s="1689" t="s">
        <v>3009</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3" t="s">
        <v>1984</v>
      </c>
      <c r="T40" s="1730" t="str">
        <f>NUMBERSTRING(7-K40,1)&amp;"通"</f>
        <v>七通</v>
      </c>
      <c r="U40" s="1693"/>
    </row>
    <row r="41" spans="1:21" ht="28.5">
      <c r="A41" s="1663"/>
      <c r="B41" s="3276" t="s">
        <v>1719</v>
      </c>
      <c r="C41" s="3276"/>
      <c r="D41" s="3276"/>
      <c r="E41" s="3276"/>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43"/>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7" sqref="D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266666.3</v>
      </c>
      <c r="B3" s="22">
        <f>IF(C3="否",G5-AT5,G5)</f>
        <v>1146665.0899999999</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1146665.0899999999</v>
      </c>
      <c r="H5" s="27">
        <f t="shared" ref="H5:AT5" si="0">SUM(H13:H641)</f>
        <v>1146665.0899999999</v>
      </c>
      <c r="I5" s="27">
        <f t="shared" si="0"/>
        <v>1146665.0899999999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1146665.0899999999</v>
      </c>
      <c r="BA5" s="29">
        <f t="shared" si="1"/>
        <v>1146665.0899999999</v>
      </c>
      <c r="BB5" s="29">
        <f t="shared" si="1"/>
        <v>1146665.0899999999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1676</v>
      </c>
      <c r="E13" s="27">
        <f t="shared" ref="E13:E20" si="6">IF($C$3="是",ROUND($A$3*G13/$B$3,2),ROUND($A$3*(G13-AT13)/$B$3,2))</f>
        <v>266666.3</v>
      </c>
      <c r="F13" s="81"/>
      <c r="G13" s="82">
        <f t="shared" ref="G13:G20" si="7">H13+AC13+AT13</f>
        <v>1146665.0899999999</v>
      </c>
      <c r="H13" s="33">
        <f t="shared" ref="H13:H20" si="8">SUMIF(I$12:AB$12,"总值",I13:AB13)</f>
        <v>1146665.0899999999</v>
      </c>
      <c r="I13" s="3015">
        <f>A3*4.3</f>
        <v>1146665.0899999999</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266666.3</v>
      </c>
      <c r="AZ13" s="27">
        <f t="shared" ref="AZ13:AZ20" si="12">BA13+BL13</f>
        <v>1146665.0899999999</v>
      </c>
      <c r="BA13" s="27">
        <f t="shared" ref="BA13:BA20" si="13">SUM(BB13:BK13)</f>
        <v>1146665.0899999999</v>
      </c>
      <c r="BB13" s="27">
        <f t="shared" ref="BB13:BB20" si="14">IF($D13="是",I13-J13,0)</f>
        <v>1146665.0899999999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2" sqref="F3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5" t="s">
        <v>203</v>
      </c>
      <c r="B2" s="3295"/>
      <c r="C2" s="3295"/>
      <c r="D2" s="1974" t="s">
        <v>204</v>
      </c>
      <c r="E2" s="106" t="s">
        <v>205</v>
      </c>
      <c r="F2" s="1983"/>
      <c r="G2" s="1198"/>
      <c r="H2" s="1199"/>
      <c r="I2" s="1200" t="s">
        <v>854</v>
      </c>
      <c r="J2" s="1983"/>
      <c r="K2" s="1983"/>
      <c r="L2" s="1983"/>
    </row>
    <row r="3" spans="1:16" ht="15.75" thickBot="1">
      <c r="A3" s="3296" t="s">
        <v>206</v>
      </c>
      <c r="B3" s="3296"/>
      <c r="C3" s="3296"/>
      <c r="D3" s="107">
        <f>'数据-基础表'!AY6</f>
        <v>266666.3</v>
      </c>
      <c r="E3" s="107">
        <f>'数据-基础表'!AZ5</f>
        <v>1146665.0899999999</v>
      </c>
      <c r="F3" s="1983"/>
      <c r="G3" s="280" t="s">
        <v>855</v>
      </c>
      <c r="H3" s="275" t="s">
        <v>856</v>
      </c>
      <c r="I3" s="1975">
        <f>ROUND('数据-基础表'!B3/'数据-基础表'!A3,2)</f>
        <v>4.3</v>
      </c>
      <c r="J3" s="1983"/>
      <c r="K3" s="1983"/>
      <c r="L3" s="1983"/>
    </row>
    <row r="4" spans="1:16" ht="15">
      <c r="A4" s="3297"/>
      <c r="B4" s="3298"/>
      <c r="C4" s="3299"/>
      <c r="D4" s="108" t="s">
        <v>204</v>
      </c>
      <c r="E4" s="109" t="s">
        <v>205</v>
      </c>
      <c r="F4" s="1983"/>
      <c r="G4" s="1201"/>
      <c r="H4" s="275" t="s">
        <v>857</v>
      </c>
      <c r="I4" s="1975">
        <f>ROUND(SUMIF('数据-基础表'!I9:AS9,"地上",'数据-基础表'!I5:AS5)/'数据-基础表'!A3,2)</f>
        <v>4.3</v>
      </c>
      <c r="J4" s="1983"/>
      <c r="K4" s="1983"/>
      <c r="L4" s="1983"/>
    </row>
    <row r="5" spans="1:16">
      <c r="A5" s="110" t="s">
        <v>207</v>
      </c>
      <c r="B5" s="3300" t="s">
        <v>230</v>
      </c>
      <c r="C5" s="3300"/>
      <c r="D5" s="111">
        <f>ROUND($D$3*E5/$E$3,2)</f>
        <v>0</v>
      </c>
      <c r="E5" s="112">
        <f>SUMIF('数据-基础表'!$11:$11,"住宅",'数据-基础表'!$5:$5)</f>
        <v>0</v>
      </c>
      <c r="F5" s="1983"/>
      <c r="G5" s="280" t="s">
        <v>858</v>
      </c>
      <c r="H5" s="275" t="s">
        <v>856</v>
      </c>
      <c r="I5" s="1975">
        <f>ROUND(E31/D31,2)</f>
        <v>4.3</v>
      </c>
      <c r="J5" s="1983"/>
      <c r="K5" s="1983"/>
      <c r="L5" s="1983"/>
    </row>
    <row r="6" spans="1:16" ht="15" thickBot="1">
      <c r="A6" s="113"/>
      <c r="B6" s="3300" t="s">
        <v>208</v>
      </c>
      <c r="C6" s="3300"/>
      <c r="D6" s="111">
        <f>ROUND($D$3*E6/$E$3,2)</f>
        <v>266666.3</v>
      </c>
      <c r="E6" s="112">
        <f>E3-E5</f>
        <v>1146665.0899999999</v>
      </c>
      <c r="F6" s="1983"/>
      <c r="G6" s="1201"/>
      <c r="H6" s="275" t="s">
        <v>857</v>
      </c>
      <c r="I6" s="1975">
        <f>ROUND(F31/D31,2)</f>
        <v>4.3</v>
      </c>
      <c r="J6" s="1983"/>
      <c r="K6" s="1983"/>
      <c r="L6" s="1983"/>
    </row>
    <row r="7" spans="1:16" ht="15">
      <c r="A7" s="3292"/>
      <c r="B7" s="3293"/>
      <c r="C7" s="3294"/>
      <c r="D7" s="108" t="s">
        <v>204</v>
      </c>
      <c r="E7" s="114" t="s">
        <v>231</v>
      </c>
      <c r="F7" s="1983"/>
      <c r="G7" s="1156" t="s">
        <v>1643</v>
      </c>
      <c r="H7" s="1157"/>
      <c r="I7" s="1846"/>
      <c r="J7" s="1983"/>
      <c r="K7" s="1983"/>
      <c r="L7" s="1983"/>
    </row>
    <row r="8" spans="1:16">
      <c r="A8" s="110" t="s">
        <v>209</v>
      </c>
      <c r="B8" s="115" t="s">
        <v>210</v>
      </c>
      <c r="C8" s="111" t="s">
        <v>211</v>
      </c>
      <c r="D8" s="111">
        <f t="shared" ref="D8:D15" si="0">ROUND($D$3*E8/$E$3,2)</f>
        <v>266666.3</v>
      </c>
      <c r="E8" s="116">
        <f>SUMIF('数据-基础表'!BB10:BK10,"地上",'数据-基础表'!BB5:BK5)</f>
        <v>1146665.0899999999</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266666.3</v>
      </c>
      <c r="E16" s="120">
        <f>SUM(E8:E15)</f>
        <v>1146665.0899999999</v>
      </c>
      <c r="F16" s="1983"/>
      <c r="G16" s="1985"/>
      <c r="H16" s="968" t="s">
        <v>219</v>
      </c>
      <c r="I16" s="969"/>
      <c r="J16" s="1983"/>
      <c r="K16" s="3286" t="s">
        <v>2562</v>
      </c>
      <c r="L16" s="3287"/>
      <c r="M16" s="3287"/>
      <c r="N16" s="3287"/>
      <c r="O16" s="3287"/>
      <c r="P16" s="3288"/>
    </row>
    <row r="17" spans="1:19" ht="15">
      <c r="A17" s="121" t="s">
        <v>216</v>
      </c>
      <c r="B17" s="122" t="s">
        <v>217</v>
      </c>
      <c r="C17" s="2297" t="s">
        <v>2312</v>
      </c>
      <c r="D17" s="108" t="s">
        <v>204</v>
      </c>
      <c r="E17" s="124" t="s">
        <v>205</v>
      </c>
      <c r="F17" s="125"/>
      <c r="G17" s="1366"/>
      <c r="H17" s="970" t="s">
        <v>218</v>
      </c>
      <c r="I17" s="971" t="s">
        <v>2311</v>
      </c>
      <c r="J17" s="1983"/>
      <c r="K17" s="3289" t="s">
        <v>2563</v>
      </c>
      <c r="L17" s="3290"/>
      <c r="M17" s="3291"/>
      <c r="N17" s="3289" t="s">
        <v>2564</v>
      </c>
      <c r="O17" s="3290"/>
      <c r="P17" s="3291"/>
      <c r="R17" s="2298" t="s">
        <v>2310</v>
      </c>
      <c r="S17" s="144"/>
    </row>
    <row r="18" spans="1:19" ht="15">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c r="A19" s="133"/>
      <c r="B19" s="115" t="s">
        <v>225</v>
      </c>
      <c r="C19" s="3022" t="s">
        <v>3132</v>
      </c>
      <c r="D19" s="111">
        <f t="shared" ref="D19:D26" si="1">ROUND($D$3*E19/$E$3,2)</f>
        <v>266666.3</v>
      </c>
      <c r="E19" s="134">
        <f t="shared" ref="E19:E26" si="2">SUM(F19:G19)</f>
        <v>1146665.0899999999</v>
      </c>
      <c r="F19" s="135">
        <f>'数据-基础表'!I13</f>
        <v>1146665.0899999999</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266666.3</v>
      </c>
      <c r="S19" s="2300">
        <f t="shared" si="5"/>
        <v>1146665.0899999999</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266666.3</v>
      </c>
      <c r="E27" s="143">
        <f>IF(SUM(E19:E26)='数据-基础表'!BA5,SUM(E19:E26),IF(F27="地上面积有误","面积有误","地下面积有误"))</f>
        <v>1146665.0899999999</v>
      </c>
      <c r="F27" s="134">
        <f>IF(SUM(F19:F26)=E8,SUM(F19:F26),"地上面积有误")</f>
        <v>1146665.0899999999</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266666.3</v>
      </c>
      <c r="S27" s="275">
        <f>IF(SUM(S19:S26)=$E$3,SUM(S19:S26),SUM(S19:S26)&amp;"误差"&amp;ROUND(SUM(S19:S26)-E3,2))</f>
        <v>1146665.0899999999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266666.3</v>
      </c>
      <c r="E31" s="1372">
        <f>E27+E30</f>
        <v>1146665.0899999999</v>
      </c>
      <c r="F31" s="1373">
        <f>F27+F30</f>
        <v>1146665.0899999999</v>
      </c>
      <c r="G31" s="1374">
        <f>G27+G30</f>
        <v>0</v>
      </c>
      <c r="H31" s="1983"/>
      <c r="I31" s="1983"/>
      <c r="J31" s="1983"/>
      <c r="K31" s="1983"/>
      <c r="L31" s="1983"/>
    </row>
    <row r="32" spans="1:19">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18"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2983</v>
      </c>
      <c r="D6" s="2307">
        <f>SUMIF(项目基本情况!D$15:I$15,C6,项目基本情况!D$18:I$18)</f>
        <v>40</v>
      </c>
      <c r="E6" s="2308">
        <f>IF(B6="","",SUMIF(项目基本情况!D$15:I$15,C6,项目基本情况!D$17:I$17))</f>
        <v>53018</v>
      </c>
      <c r="F6" s="174">
        <f>SUMIF(项目基本情况!D$15:I$15,C6,项目基本情况!D$19:I$19)</f>
        <v>25.86</v>
      </c>
      <c r="G6" s="175">
        <f>IF(ISERROR(ROUND(POWER(1+H6,D6-F6)*(POWER(1+H6,F6)-1)/(POWER(1+H6,D6)-1),3)),0,ROUND(POWER(1+H6,D6-F6)*(POWER(1+H6,F6)-1)/(POWER(1+H6,D6)-1),3))</f>
        <v>0.83599999999999997</v>
      </c>
      <c r="H6" s="3023">
        <v>0.05</v>
      </c>
      <c r="I6" s="3023">
        <v>5.5E-2</v>
      </c>
      <c r="J6" s="176">
        <v>8.5000000000000006E-2</v>
      </c>
      <c r="K6" s="179">
        <f>SUMIF('数据-汇总表'!C$19:C$33,'数据-取费表'!A6,'数据-汇总表'!E$19:E$33)</f>
        <v>1146665.0899999999</v>
      </c>
      <c r="L6" s="3184">
        <v>2150</v>
      </c>
      <c r="M6" s="177">
        <f t="shared" ref="M6:M14" si="0">ROUND(K6*L6/10000,0)</f>
        <v>246533</v>
      </c>
      <c r="N6" s="3025">
        <v>0</v>
      </c>
      <c r="O6" s="177">
        <f>IF($N$5="成新度","——",ROUND(M6*N6,0))</f>
        <v>0</v>
      </c>
      <c r="P6" s="178">
        <f>IF($N$5="成新度","——",M6-O6)</f>
        <v>246533</v>
      </c>
      <c r="Q6" s="3026">
        <v>0.12</v>
      </c>
      <c r="R6" s="179">
        <f>SUMIF('数据-汇总表'!C$19:C$33,A6,'数据-汇总表'!R$19:R$33)</f>
        <v>266666.3</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21.86</v>
      </c>
      <c r="AF6" s="141"/>
      <c r="AG6" s="1213">
        <f>IF(AF6="",0,AE6-AF6)</f>
        <v>0</v>
      </c>
      <c r="AH6" s="141"/>
      <c r="AI6" s="187">
        <v>365</v>
      </c>
      <c r="AJ6" s="188"/>
      <c r="AK6" s="189">
        <v>1.4999999999999999E-2</v>
      </c>
      <c r="AL6" s="190">
        <v>1.5E-3</v>
      </c>
      <c r="AM6" s="3037">
        <v>0.01</v>
      </c>
      <c r="AN6" s="2389" t="s">
        <v>2986</v>
      </c>
      <c r="AO6" s="1999"/>
      <c r="AP6" s="1204">
        <f>ROUND(1-1/(1+H6)^F6,3)</f>
        <v>0.71699999999999997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0.83599999999999997</v>
      </c>
      <c r="H16" s="203">
        <f>ROUND(SUMPRODUCT(H6:H13,K6:K13)/SUMPRODUCT((H6:H13&gt;0)*(K6:K13)),3)</f>
        <v>0.05</v>
      </c>
      <c r="I16" s="204"/>
      <c r="J16" s="204"/>
      <c r="K16" s="205">
        <f>SUM(K6:K15)</f>
        <v>1146665.0899999999</v>
      </c>
      <c r="L16" s="206">
        <f>ROUND(M16*10000/SUM(K6:K14),0)</f>
        <v>2150</v>
      </c>
      <c r="M16" s="206">
        <f>SUM(M6:M14)</f>
        <v>246533</v>
      </c>
      <c r="N16" s="207">
        <f>ROUND(SUMPRODUCT(M6:M14,N6:N14)/M16,3)</f>
        <v>0</v>
      </c>
      <c r="O16" s="206">
        <f>SUM(O6:O14)</f>
        <v>0</v>
      </c>
      <c r="P16" s="206">
        <f>SUM(P6:P14)</f>
        <v>246533</v>
      </c>
      <c r="Q16" s="208">
        <f>ROUND(SUMPRODUCT(Q6:Q13,K6:K13)/SUMPRODUCT((Q6:Q13&gt;0)*(K6:K13)),2)</f>
        <v>0.12</v>
      </c>
      <c r="R16" s="2310">
        <f>SUM(R6:R13)</f>
        <v>266666.3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3.5000000000000003E-2</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2.5000000000000001E-2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1" t="s">
        <v>1661</v>
      </c>
      <c r="B1" s="3302"/>
      <c r="C1" s="3302"/>
      <c r="D1" s="3302"/>
      <c r="E1" s="3302"/>
      <c r="F1" s="3302"/>
      <c r="G1" s="3302"/>
      <c r="H1" s="2001"/>
      <c r="I1" s="2002"/>
      <c r="J1" s="2003"/>
      <c r="K1" s="2001"/>
      <c r="L1" s="2002"/>
      <c r="M1" s="2003"/>
      <c r="N1" s="2001"/>
      <c r="O1" s="2002"/>
      <c r="P1" s="2003"/>
      <c r="Q1" s="2004"/>
      <c r="R1" s="2005"/>
    </row>
    <row r="2" spans="1:18" ht="14.25" thickBot="1">
      <c r="A2" s="1221"/>
      <c r="B2" s="1222"/>
      <c r="C2" s="1223" t="s">
        <v>1662</v>
      </c>
      <c r="D2" s="1224"/>
      <c r="E2" s="1225"/>
      <c r="F2" s="1226"/>
      <c r="G2" s="1223" t="s">
        <v>1663</v>
      </c>
      <c r="H2" s="2007"/>
      <c r="I2" s="2007"/>
      <c r="J2" s="2007"/>
      <c r="K2" s="2007"/>
      <c r="L2" s="2007"/>
      <c r="M2" s="2007"/>
      <c r="N2" s="2007"/>
      <c r="O2" s="2007"/>
      <c r="P2" s="2007"/>
      <c r="Q2" s="2007"/>
      <c r="R2" s="2007"/>
    </row>
    <row r="3" spans="1:18" ht="54">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1.25">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1.25">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4">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1.25"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7">
      <c r="A8" s="1229"/>
      <c r="B8" s="1231" t="s">
        <v>2543</v>
      </c>
      <c r="C8" s="3081" t="s">
        <v>2909</v>
      </c>
      <c r="D8" s="2009"/>
      <c r="E8" s="2009"/>
      <c r="F8" s="1554"/>
      <c r="G8" s="1554"/>
      <c r="H8" s="2007"/>
      <c r="I8" s="2007"/>
      <c r="J8" s="2007"/>
      <c r="K8" s="2007"/>
      <c r="L8" s="2007"/>
      <c r="M8" s="2007"/>
      <c r="N8" s="2007"/>
      <c r="O8" s="2007"/>
      <c r="P8" s="2007"/>
      <c r="Q8" s="2007"/>
      <c r="R8" s="2007"/>
    </row>
    <row r="9" spans="1:18" ht="40.5">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1670</v>
      </c>
      <c r="B13" s="2575"/>
      <c r="C13" s="2575"/>
      <c r="D13" s="1224"/>
      <c r="E13" s="2575"/>
      <c r="F13" s="2575"/>
      <c r="G13" s="2575"/>
    </row>
    <row r="14" spans="1:18" ht="14.25" thickBot="1">
      <c r="A14" s="1238"/>
      <c r="B14" s="1239"/>
      <c r="C14" s="1240" t="s">
        <v>1662</v>
      </c>
      <c r="D14" s="2008"/>
      <c r="E14" s="1241"/>
      <c r="F14" s="1241"/>
      <c r="G14" s="1223" t="s">
        <v>1663</v>
      </c>
    </row>
    <row r="15" spans="1:18" ht="54">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0.5">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0.5">
      <c r="A17" s="2586"/>
      <c r="B17" s="1245" t="s">
        <v>1667</v>
      </c>
      <c r="C17" s="1246" t="str">
        <f>C5</f>
        <v>估价对象位于XX商圈，周边办公楼项目较多，入驻率高，办公集聚程度较好</v>
      </c>
      <c r="D17" s="2009"/>
      <c r="E17" s="2583"/>
      <c r="F17" s="1247" t="s">
        <v>1672</v>
      </c>
      <c r="G17" s="2791"/>
    </row>
    <row r="18" spans="1:7" ht="54">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7">
      <c r="A19" s="2586"/>
      <c r="B19" s="1247" t="s">
        <v>1657</v>
      </c>
      <c r="C19" s="2791"/>
      <c r="D19" s="2008"/>
      <c r="E19" s="2583"/>
      <c r="F19" s="1231" t="s">
        <v>2542</v>
      </c>
      <c r="G19" s="1005" t="str">
        <f>G5</f>
        <v>估价对象所在区域公共配套设施齐备情况</v>
      </c>
    </row>
    <row r="20" spans="1:7" ht="40.5">
      <c r="A20" s="2586"/>
      <c r="B20" s="1247" t="s">
        <v>1658</v>
      </c>
      <c r="C20" s="1246" t="str">
        <f>C9</f>
        <v>区域自然环境：；人文环境；综合评价环境状况一般</v>
      </c>
      <c r="D20" s="2009"/>
      <c r="E20" s="2583"/>
      <c r="F20" s="1231" t="s">
        <v>2543</v>
      </c>
      <c r="G20" s="1005" t="str">
        <f>G6</f>
        <v>估价对象所在区域基础设施水平</v>
      </c>
    </row>
    <row r="21" spans="1:7" ht="27">
      <c r="A21" s="2586"/>
      <c r="B21" s="1231" t="s">
        <v>2542</v>
      </c>
      <c r="C21" s="1005" t="str">
        <f>C7</f>
        <v>估价对象所在区域公共配套设施齐备情况</v>
      </c>
      <c r="D21" s="2008"/>
      <c r="E21" s="2583"/>
      <c r="F21" s="1247" t="s">
        <v>1659</v>
      </c>
      <c r="G21" s="3085"/>
    </row>
    <row r="22" spans="1:7" ht="27">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4.2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2840</v>
      </c>
      <c r="B1" s="3043">
        <f>SUM(B14:B23)</f>
        <v>1146665.0899999999</v>
      </c>
      <c r="C1" s="3044"/>
      <c r="D1" s="3044"/>
      <c r="E1" s="3044"/>
      <c r="F1" s="3044"/>
    </row>
    <row r="2" spans="1:9" ht="16.5">
      <c r="A2" s="3043" t="s">
        <v>2841</v>
      </c>
      <c r="B2" s="3043">
        <f>SUM(C14:C23)</f>
        <v>266666.3</v>
      </c>
      <c r="C2" s="3044"/>
      <c r="D2" s="3044"/>
      <c r="E2" s="3044"/>
      <c r="F2" s="3044"/>
    </row>
    <row r="3" spans="1:9" ht="16.5">
      <c r="A3" s="3043" t="s">
        <v>2842</v>
      </c>
      <c r="B3" s="3045">
        <f>项目基本情况!D3</f>
        <v>43578</v>
      </c>
      <c r="C3" s="3044"/>
      <c r="D3" s="3044"/>
      <c r="E3" s="3044"/>
      <c r="F3" s="3044"/>
    </row>
    <row r="4" spans="1:9" ht="33">
      <c r="A4" s="3043" t="s">
        <v>2843</v>
      </c>
      <c r="B4" s="3043" t="s">
        <v>2844</v>
      </c>
      <c r="C4" s="3043" t="s">
        <v>2845</v>
      </c>
      <c r="D4" s="3043" t="s">
        <v>2846</v>
      </c>
      <c r="E4" s="3044"/>
      <c r="F4" s="3044"/>
    </row>
    <row r="5" spans="1:9" ht="16.5">
      <c r="A5" s="3043" t="s">
        <v>2847</v>
      </c>
      <c r="B5" s="3043">
        <f ca="1">SUM(D14:D23)</f>
        <v>60022</v>
      </c>
      <c r="C5" s="3043">
        <f ca="1">ROUND(B5*10000/$B$1,0)</f>
        <v>523</v>
      </c>
      <c r="D5" s="3043">
        <f ca="1">ROUND(B5*10000/$B$2,0)</f>
        <v>2251</v>
      </c>
      <c r="E5" s="3044"/>
      <c r="F5" s="3044"/>
    </row>
    <row r="6" spans="1:9" ht="16.5">
      <c r="A6" s="3043" t="s">
        <v>2848</v>
      </c>
      <c r="B6" s="3043">
        <f ca="1">SUM(G14:G23)</f>
        <v>60022</v>
      </c>
      <c r="C6" s="3043">
        <f t="shared" ref="C6:C8" ca="1" si="0">ROUND(B6*10000/$B$1,0)</f>
        <v>523</v>
      </c>
      <c r="D6" s="3043">
        <f t="shared" ref="D6:D8" ca="1" si="1">ROUND(B6*10000/$B$2,0)</f>
        <v>2251</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1146665.0899999999</v>
      </c>
      <c r="C14" s="3047">
        <f>结果表!K38</f>
        <v>266666.3</v>
      </c>
      <c r="D14" s="3047">
        <f ca="1">结果表!C42</f>
        <v>60022</v>
      </c>
      <c r="E14" s="3047">
        <f ca="1">ROUND(D14*10000/B14,0)</f>
        <v>523</v>
      </c>
      <c r="F14" s="3047">
        <f ca="1">ROUND(D14*10000/C14,0)</f>
        <v>2251</v>
      </c>
      <c r="G14" s="3047">
        <f ca="1">结果表!C44</f>
        <v>60022</v>
      </c>
      <c r="H14" s="3047" t="str">
        <f>结果表!C45</f>
        <v>——</v>
      </c>
      <c r="I14" s="3047" t="str">
        <f>结果表!C46</f>
        <v>——</v>
      </c>
    </row>
    <row r="15" spans="1:9" ht="16.5">
      <c r="A15" s="3050" t="s">
        <v>2857</v>
      </c>
      <c r="B15" s="3051"/>
      <c r="C15" s="3051"/>
      <c r="D15" s="3051"/>
      <c r="E15" s="3047" t="e">
        <f t="shared" ref="E15:E23" si="2">ROUND(D15*10000/B15,0)</f>
        <v>#DIV/0!</v>
      </c>
      <c r="F15" s="3047" t="e">
        <f t="shared" ref="F15:F23" si="3">ROUND(D15*10000/C15,0)</f>
        <v>#DIV/0!</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 zoomScaleSheetLayoutView="100" zoomScalePageLayoutView="80" workbookViewId="0">
      <selection activeCell="O81" sqref="O8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3002</v>
      </c>
      <c r="E1" s="1805" t="s">
        <v>2056</v>
      </c>
      <c r="F1" s="1807" t="s">
        <v>3003</v>
      </c>
      <c r="G1" s="311"/>
      <c r="H1" s="311"/>
      <c r="I1" s="311"/>
      <c r="J1" s="2028"/>
      <c r="K1" s="2028"/>
      <c r="L1" s="2028"/>
      <c r="M1" s="2028"/>
      <c r="N1" s="2028"/>
      <c r="O1" s="2028"/>
      <c r="P1" s="2028"/>
      <c r="Q1" s="2028"/>
      <c r="R1" s="2028"/>
      <c r="S1" s="2028"/>
      <c r="T1" s="2028"/>
      <c r="U1" s="2028"/>
      <c r="V1" s="2028"/>
    </row>
    <row r="2" spans="1:22" ht="21.75" customHeight="1" thickBot="1">
      <c r="A2" s="3348" t="str">
        <f>项目基本情况!K2</f>
        <v>山东省高密市鲁家村以东、大南曲、吴家村以西出让国有建设用地使用权</v>
      </c>
      <c r="B2" s="3349"/>
      <c r="C2" s="3350"/>
      <c r="D2" s="3350"/>
      <c r="E2" s="3350"/>
      <c r="F2" s="3350"/>
      <c r="G2" s="3349"/>
      <c r="H2" s="3349"/>
      <c r="I2" s="3351"/>
      <c r="J2" s="2029"/>
      <c r="K2" s="2028"/>
      <c r="L2" s="2028"/>
      <c r="M2" s="2028"/>
      <c r="N2" s="2028"/>
      <c r="O2" s="2028"/>
      <c r="P2" s="2028"/>
      <c r="Q2" s="2028"/>
      <c r="R2" s="2028"/>
      <c r="S2" s="2028"/>
      <c r="T2" s="2028"/>
      <c r="U2" s="2028"/>
      <c r="V2" s="2028"/>
    </row>
    <row r="3" spans="1:22" ht="14.25">
      <c r="A3" s="3359" t="s">
        <v>298</v>
      </c>
      <c r="B3" s="3360"/>
      <c r="C3" s="3360"/>
      <c r="D3" s="3360"/>
      <c r="E3" s="3360"/>
      <c r="F3" s="3360"/>
      <c r="G3" s="3360"/>
      <c r="H3" s="3360"/>
      <c r="I3" s="3360"/>
      <c r="J3" s="2029"/>
      <c r="K3" s="2028"/>
      <c r="L3" s="2028"/>
      <c r="M3" s="2028"/>
      <c r="N3" s="2028"/>
      <c r="O3" s="2028"/>
      <c r="P3" s="2028"/>
      <c r="Q3" s="2028"/>
      <c r="R3" s="2028"/>
      <c r="S3" s="2028"/>
      <c r="T3" s="2028"/>
      <c r="U3" s="2028"/>
      <c r="V3" s="2028"/>
    </row>
    <row r="4" spans="1:22" ht="14.25">
      <c r="A4" s="258" t="s">
        <v>299</v>
      </c>
      <c r="B4" s="259" t="s">
        <v>300</v>
      </c>
      <c r="C4" s="260" t="s">
        <v>3123</v>
      </c>
      <c r="D4" s="260" t="s">
        <v>2992</v>
      </c>
      <c r="E4" s="3323" t="s">
        <v>301</v>
      </c>
      <c r="F4" s="3365"/>
      <c r="G4" s="3365"/>
      <c r="H4" s="3365"/>
      <c r="I4" s="332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2" t="s">
        <v>302</v>
      </c>
      <c r="B5" s="3353">
        <v>25</v>
      </c>
      <c r="C5" s="3361">
        <v>20</v>
      </c>
      <c r="D5" s="3364">
        <v>15</v>
      </c>
      <c r="E5" s="261" t="s">
        <v>303</v>
      </c>
      <c r="F5" s="262"/>
      <c r="G5" s="262"/>
      <c r="H5" s="262"/>
      <c r="I5" s="263"/>
      <c r="J5" s="2029"/>
      <c r="K5" s="2028"/>
      <c r="L5" s="2028"/>
      <c r="M5" s="2028"/>
      <c r="N5" s="2028"/>
      <c r="O5" s="2028"/>
      <c r="P5" s="2028"/>
      <c r="Q5" s="2028"/>
      <c r="R5" s="2028"/>
      <c r="S5" s="2028"/>
      <c r="T5" s="2028"/>
      <c r="U5" s="2028"/>
      <c r="V5" s="2028"/>
    </row>
    <row r="6" spans="1:22" ht="14.25">
      <c r="A6" s="3352"/>
      <c r="B6" s="3353"/>
      <c r="C6" s="3362"/>
      <c r="D6" s="3364"/>
      <c r="E6" s="261" t="s">
        <v>304</v>
      </c>
      <c r="F6" s="262"/>
      <c r="G6" s="262"/>
      <c r="H6" s="262"/>
      <c r="I6" s="263"/>
      <c r="J6" s="2029"/>
      <c r="K6" s="2028"/>
      <c r="L6" s="2028"/>
      <c r="M6" s="2028"/>
      <c r="N6" s="2028"/>
      <c r="O6" s="2028"/>
      <c r="P6" s="2028"/>
      <c r="Q6" s="2028"/>
      <c r="R6" s="2028"/>
      <c r="S6" s="2028"/>
      <c r="T6" s="2028"/>
      <c r="U6" s="2028"/>
      <c r="V6" s="2028"/>
    </row>
    <row r="7" spans="1:22" ht="14.25">
      <c r="A7" s="3352"/>
      <c r="B7" s="3353"/>
      <c r="C7" s="3363"/>
      <c r="D7" s="3364"/>
      <c r="E7" s="261" t="s">
        <v>305</v>
      </c>
      <c r="F7" s="262"/>
      <c r="G7" s="262"/>
      <c r="H7" s="262"/>
      <c r="I7" s="263"/>
      <c r="J7" s="2029"/>
      <c r="K7" s="2028"/>
      <c r="L7" s="2028"/>
      <c r="M7" s="2028"/>
      <c r="N7" s="2028"/>
      <c r="O7" s="2028"/>
      <c r="P7" s="2028"/>
      <c r="Q7" s="2028"/>
      <c r="R7" s="2028"/>
      <c r="S7" s="2028"/>
      <c r="T7" s="2028"/>
      <c r="U7" s="2028"/>
      <c r="V7" s="2028"/>
    </row>
    <row r="8" spans="1:22" ht="14.25">
      <c r="A8" s="3352" t="s">
        <v>306</v>
      </c>
      <c r="B8" s="3353">
        <v>15</v>
      </c>
      <c r="C8" s="3361">
        <v>14</v>
      </c>
      <c r="D8" s="3364">
        <v>12</v>
      </c>
      <c r="E8" s="261" t="s">
        <v>307</v>
      </c>
      <c r="F8" s="262"/>
      <c r="G8" s="262"/>
      <c r="H8" s="262"/>
      <c r="I8" s="263"/>
      <c r="J8" s="2029"/>
      <c r="K8" s="2028"/>
      <c r="L8" s="2028"/>
      <c r="M8" s="2028"/>
      <c r="N8" s="2028"/>
      <c r="O8" s="2028"/>
      <c r="P8" s="2028"/>
      <c r="Q8" s="2028"/>
      <c r="R8" s="2028"/>
      <c r="S8" s="2028"/>
      <c r="T8" s="2028"/>
      <c r="U8" s="2028"/>
      <c r="V8" s="2028"/>
    </row>
    <row r="9" spans="1:22" ht="14.25">
      <c r="A9" s="3352"/>
      <c r="B9" s="3353"/>
      <c r="C9" s="3363"/>
      <c r="D9" s="3364"/>
      <c r="E9" s="261" t="s">
        <v>308</v>
      </c>
      <c r="F9" s="262"/>
      <c r="G9" s="262"/>
      <c r="H9" s="262"/>
      <c r="I9" s="263"/>
      <c r="J9" s="2029"/>
      <c r="K9" s="2028"/>
      <c r="L9" s="2028"/>
      <c r="M9" s="2028"/>
      <c r="N9" s="2028"/>
      <c r="O9" s="2028"/>
      <c r="P9" s="2028"/>
      <c r="Q9" s="2028"/>
      <c r="R9" s="2028"/>
      <c r="S9" s="2028"/>
      <c r="T9" s="2028"/>
      <c r="U9" s="2028"/>
      <c r="V9" s="2028"/>
    </row>
    <row r="10" spans="1:22" ht="14.25">
      <c r="A10" s="3352" t="s">
        <v>309</v>
      </c>
      <c r="B10" s="3353">
        <v>15</v>
      </c>
      <c r="C10" s="3361">
        <v>14</v>
      </c>
      <c r="D10" s="3364">
        <v>12</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2"/>
      <c r="B11" s="3353"/>
      <c r="C11" s="3363"/>
      <c r="D11" s="336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2" t="s">
        <v>312</v>
      </c>
      <c r="B12" s="3353">
        <v>15</v>
      </c>
      <c r="C12" s="3361">
        <v>14</v>
      </c>
      <c r="D12" s="3364">
        <v>12</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2"/>
      <c r="B13" s="3353"/>
      <c r="C13" s="3363"/>
      <c r="D13" s="336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2" t="s">
        <v>315</v>
      </c>
      <c r="B14" s="3353">
        <v>30</v>
      </c>
      <c r="C14" s="3361">
        <v>25</v>
      </c>
      <c r="D14" s="3364">
        <v>20</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2"/>
      <c r="B15" s="3353"/>
      <c r="C15" s="3362"/>
      <c r="D15" s="336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2"/>
      <c r="B16" s="3353"/>
      <c r="C16" s="3363"/>
      <c r="D16" s="336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87</v>
      </c>
      <c r="D17" s="265">
        <f>SUM(D5:D16)</f>
        <v>71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39675</v>
      </c>
      <c r="D19" s="271">
        <f ca="1">SUMIF(INDIRECT("'"&amp;D4&amp;"'"&amp;"!A:A"),结果表!B19,INDIRECT("'"&amp;D4&amp;"'"&amp;"!B:B"))</f>
        <v>84890</v>
      </c>
      <c r="E19" s="268" t="s">
        <v>323</v>
      </c>
      <c r="F19" s="269" t="s">
        <v>322</v>
      </c>
      <c r="G19" s="272">
        <f ca="1">ROUND(C19*$C$18+D19*$D$18,0)</f>
        <v>60022</v>
      </c>
      <c r="H19" s="273" t="s">
        <v>324</v>
      </c>
      <c r="I19" s="311"/>
      <c r="J19" s="2028"/>
      <c r="K19" s="2028">
        <f ca="1">G19+[1]结果表!$G$19+[2]结果表!$G$19</f>
        <v>94830</v>
      </c>
      <c r="L19" s="2028">
        <f ca="1">O39+[1]结果表!$O$39+[2]结果表!$O$39</f>
        <v>94483</v>
      </c>
      <c r="M19" s="2028"/>
      <c r="N19" s="2028"/>
      <c r="O19" s="2028"/>
      <c r="P19" s="2028"/>
      <c r="Q19" s="2028"/>
      <c r="R19" s="2028"/>
      <c r="S19" s="2028"/>
      <c r="T19" s="2028"/>
      <c r="U19" s="2028"/>
      <c r="V19" s="2028"/>
    </row>
    <row r="20" spans="1:26" ht="15">
      <c r="A20" s="274"/>
      <c r="B20" s="275" t="s">
        <v>325</v>
      </c>
      <c r="C20" s="276">
        <f ca="1">SUMIF(INDIRECT("'"&amp;C4&amp;"'"&amp;"!A:A"),结果表!B20,INDIRECT("'"&amp;C4&amp;"'"&amp;"!B:B"))</f>
        <v>346</v>
      </c>
      <c r="D20" s="277">
        <f ca="1">SUMIF(INDIRECT("'"&amp;D4&amp;"'"&amp;"!A:A"),结果表!B20,INDIRECT("'"&amp;D4&amp;"'"&amp;"!B:B"))</f>
        <v>740</v>
      </c>
      <c r="E20" s="274"/>
      <c r="F20" s="275" t="s">
        <v>325</v>
      </c>
      <c r="G20" s="278">
        <f ca="1">ROUND(C20*$C$18+D20*$D$18,0)</f>
        <v>523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1488</v>
      </c>
      <c r="D21" s="151">
        <f ca="1">SUMIF(INDIRECT("'"&amp;D4&amp;"'"&amp;"!A:A"),结果表!B21,INDIRECT("'"&amp;D4&amp;"'"&amp;"!B:B"))</f>
        <v>3183</v>
      </c>
      <c r="E21" s="274"/>
      <c r="F21" s="280" t="s">
        <v>327</v>
      </c>
      <c r="G21" s="282">
        <f ca="1">ROUND(C21*$C$18+D21*$D$18,0)</f>
        <v>2251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1.1396345305608064</v>
      </c>
      <c r="E22" s="284"/>
      <c r="F22" s="285"/>
      <c r="G22" s="286">
        <f ca="1">ROUND(G19/('数据-汇总表'!D3/666.67),0)</f>
        <v>150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7"/>
      <c r="B25" s="1321" t="s">
        <v>2990</v>
      </c>
      <c r="C25" s="290">
        <f>IF(B30=0,0,C30)</f>
        <v>0</v>
      </c>
      <c r="D25" s="291"/>
      <c r="E25" s="311"/>
      <c r="F25" s="311"/>
      <c r="G25" s="311"/>
      <c r="H25" s="311"/>
      <c r="I25" s="311"/>
      <c r="J25" s="2028"/>
      <c r="K25" s="1255" t="str">
        <f ca="1">项目基本情况!B16&amp;"国有建设用地使用权价格："&amp;O38&amp;"万元"</f>
        <v>出让国有建设用地使用权价格：60022万元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大写金额：人民币陆亿零贰拾贰万元整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单位面积地价：2251元/平方米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抵押价格：60022万元</v>
      </c>
      <c r="L29" s="1252"/>
      <c r="M29" s="1252"/>
      <c r="N29" s="1252"/>
      <c r="O29" s="1251"/>
      <c r="P29" s="2028"/>
      <c r="V29" s="2028"/>
    </row>
    <row r="30" spans="1:26" ht="18.75" thickBot="1">
      <c r="A30" s="3128" t="s">
        <v>335</v>
      </c>
      <c r="B30" s="309"/>
      <c r="C30" s="309"/>
      <c r="D30" s="310"/>
      <c r="E30" s="3129" t="s">
        <v>2964</v>
      </c>
      <c r="F30" s="311"/>
      <c r="G30" s="311"/>
      <c r="H30" s="311"/>
      <c r="I30" s="311"/>
      <c r="J30" s="2028"/>
      <c r="K30" s="1258" t="str">
        <f ca="1">IF(K29="——","——","大写金额：人民币"&amp;NUMBERSTRING(INT(O39*10000),2)&amp;"元整")</f>
        <v>大写金额：人民币陆亿零贰拾贰万元整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1686</v>
      </c>
      <c r="C32" s="1383">
        <f ca="1">G19-C24</f>
        <v>60022</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1688</v>
      </c>
      <c r="C33" s="264">
        <f ca="1">ROUND(C32*10000/'数据-汇总表'!E3,0)</f>
        <v>523</v>
      </c>
      <c r="D33" s="1386" t="s">
        <v>1689</v>
      </c>
      <c r="E33" s="3325"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1690</v>
      </c>
      <c r="C34" s="264">
        <f ca="1">ROUND(C32*10000/'数据-汇总表'!D3,0)</f>
        <v>2251</v>
      </c>
      <c r="D34" s="1388" t="s">
        <v>1689</v>
      </c>
      <c r="E34" s="3326"/>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150</v>
      </c>
      <c r="D35" s="1391" t="s">
        <v>1691</v>
      </c>
      <c r="E35" s="3327"/>
      <c r="F35" s="301" t="s">
        <v>341</v>
      </c>
      <c r="G35" s="982"/>
      <c r="H35" s="981" t="s">
        <v>342</v>
      </c>
      <c r="I35" s="311"/>
      <c r="J35" s="2028"/>
      <c r="K35" s="3331" t="s">
        <v>349</v>
      </c>
      <c r="L35" s="3331" t="s">
        <v>350</v>
      </c>
      <c r="M35" s="1264" t="s">
        <v>351</v>
      </c>
      <c r="N35" s="3331" t="s">
        <v>352</v>
      </c>
      <c r="O35" s="3331" t="s">
        <v>353</v>
      </c>
      <c r="P35" s="2028"/>
      <c r="V35" s="2028"/>
    </row>
    <row r="36" spans="1:26" ht="16.5" customHeight="1">
      <c r="A36" s="303" t="s">
        <v>343</v>
      </c>
      <c r="B36" s="304" t="s">
        <v>332</v>
      </c>
      <c r="C36" s="305" t="s">
        <v>344</v>
      </c>
      <c r="D36" s="305" t="s">
        <v>345</v>
      </c>
      <c r="E36" s="306" t="s">
        <v>346</v>
      </c>
      <c r="F36" s="311"/>
      <c r="G36" s="311"/>
      <c r="H36" s="311"/>
      <c r="I36" s="311"/>
      <c r="J36" s="2030"/>
      <c r="K36" s="3332"/>
      <c r="L36" s="3332"/>
      <c r="M36" s="1266" t="s">
        <v>354</v>
      </c>
      <c r="N36" s="3332"/>
      <c r="O36" s="3332"/>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33"/>
      <c r="L37" s="3333"/>
      <c r="M37" s="1267"/>
      <c r="N37" s="3333"/>
      <c r="O37" s="3333"/>
      <c r="P37" s="2028"/>
      <c r="V37" s="2028"/>
    </row>
    <row r="38" spans="1:26" ht="16.5" customHeight="1" thickBot="1">
      <c r="A38" s="1260" t="s">
        <v>348</v>
      </c>
      <c r="B38" s="307"/>
      <c r="C38" s="294"/>
      <c r="D38" s="294"/>
      <c r="E38" s="295"/>
      <c r="F38" s="311"/>
      <c r="G38" s="311"/>
      <c r="H38" s="311"/>
      <c r="I38" s="311"/>
      <c r="J38" s="2030"/>
      <c r="K38" s="1268">
        <f>'数据-汇总表'!D3</f>
        <v>266666.3</v>
      </c>
      <c r="L38" s="1269">
        <f>'数据-汇总表'!E3</f>
        <v>1146665.0899999999</v>
      </c>
      <c r="M38" s="1269">
        <f ca="1">C34</f>
        <v>2251</v>
      </c>
      <c r="N38" s="1269">
        <f ca="1">C33</f>
        <v>523</v>
      </c>
      <c r="O38" s="1270">
        <f ca="1">C32</f>
        <v>60022</v>
      </c>
      <c r="P38" s="2028"/>
      <c r="V38" s="2028"/>
    </row>
    <row r="39" spans="1:26" ht="16.5" customHeight="1" thickBot="1">
      <c r="A39" s="1265"/>
      <c r="B39" s="308"/>
      <c r="C39" s="309"/>
      <c r="D39" s="309"/>
      <c r="E39" s="310"/>
      <c r="F39" s="311"/>
      <c r="G39" s="311"/>
      <c r="H39" s="311"/>
      <c r="I39" s="311"/>
      <c r="J39" s="2030"/>
      <c r="K39" s="3308" t="str">
        <f>MID(A44,3,LEN(A44)-2)</f>
        <v>抵押价格</v>
      </c>
      <c r="L39" s="3309"/>
      <c r="M39" s="3309"/>
      <c r="N39" s="3310"/>
      <c r="O39" s="1393">
        <f ca="1">C44</f>
        <v>60022</v>
      </c>
      <c r="P39" s="2028"/>
      <c r="V39" s="2028"/>
    </row>
    <row r="40" spans="1:26" ht="19.5" thickBot="1">
      <c r="A40" s="104" t="s">
        <v>870</v>
      </c>
      <c r="B40" s="311"/>
      <c r="C40" s="311"/>
      <c r="D40" s="311"/>
      <c r="E40" s="311"/>
      <c r="F40" s="311"/>
      <c r="G40" s="311"/>
      <c r="H40" s="311"/>
      <c r="I40" s="311"/>
      <c r="J40" s="2030"/>
      <c r="K40" s="3308" t="str">
        <f t="shared" ref="K40:K41" si="0">MID(A45,3,LEN(A45)-2)</f>
        <v/>
      </c>
      <c r="L40" s="3309"/>
      <c r="M40" s="3309"/>
      <c r="N40" s="3310"/>
      <c r="O40" s="1393" t="str">
        <f>C45</f>
        <v>——</v>
      </c>
      <c r="P40" s="2028"/>
      <c r="V40" s="2028"/>
    </row>
    <row r="41" spans="1:26" ht="16.5" thickBot="1">
      <c r="A41" s="312" t="s">
        <v>355</v>
      </c>
      <c r="B41" s="313"/>
      <c r="C41" s="314" t="s">
        <v>356</v>
      </c>
      <c r="D41" s="315" t="s">
        <v>357</v>
      </c>
      <c r="E41" s="315" t="s">
        <v>358</v>
      </c>
      <c r="F41" s="316" t="s">
        <v>359</v>
      </c>
      <c r="G41" s="311"/>
      <c r="H41" s="311"/>
      <c r="I41" s="311"/>
      <c r="J41" s="2030"/>
      <c r="K41" s="3308" t="str">
        <f t="shared" si="0"/>
        <v/>
      </c>
      <c r="L41" s="3309"/>
      <c r="M41" s="3309"/>
      <c r="N41" s="3310"/>
      <c r="O41" s="1393" t="str">
        <f>C46</f>
        <v>——</v>
      </c>
      <c r="P41" s="2028"/>
      <c r="V41" s="2028"/>
    </row>
    <row r="42" spans="1:26" ht="29.25">
      <c r="A42" s="3368" t="s">
        <v>2066</v>
      </c>
      <c r="B42" s="3369"/>
      <c r="C42" s="264">
        <f ca="1">C32</f>
        <v>60022</v>
      </c>
      <c r="D42" s="317">
        <f ca="1">C33</f>
        <v>523</v>
      </c>
      <c r="E42" s="317">
        <f ca="1">C34</f>
        <v>2251</v>
      </c>
      <c r="F42" s="318">
        <f ca="1">C35</f>
        <v>150</v>
      </c>
      <c r="G42" s="311"/>
      <c r="H42" s="311"/>
      <c r="I42" s="319"/>
      <c r="J42" s="2030"/>
      <c r="K42" s="1271" t="s">
        <v>360</v>
      </c>
      <c r="L42" s="2047" t="s">
        <v>361</v>
      </c>
      <c r="M42" s="1272" t="s">
        <v>362</v>
      </c>
      <c r="N42" s="2048" t="s">
        <v>363</v>
      </c>
      <c r="O42" s="2049" t="s">
        <v>364</v>
      </c>
      <c r="P42" s="2028"/>
      <c r="V42" s="2028"/>
    </row>
    <row r="43" spans="1:26" ht="30">
      <c r="A43" s="3378" t="s">
        <v>2726</v>
      </c>
      <c r="B43" s="3379"/>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39675</v>
      </c>
      <c r="M43" s="1275">
        <f>C18</f>
        <v>0.55000000000000004</v>
      </c>
      <c r="N43" s="1276">
        <f ca="1">IF(N42="测算结果/万元",G19,G20)</f>
        <v>60022</v>
      </c>
      <c r="O43" s="1277">
        <f ca="1">IF(O42="最终结果/万元",C32,C33)</f>
        <v>60022</v>
      </c>
      <c r="P43" s="2028"/>
      <c r="V43" s="2028"/>
    </row>
    <row r="44" spans="1:26" ht="30.75" thickBot="1">
      <c r="A44" s="3368" t="str">
        <f>IF(OR(项目基本情况!E8="抵押价格",项目基本情况!E8="已注销及未注销"),"3.抵押价格","——")</f>
        <v>3.抵押价格</v>
      </c>
      <c r="B44" s="3369"/>
      <c r="C44" s="264">
        <f ca="1">IF(A44="——","——",C42-C43)</f>
        <v>60022</v>
      </c>
      <c r="D44" s="317">
        <f ca="1">ROUND(C44*10000/'数据-汇总表'!E3,0)</f>
        <v>523</v>
      </c>
      <c r="E44" s="317">
        <f ca="1">ROUND(C44*10000/'数据-汇总表'!D3,0)</f>
        <v>2251</v>
      </c>
      <c r="F44" s="318">
        <f ca="1">ROUND(C44/('数据-汇总表'!D3/666.67),0)</f>
        <v>150</v>
      </c>
      <c r="G44" s="311"/>
      <c r="H44" s="311"/>
      <c r="I44" s="319"/>
      <c r="J44" s="2030"/>
      <c r="K44" s="1278" t="str">
        <f>D4</f>
        <v>剩余法-待开发</v>
      </c>
      <c r="L44" s="1279">
        <f ca="1">IF(L42="估价结果/万元",D19,D20)</f>
        <v>84890</v>
      </c>
      <c r="M44" s="1280">
        <f>D18</f>
        <v>0.44999999999999996</v>
      </c>
      <c r="N44" s="1281"/>
      <c r="O44" s="1282"/>
      <c r="P44" s="2028"/>
      <c r="V44" s="2028"/>
    </row>
    <row r="45" spans="1:26" ht="15">
      <c r="A45" s="3373" t="str">
        <f>IF(项目基本情况!E8="已注销及未注销","4.抵押担保权已注销时的抵押价格",IF(项目基本情况!E8="已注销","3.抵押担保权已注销时的抵押价格","——"))</f>
        <v>——</v>
      </c>
      <c r="B45" s="337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373</v>
      </c>
      <c r="B63" s="3337"/>
      <c r="C63" s="3338"/>
      <c r="D63" s="341">
        <f ca="1">ROUND(C42*F63,0)</f>
        <v>48018</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75" t="s">
        <v>377</v>
      </c>
      <c r="B64" s="3376"/>
      <c r="C64" s="3376"/>
      <c r="D64" s="3376"/>
      <c r="E64" s="3376"/>
      <c r="F64" s="3376"/>
      <c r="G64" s="3377"/>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72" t="s">
        <v>385</v>
      </c>
      <c r="B66" s="3343"/>
      <c r="C66" s="3343"/>
      <c r="D66" s="261">
        <f ca="1">IF(H66="情况1",0,IF(H66="情况2",D70,IF(H66="情况3",D71,IF(H66="情况4",D72))))</f>
        <v>2515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12" t="s">
        <v>384</v>
      </c>
      <c r="M66" s="3313"/>
      <c r="N66" s="2456"/>
      <c r="O66" s="2457"/>
      <c r="P66" s="2458"/>
      <c r="Q66" s="2028"/>
      <c r="R66" s="2028"/>
      <c r="S66" s="2028"/>
      <c r="T66" s="2028"/>
      <c r="U66" s="2028"/>
      <c r="V66" s="2028"/>
    </row>
    <row r="67" spans="1:22" ht="25.5" customHeight="1">
      <c r="A67" s="352" t="s">
        <v>389</v>
      </c>
      <c r="B67" s="3355" t="s">
        <v>390</v>
      </c>
      <c r="C67" s="3355"/>
      <c r="D67" s="353">
        <v>0</v>
      </c>
      <c r="E67" s="41" t="s">
        <v>391</v>
      </c>
      <c r="F67" s="62" t="s">
        <v>21</v>
      </c>
      <c r="G67" s="3339"/>
      <c r="H67" s="311"/>
      <c r="I67" s="1292"/>
      <c r="J67" s="2035"/>
      <c r="K67" s="1976">
        <v>2</v>
      </c>
      <c r="L67" s="3311" t="s">
        <v>388</v>
      </c>
      <c r="M67" s="3311"/>
      <c r="N67" s="1325">
        <f>'数据-取费表'!B2</f>
        <v>43578</v>
      </c>
      <c r="O67" s="1325"/>
      <c r="P67" s="1325"/>
      <c r="Q67" s="2028"/>
      <c r="R67" s="2028"/>
      <c r="S67" s="2028"/>
      <c r="T67" s="2028"/>
      <c r="U67" s="2028"/>
      <c r="V67" s="2028"/>
    </row>
    <row r="68" spans="1:22" ht="25.5" customHeight="1">
      <c r="A68" s="354"/>
      <c r="B68" s="3355" t="s">
        <v>393</v>
      </c>
      <c r="C68" s="3355"/>
      <c r="D68" s="355"/>
      <c r="E68" s="77"/>
      <c r="F68" s="356"/>
      <c r="G68" s="3340"/>
      <c r="H68" s="311"/>
      <c r="I68" s="1292"/>
      <c r="J68" s="2035"/>
      <c r="K68" s="1976">
        <v>3</v>
      </c>
      <c r="L68" s="3311" t="s">
        <v>392</v>
      </c>
      <c r="M68" s="3311"/>
      <c r="N68" s="1293">
        <f ca="1">C42</f>
        <v>60022</v>
      </c>
      <c r="O68" s="1293"/>
      <c r="P68" s="1293"/>
      <c r="Q68" s="2028"/>
      <c r="R68" s="2028"/>
      <c r="S68" s="2028"/>
      <c r="T68" s="2028"/>
      <c r="U68" s="2028"/>
      <c r="V68" s="2028"/>
    </row>
    <row r="69" spans="1:22" ht="12" customHeight="1">
      <c r="A69" s="357"/>
      <c r="B69" s="3355" t="s">
        <v>394</v>
      </c>
      <c r="C69" s="3355"/>
      <c r="D69" s="358"/>
      <c r="E69" s="73"/>
      <c r="F69" s="356"/>
      <c r="G69" s="3341"/>
      <c r="H69" s="311"/>
      <c r="I69" s="1292"/>
      <c r="J69" s="2035"/>
      <c r="K69" s="1294">
        <v>4</v>
      </c>
      <c r="L69" s="3317" t="s">
        <v>2879</v>
      </c>
      <c r="M69" s="3318"/>
      <c r="N69" s="1295">
        <f ca="1">C44</f>
        <v>60022</v>
      </c>
      <c r="O69" s="1295"/>
      <c r="P69" s="1295"/>
      <c r="Q69" s="2028"/>
      <c r="R69" s="2028"/>
      <c r="S69" s="2028"/>
      <c r="T69" s="2028"/>
      <c r="U69" s="2028"/>
      <c r="V69" s="2028"/>
    </row>
    <row r="70" spans="1:22" ht="24" customHeight="1">
      <c r="A70" s="359" t="s">
        <v>395</v>
      </c>
      <c r="B70" s="3355" t="s">
        <v>396</v>
      </c>
      <c r="C70" s="3355"/>
      <c r="D70" s="358">
        <f ca="1">ROUND(D63*'数据-取费表'!B41/(1+'数据-取费表'!C42),0)</f>
        <v>2515</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54" t="s">
        <v>404</v>
      </c>
      <c r="C71" s="3366"/>
      <c r="D71" s="358">
        <f ca="1">ROUND(D63*'数据-取费表'!B41/(1+'数据-取费表'!C42),0)</f>
        <v>2515</v>
      </c>
      <c r="E71" s="17" t="s">
        <v>397</v>
      </c>
      <c r="F71" s="360">
        <f>'数据-取费表'!B41</f>
        <v>5.5000000000000007E-2</v>
      </c>
      <c r="G71" s="361"/>
      <c r="H71" s="311"/>
      <c r="I71" s="1292"/>
      <c r="J71" s="2035"/>
      <c r="K71" s="3059" t="s">
        <v>398</v>
      </c>
      <c r="L71" s="3319" t="s">
        <v>399</v>
      </c>
      <c r="M71" s="3319"/>
      <c r="N71" s="3059" t="s">
        <v>400</v>
      </c>
      <c r="O71" s="3059" t="s">
        <v>401</v>
      </c>
      <c r="P71" s="3059" t="s">
        <v>402</v>
      </c>
      <c r="Q71" s="2028"/>
      <c r="R71" s="2028"/>
      <c r="S71" s="2028"/>
      <c r="T71" s="2028"/>
      <c r="U71" s="2028"/>
      <c r="V71" s="2028"/>
    </row>
    <row r="72" spans="1:22" ht="12" customHeight="1">
      <c r="A72" s="359" t="s">
        <v>406</v>
      </c>
      <c r="B72" s="3354" t="s">
        <v>407</v>
      </c>
      <c r="C72" s="3366"/>
      <c r="D72" s="358">
        <f ca="1">C86</f>
        <v>2405</v>
      </c>
      <c r="E72" s="73" t="s">
        <v>408</v>
      </c>
      <c r="F72" s="360">
        <f>'数据-取费表'!B41</f>
        <v>5.5000000000000007E-2</v>
      </c>
      <c r="G72" s="361"/>
      <c r="H72" s="1298"/>
      <c r="I72" s="1292"/>
      <c r="J72" s="2035"/>
      <c r="K72" s="1976">
        <v>1</v>
      </c>
      <c r="L72" s="3316" t="s">
        <v>405</v>
      </c>
      <c r="M72" s="3316"/>
      <c r="N72" s="1296">
        <f ca="1">D66</f>
        <v>2515</v>
      </c>
      <c r="O72" s="1860" t="str">
        <f>E66</f>
        <v>销售额×税（费）率</v>
      </c>
      <c r="P72" s="1297">
        <f>F66</f>
        <v>5.5000000000000007E-2</v>
      </c>
      <c r="Q72" s="2028"/>
      <c r="R72" s="2028"/>
      <c r="S72" s="2028"/>
      <c r="T72" s="2028"/>
      <c r="U72" s="2028"/>
      <c r="V72" s="2028"/>
    </row>
    <row r="73" spans="1:22" ht="24" customHeight="1">
      <c r="A73" s="3342" t="s">
        <v>410</v>
      </c>
      <c r="B73" s="3343"/>
      <c r="C73" s="3343"/>
      <c r="D73" s="362">
        <f ca="1">IF(H73="个人住宅",0,ROUND(D63*I73,0))</f>
        <v>24</v>
      </c>
      <c r="E73" s="17" t="s">
        <v>411</v>
      </c>
      <c r="F73" s="360">
        <f>IF(H73="正常",I73,"免征")</f>
        <v>5.0000000000000001E-4</v>
      </c>
      <c r="G73" s="361"/>
      <c r="H73" s="191" t="s">
        <v>2991</v>
      </c>
      <c r="I73" s="360">
        <f>'数据-取费表'!B49</f>
        <v>5.0000000000000001E-4</v>
      </c>
      <c r="J73" s="2035"/>
      <c r="K73" s="1976">
        <v>2</v>
      </c>
      <c r="L73" s="3316" t="s">
        <v>409</v>
      </c>
      <c r="M73" s="3316"/>
      <c r="N73" s="1296">
        <f t="shared" ref="N73:P74" ca="1" si="1">D73</f>
        <v>24</v>
      </c>
      <c r="O73" s="1860" t="str">
        <f t="shared" si="1"/>
        <v>销售额×税（费）率</v>
      </c>
      <c r="P73" s="1297">
        <f t="shared" si="1"/>
        <v>5.0000000000000001E-4</v>
      </c>
      <c r="Q73" s="2028"/>
      <c r="R73" s="2028"/>
      <c r="S73" s="2028"/>
      <c r="T73" s="2028"/>
      <c r="U73" s="2028"/>
      <c r="V73" s="2028"/>
    </row>
    <row r="74" spans="1:22" ht="24.75">
      <c r="A74" s="3342" t="s">
        <v>413</v>
      </c>
      <c r="B74" s="3343"/>
      <c r="C74" s="3343"/>
      <c r="D74" s="362">
        <f ca="1">IF(H74="个人住宅",D75,D76)</f>
        <v>1136</v>
      </c>
      <c r="E74" s="17" t="s">
        <v>414</v>
      </c>
      <c r="F74" s="360" t="str">
        <f>IF(H74="正常",F76,"免征")</f>
        <v>——</v>
      </c>
      <c r="G74" s="983" t="s">
        <v>415</v>
      </c>
      <c r="H74" s="363" t="s">
        <v>2991</v>
      </c>
      <c r="I74" s="42"/>
      <c r="J74" s="2035"/>
      <c r="K74" s="1976">
        <v>3</v>
      </c>
      <c r="L74" s="3316" t="s">
        <v>412</v>
      </c>
      <c r="M74" s="3316"/>
      <c r="N74" s="1296">
        <f t="shared" ca="1" si="1"/>
        <v>1136</v>
      </c>
      <c r="O74" s="1860" t="str">
        <f t="shared" si="1"/>
        <v>增值额×税（费）率</v>
      </c>
      <c r="P74" s="1299" t="str">
        <f t="shared" si="1"/>
        <v>——</v>
      </c>
      <c r="Q74" s="2028"/>
      <c r="R74" s="2028"/>
      <c r="S74" s="2028"/>
      <c r="T74" s="2028"/>
      <c r="U74" s="2028"/>
      <c r="V74" s="2028"/>
    </row>
    <row r="75" spans="1:22" ht="12.75">
      <c r="A75" s="359" t="s">
        <v>416</v>
      </c>
      <c r="B75" s="3323" t="s">
        <v>417</v>
      </c>
      <c r="C75" s="3324"/>
      <c r="D75" s="364">
        <v>0</v>
      </c>
      <c r="E75" s="41" t="s">
        <v>418</v>
      </c>
      <c r="F75" s="365"/>
      <c r="G75" s="361"/>
      <c r="H75" s="42"/>
      <c r="I75" s="42"/>
      <c r="J75" s="2035"/>
      <c r="K75" s="3052" t="str">
        <f>IF(H77="非个人房产","",4)</f>
        <v/>
      </c>
      <c r="L75" s="3316" t="str">
        <f>IF(H77="非个人房产","——","个人所得税")</f>
        <v>——</v>
      </c>
      <c r="M75" s="3316"/>
      <c r="N75" s="1300" t="str">
        <f>D77</f>
        <v>——</v>
      </c>
      <c r="O75" s="1873" t="str">
        <f>E77</f>
        <v>——</v>
      </c>
      <c r="P75" s="1301" t="str">
        <f>F77</f>
        <v>——</v>
      </c>
      <c r="Q75" s="2028"/>
      <c r="R75" s="2028"/>
      <c r="S75" s="2028"/>
      <c r="T75" s="2028"/>
      <c r="U75" s="2028"/>
      <c r="V75" s="2028"/>
    </row>
    <row r="76" spans="1:22" ht="24.75">
      <c r="A76" s="359" t="s">
        <v>395</v>
      </c>
      <c r="B76" s="3323" t="s">
        <v>420</v>
      </c>
      <c r="C76" s="3365"/>
      <c r="D76" s="362">
        <f ca="1">IF(H76="转让取得",C99,C115)</f>
        <v>1136</v>
      </c>
      <c r="E76" s="17" t="s">
        <v>421</v>
      </c>
      <c r="F76" s="53" t="s">
        <v>21</v>
      </c>
      <c r="G76" s="361"/>
      <c r="H76" s="363" t="s">
        <v>3138</v>
      </c>
      <c r="I76" s="42"/>
      <c r="J76" s="2035"/>
      <c r="K76" s="3052" t="str">
        <f>IF(项目基本情况!K6="上海银行",IF(K75="",4,K75+1),"")</f>
        <v/>
      </c>
      <c r="L76" s="3304" t="str">
        <f>IF(项目基本情况!K6="上海银行","其他处置费用","")</f>
        <v/>
      </c>
      <c r="M76" s="3305"/>
      <c r="N76" s="1296" t="str">
        <f>IF(项目基本情况!K6="上海银行",N89,"")</f>
        <v/>
      </c>
      <c r="O76" s="3306" t="str">
        <f>IF(项目基本情况!K6="上海银行","包含处置中涉及的律师、诉讼、拍卖、评估等费用","")</f>
        <v/>
      </c>
      <c r="P76" s="3307"/>
      <c r="Q76" s="2028"/>
      <c r="R76" s="2028"/>
      <c r="S76" s="2028"/>
      <c r="T76" s="2028"/>
      <c r="U76" s="2028"/>
      <c r="V76" s="2028"/>
    </row>
    <row r="77" spans="1:22" ht="24.75" thickBot="1">
      <c r="A77" s="3334" t="s">
        <v>423</v>
      </c>
      <c r="B77" s="3335"/>
      <c r="C77" s="3335"/>
      <c r="D77" s="366" t="str">
        <f>IF(H77="非个人房产","——",IF(H77="个人住宅",0,ROUND(D63*I77,0)))</f>
        <v>——</v>
      </c>
      <c r="E77" s="367" t="str">
        <f>IF(H77="非个人房产","——","销售额×税（费）率")</f>
        <v>——</v>
      </c>
      <c r="F77" s="368" t="str">
        <f>IF(H77="非个人房产","——",IF(H77="个人住宅","免征",I77))</f>
        <v>——</v>
      </c>
      <c r="G77" s="984" t="s">
        <v>415</v>
      </c>
      <c r="H77" s="363" t="s">
        <v>3139</v>
      </c>
      <c r="I77" s="369">
        <v>0.01</v>
      </c>
      <c r="J77" s="2035"/>
      <c r="K77" s="3330">
        <f>IF(AND(K75="",K76=""),4,IF(项目基本情况!K6="上海银行",K76+1,K75+1))</f>
        <v>4</v>
      </c>
      <c r="L77" s="3316" t="s">
        <v>2880</v>
      </c>
      <c r="M77" s="3058" t="s">
        <v>419</v>
      </c>
      <c r="N77" s="1302"/>
      <c r="O77" s="1303">
        <f ca="1">SUMIF(N72:N76,"&lt;9e307")</f>
        <v>3675</v>
      </c>
      <c r="P77" s="1304"/>
      <c r="Q77" s="3056">
        <f ca="1">O77/N69</f>
        <v>6.1227549898370599E-2</v>
      </c>
      <c r="R77" s="2028"/>
      <c r="S77" s="2028"/>
      <c r="T77" s="2028"/>
      <c r="U77" s="2028"/>
      <c r="V77" s="2028"/>
    </row>
    <row r="78" spans="1:22" ht="12" customHeight="1">
      <c r="A78" s="1305"/>
      <c r="B78" s="311"/>
      <c r="C78" s="311"/>
      <c r="D78" s="311"/>
      <c r="E78" s="42"/>
      <c r="F78" s="42"/>
      <c r="G78" s="42"/>
      <c r="H78" s="1003"/>
      <c r="I78" s="311"/>
      <c r="J78" s="2035"/>
      <c r="K78" s="3330"/>
      <c r="L78" s="3316"/>
      <c r="M78" s="3058" t="s">
        <v>422</v>
      </c>
      <c r="N78" s="1302"/>
      <c r="O78" s="1303" t="str">
        <f ca="1">NUMBERSTRING(INT(O77*10000),2)&amp;"元整"</f>
        <v>叁仟陆佰柒拾伍万元整</v>
      </c>
      <c r="P78" s="1304"/>
      <c r="Q78" s="2028"/>
      <c r="R78" s="2028"/>
      <c r="S78" s="2028"/>
      <c r="T78" s="2028"/>
      <c r="U78" s="2028"/>
      <c r="V78" s="2028"/>
    </row>
    <row r="79" spans="1:22" ht="13.5" thickBot="1">
      <c r="A79" s="3320" t="s">
        <v>424</v>
      </c>
      <c r="B79" s="3320"/>
      <c r="C79" s="3320"/>
      <c r="D79" s="3320"/>
      <c r="E79" s="3320"/>
      <c r="F79" s="42"/>
      <c r="G79" s="42"/>
      <c r="H79" s="1003"/>
      <c r="I79" s="311"/>
      <c r="J79" s="2035"/>
      <c r="K79" s="3314">
        <f>K77+1</f>
        <v>5</v>
      </c>
      <c r="L79" s="3316" t="s">
        <v>2881</v>
      </c>
      <c r="M79" s="3058" t="s">
        <v>419</v>
      </c>
      <c r="N79" s="1302"/>
      <c r="O79" s="1303">
        <f ca="1">N69-O77</f>
        <v>56347</v>
      </c>
      <c r="P79" s="1304"/>
      <c r="Q79" s="2028"/>
      <c r="R79" s="2028"/>
      <c r="S79" s="2028"/>
      <c r="T79" s="2028"/>
      <c r="U79" s="2028"/>
      <c r="V79" s="2028"/>
    </row>
    <row r="80" spans="1:22" ht="25.5">
      <c r="A80" s="3321" t="s">
        <v>425</v>
      </c>
      <c r="B80" s="3322"/>
      <c r="C80" s="994"/>
      <c r="D80" s="994" t="s">
        <v>426</v>
      </c>
      <c r="E80" s="370" t="s">
        <v>427</v>
      </c>
      <c r="F80" s="42"/>
      <c r="G80" s="42"/>
      <c r="H80" s="1003"/>
      <c r="I80" s="311"/>
      <c r="J80" s="2028"/>
      <c r="K80" s="3315"/>
      <c r="L80" s="3316"/>
      <c r="M80" s="3058" t="s">
        <v>422</v>
      </c>
      <c r="N80" s="1302"/>
      <c r="O80" s="1303" t="str">
        <f ca="1">NUMBERSTRING(INT(O79*10000),2)&amp;"元整"</f>
        <v>伍亿陆仟叁佰肆拾柒万元整</v>
      </c>
      <c r="P80" s="1304"/>
      <c r="Q80" s="2028"/>
      <c r="R80" s="2028"/>
      <c r="S80" s="2028"/>
      <c r="T80" s="2028"/>
      <c r="U80" s="2028"/>
      <c r="V80" s="2028"/>
    </row>
    <row r="81" spans="1:26" ht="13.5" thickBot="1">
      <c r="A81" s="381" t="s">
        <v>1821</v>
      </c>
      <c r="B81" s="371" t="s">
        <v>428</v>
      </c>
      <c r="C81" s="372">
        <f ca="1">ROUND((C82+C83)/(1+'数据-取费表'!C42),0)</f>
        <v>45731</v>
      </c>
      <c r="D81" s="373"/>
      <c r="E81" s="374"/>
      <c r="F81" s="42"/>
      <c r="G81" s="42"/>
      <c r="H81" s="1003"/>
      <c r="I81" s="311"/>
      <c r="J81" s="2028"/>
      <c r="K81" s="3052">
        <f>K79+1</f>
        <v>6</v>
      </c>
      <c r="L81" s="3328" t="s">
        <v>2882</v>
      </c>
      <c r="M81" s="3329"/>
      <c r="N81" s="1306"/>
      <c r="O81" s="1307">
        <f ca="1">ROUND(O79*10000/'数据-汇总表'!E3,0)</f>
        <v>491</v>
      </c>
      <c r="P81" s="1308"/>
      <c r="Q81" s="2028"/>
      <c r="R81" s="2028"/>
      <c r="S81" s="2028"/>
      <c r="T81" s="2028"/>
      <c r="U81" s="2028"/>
      <c r="V81" s="2028"/>
    </row>
    <row r="82" spans="1:26" ht="13.5" thickTop="1">
      <c r="A82" s="375" t="s">
        <v>1822</v>
      </c>
      <c r="B82" s="376" t="s">
        <v>429</v>
      </c>
      <c r="C82" s="377">
        <f ca="1">D63</f>
        <v>48018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3"/>
      <c r="I83" s="311"/>
      <c r="J83" s="2028"/>
      <c r="K83" s="3303" t="s">
        <v>2870</v>
      </c>
      <c r="L83" s="3064" t="s">
        <v>2871</v>
      </c>
      <c r="M83" s="3054">
        <f ca="1">IF(N69&gt;10000,N69*0.5%,IF(AND(N69&gt;1000,N69&lt;=10000),N69*1%,IF(AND(N69&gt;100,N69&lt;=1000),N69*3%,IF(AND(N69&gt;10,N69&lt;=100),N69*5%,N69*8%))))</f>
        <v>300.11</v>
      </c>
      <c r="N83" s="53">
        <f ca="1">ROUND(M83,1)</f>
        <v>300.10000000000002</v>
      </c>
      <c r="O83" s="3057"/>
      <c r="P83" s="2028"/>
      <c r="Q83" s="2028"/>
      <c r="R83" s="2028"/>
      <c r="S83" s="2028"/>
      <c r="T83" s="2028"/>
      <c r="U83" s="2028"/>
      <c r="V83" s="2028"/>
    </row>
    <row r="84" spans="1:26" ht="12.75">
      <c r="A84" s="381" t="s">
        <v>1824</v>
      </c>
      <c r="B84" s="382" t="s">
        <v>431</v>
      </c>
      <c r="C84" s="383">
        <v>2000</v>
      </c>
      <c r="D84" s="384" t="s">
        <v>19</v>
      </c>
      <c r="E84" s="3099" t="s">
        <v>2936</v>
      </c>
      <c r="F84" s="42"/>
      <c r="G84" s="42"/>
      <c r="H84" s="1003"/>
      <c r="I84" s="311"/>
      <c r="J84" s="2028"/>
      <c r="K84" s="3303"/>
      <c r="L84" s="3064" t="s">
        <v>2872</v>
      </c>
      <c r="M84" s="3054">
        <f ca="1">IF(N69&gt;2000,N69*0.5%,IF(AND(N69&gt;1000,N69&lt;=2000),N69*0.6%,IF(AND(N69&gt;500,N69&lt;=1000),N69*0.7%,IF(AND(N69&gt;200,N69&lt;=500),N69*0.8%,IF(AND(N69&gt;100,N69&lt;=200),N69*0.9%,IF(AND(N69&gt;50,N69&lt;=100),N69*1%,IF(AND(N69&gt;20,N69&lt;=50),N69*1.5%,IF(AND(N69&gt;10,N69&lt;=20),N69*2%,IF(AND(N69&gt;1,N69&lt;=10),N69*2.5%)))))))))</f>
        <v>300.11</v>
      </c>
      <c r="N84" s="53">
        <f t="shared" ref="N84:N85" ca="1" si="2">ROUND(M84,1)</f>
        <v>300.10000000000002</v>
      </c>
      <c r="O84" s="2028" t="s">
        <v>2873</v>
      </c>
      <c r="P84" s="2028"/>
      <c r="Q84" s="2028"/>
      <c r="R84" s="2028"/>
      <c r="S84" s="2028"/>
      <c r="T84" s="2028"/>
      <c r="U84" s="2028"/>
      <c r="V84" s="2028"/>
    </row>
    <row r="85" spans="1:26" ht="12.75">
      <c r="A85" s="381" t="s">
        <v>1825</v>
      </c>
      <c r="B85" s="382" t="s">
        <v>432</v>
      </c>
      <c r="C85" s="385">
        <f ca="1">C81-C84</f>
        <v>43731</v>
      </c>
      <c r="D85" s="378" t="s">
        <v>19</v>
      </c>
      <c r="E85" s="379"/>
      <c r="F85" s="42"/>
      <c r="G85" s="42"/>
      <c r="H85" s="1003"/>
      <c r="I85" s="311"/>
      <c r="J85" s="2028"/>
      <c r="K85" s="3303"/>
      <c r="L85" s="3064" t="s">
        <v>2874</v>
      </c>
      <c r="M85" s="3054">
        <f ca="1">IF(N69&gt;1000,N69*0.1%,IF(AND(N69&gt;500,N69&lt;=1000),N69*0.5%,IF(AND(N69&gt;50,N69&lt;=500),N69*1%,IF(AND(N69&gt;1,N69&lt;=50),N69*1.5%))))</f>
        <v>60.021999999999998</v>
      </c>
      <c r="N85" s="53">
        <f t="shared" ca="1" si="2"/>
        <v>60</v>
      </c>
      <c r="O85" s="2028" t="s">
        <v>2873</v>
      </c>
      <c r="P85" s="2028"/>
      <c r="Q85" s="2028"/>
      <c r="R85" s="2028"/>
      <c r="S85" s="2028"/>
      <c r="T85" s="2028"/>
      <c r="U85" s="2028"/>
      <c r="V85" s="2028"/>
    </row>
    <row r="86" spans="1:26" ht="13.5" thickBot="1">
      <c r="A86" s="386" t="s">
        <v>1826</v>
      </c>
      <c r="B86" s="387" t="s">
        <v>433</v>
      </c>
      <c r="C86" s="388">
        <f ca="1">IF(C85&lt;=0,0,ROUND(C85*D86,0))</f>
        <v>2405</v>
      </c>
      <c r="D86" s="389">
        <f>'数据-取费表'!B41</f>
        <v>5.5000000000000007E-2</v>
      </c>
      <c r="E86" s="390"/>
      <c r="F86" s="42"/>
      <c r="G86" s="42"/>
      <c r="H86" s="1003"/>
      <c r="I86" s="311"/>
      <c r="J86" s="2028"/>
      <c r="K86" s="3303"/>
      <c r="L86" s="3064" t="s">
        <v>2875</v>
      </c>
      <c r="M86" s="3054">
        <f ca="1">N69*0.5%</f>
        <v>300.11</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3"/>
      <c r="L87" s="3064" t="s">
        <v>2877</v>
      </c>
      <c r="M87" s="3054">
        <f ca="1">IF(N69&gt;=10000,(8.25+(N69-10000)*0.01%),IF(AND(N69&gt;=8000,N69&lt;10000),(7.85+(N69-8000)*0.02%),IF(AND(N69&gt;=5000,N69&lt;8000),(6.65+(N69-5000)*0.04%),IF(AND(N69&gt;=2000,N69&lt;5000),(4.25+(PN69-2000)*0.08%),IF(AND(N69&gt;=1000,N69&lt;2000),(2.75+(N69-1000)*0.15%),IF(AND(N69&gt;=100,N69&lt;1000),(0.5+(N69-100)*0.25%),IF(AND(N69&gt;0,N69&lt;100),N69*0.5%)))))))</f>
        <v>13.2522</v>
      </c>
      <c r="N87" s="53">
        <f ca="1">ROUND(M87*0.9,1)</f>
        <v>11.9</v>
      </c>
      <c r="O87" s="3057"/>
      <c r="P87" s="311"/>
      <c r="Q87" s="2028"/>
      <c r="R87" s="2028"/>
      <c r="S87" s="2028"/>
      <c r="T87" s="2028"/>
      <c r="U87" s="2028"/>
      <c r="V87" s="2028"/>
      <c r="W87" s="292"/>
      <c r="X87" s="292"/>
      <c r="Y87" s="292"/>
      <c r="Z87" s="292"/>
    </row>
    <row r="88" spans="1:26" s="1314" customFormat="1" ht="15" thickBot="1">
      <c r="A88" s="3357" t="s">
        <v>434</v>
      </c>
      <c r="B88" s="3358"/>
      <c r="C88" s="3358"/>
      <c r="D88" s="3358"/>
      <c r="E88" s="3358"/>
      <c r="F88" s="3358"/>
      <c r="G88" s="3358"/>
      <c r="H88" s="3358"/>
      <c r="I88" s="1315"/>
      <c r="J88" s="2036"/>
      <c r="K88" s="3303"/>
      <c r="L88" s="3064" t="s">
        <v>2878</v>
      </c>
      <c r="M88" s="3054">
        <f ca="1">IF(N69&gt;10000,N69*0.5%,IF(AND(N69&gt;5000,N69&lt;=10000),N69*1%,IF(AND(N69&gt;1000,N69&lt;=5000),N69*2%,IF(AND(N69&gt;200,N69&lt;=1000),N69*3%,N69*5%))))</f>
        <v>300.11</v>
      </c>
      <c r="N88" s="53">
        <f ca="1">ROUND(M88,1)</f>
        <v>300.10000000000002</v>
      </c>
      <c r="O88" s="3057"/>
      <c r="P88" s="11"/>
      <c r="Q88" s="2033"/>
      <c r="R88" s="2033"/>
      <c r="S88" s="2033"/>
      <c r="T88" s="2033"/>
      <c r="U88" s="2033"/>
      <c r="V88" s="2033"/>
      <c r="W88" s="2037"/>
      <c r="X88" s="2037"/>
      <c r="Y88" s="2037"/>
      <c r="Z88" s="2037"/>
    </row>
    <row r="89" spans="1:26" s="1314" customFormat="1" ht="14.25">
      <c r="A89" s="3321" t="s">
        <v>425</v>
      </c>
      <c r="B89" s="3322"/>
      <c r="C89" s="994"/>
      <c r="D89" s="994" t="s">
        <v>426</v>
      </c>
      <c r="E89" s="391" t="s">
        <v>435</v>
      </c>
      <c r="F89" s="392"/>
      <c r="G89" s="392"/>
      <c r="H89" s="393"/>
      <c r="I89" s="1316"/>
      <c r="J89" s="2038"/>
      <c r="K89" s="3303"/>
      <c r="L89" s="3064" t="s">
        <v>27</v>
      </c>
      <c r="M89" s="3055"/>
      <c r="N89" s="53">
        <f ca="1">ROUND(SUM(N83:N88),0)</f>
        <v>973</v>
      </c>
      <c r="O89" s="3065">
        <f ca="1">N89/N69</f>
        <v>1.6210722734997168E-2</v>
      </c>
      <c r="P89" s="2033"/>
      <c r="Q89" s="2033"/>
      <c r="R89" s="2033"/>
      <c r="S89" s="2033"/>
      <c r="T89" s="2033"/>
      <c r="U89" s="2033"/>
      <c r="V89" s="2033"/>
      <c r="W89" s="2037"/>
      <c r="X89" s="2037"/>
      <c r="Y89" s="2037"/>
      <c r="Z89" s="2037"/>
    </row>
    <row r="90" spans="1:26" s="1314" customFormat="1" ht="14.25">
      <c r="A90" s="381" t="s">
        <v>1821</v>
      </c>
      <c r="B90" s="382" t="s">
        <v>436</v>
      </c>
      <c r="C90" s="385">
        <f ca="1">ROUND(D63/(1+'数据-取费表'!C42),0)</f>
        <v>45731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1827</v>
      </c>
      <c r="B91" s="348" t="s">
        <v>437</v>
      </c>
      <c r="C91" s="385">
        <f ca="1">C92+C96</f>
        <v>2790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54" t="s">
        <v>444</v>
      </c>
      <c r="F94" s="3355"/>
      <c r="G94" s="3355"/>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229</v>
      </c>
      <c r="D96" s="406">
        <f>'数据-取费表'!B43</f>
        <v>5.000000000000001E-3</v>
      </c>
      <c r="E96" s="3344" t="s">
        <v>2425</v>
      </c>
      <c r="F96" s="3345"/>
      <c r="G96" s="3345"/>
      <c r="H96" s="334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1833</v>
      </c>
      <c r="B97" s="382" t="s">
        <v>448</v>
      </c>
      <c r="C97" s="385">
        <f ca="1">C90-C91</f>
        <v>42941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15.391039426523298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1835</v>
      </c>
      <c r="B99" s="387" t="s">
        <v>450</v>
      </c>
      <c r="C99" s="408">
        <f ca="1">ROUND(IF(C97&lt;=0,0,IF(C98&gt;=200%,C97*60%-C91*35%,IF(C98&gt;=100%,C97*50%-C91*15%,IF(C98&gt;=50%,C97*40%-C91*5%,IF(C98&lt;50%,C97*30%,0))))),0)</f>
        <v>24788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7" t="s">
        <v>451</v>
      </c>
      <c r="B101" s="3358"/>
      <c r="C101" s="3358"/>
      <c r="D101" s="3358"/>
      <c r="E101" s="3358"/>
      <c r="F101" s="3358"/>
      <c r="G101" s="3358"/>
      <c r="H101" s="335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1" t="s">
        <v>425</v>
      </c>
      <c r="B102" s="3322"/>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1821</v>
      </c>
      <c r="B103" s="382" t="s">
        <v>436</v>
      </c>
      <c r="C103" s="385">
        <f ca="1">ROUND(D63/(1+'数据-取费表'!C42),0)</f>
        <v>45731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1827</v>
      </c>
      <c r="B104" s="348" t="s">
        <v>437</v>
      </c>
      <c r="C104" s="385">
        <f ca="1">IF(H106="仅含出让金",C105+C108+C109+C110+C111+C112,C105+C109+C110+C111+C112)</f>
        <v>41943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47" t="s">
        <v>459</v>
      </c>
      <c r="F109" s="3345"/>
      <c r="G109" s="3345"/>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47" t="s">
        <v>461</v>
      </c>
      <c r="F110" s="3345"/>
      <c r="G110" s="3345"/>
      <c r="H110" s="334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229</v>
      </c>
      <c r="D111" s="406">
        <f>'数据-取费表'!B43</f>
        <v>5.000000000000001E-3</v>
      </c>
      <c r="E111" s="3344" t="s">
        <v>2425</v>
      </c>
      <c r="F111" s="3345"/>
      <c r="G111" s="3345"/>
      <c r="H111" s="334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47" t="s">
        <v>2450</v>
      </c>
      <c r="F112" s="3345"/>
      <c r="G112" s="3345"/>
      <c r="H112" s="334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1833</v>
      </c>
      <c r="B113" s="382" t="s">
        <v>448</v>
      </c>
      <c r="C113" s="385">
        <f ca="1">ROUND(C103-C104,0)</f>
        <v>3788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9.0313043892902276E-2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1835</v>
      </c>
      <c r="B115" s="387" t="s">
        <v>450</v>
      </c>
      <c r="C115" s="408">
        <f ca="1">ROUND(IF(C113&lt;=0,0,IF(C114&gt;=200%,C113*60%-C104*35%,IF(C114&gt;=100%,C113*50%-C104*15%,IF(C114&gt;=50%,C113*40%-C104*5%,IF(C114&lt;50%,C113*30%,0))))),0)</f>
        <v>1136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zoomScale="80" zoomScaleNormal="95" zoomScaleSheetLayoutView="80" workbookViewId="0">
      <selection activeCell="E9" sqref="E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39675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346</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1488</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518</v>
      </c>
      <c r="B6" s="513"/>
      <c r="C6" s="3383" t="s">
        <v>519</v>
      </c>
      <c r="D6" s="3384"/>
      <c r="E6" s="3383" t="s">
        <v>520</v>
      </c>
      <c r="F6" s="3384"/>
      <c r="G6" s="3383" t="s">
        <v>521</v>
      </c>
      <c r="H6" s="3384"/>
      <c r="I6" s="3383" t="s">
        <v>522</v>
      </c>
      <c r="J6" s="3384"/>
      <c r="K6" s="514" t="s">
        <v>523</v>
      </c>
      <c r="L6" s="2133"/>
      <c r="M6" s="2132"/>
      <c r="N6" s="2132"/>
      <c r="O6" s="2134"/>
      <c r="P6" s="3385" t="s">
        <v>524</v>
      </c>
      <c r="Q6" s="3386"/>
      <c r="R6" s="3391" t="s">
        <v>520</v>
      </c>
      <c r="S6" s="3392"/>
      <c r="T6" s="3391" t="s">
        <v>521</v>
      </c>
      <c r="U6" s="3392"/>
      <c r="V6" s="3403" t="s">
        <v>522</v>
      </c>
      <c r="W6" s="3403"/>
      <c r="X6" s="3190"/>
      <c r="Y6" s="3391" t="s">
        <v>524</v>
      </c>
      <c r="Z6" s="3392"/>
      <c r="AA6" s="3380" t="s">
        <v>520</v>
      </c>
      <c r="AB6" s="3381" t="s">
        <v>521</v>
      </c>
      <c r="AC6" s="3380" t="s">
        <v>522</v>
      </c>
    </row>
    <row r="7" spans="1:30" ht="20.25">
      <c r="A7" s="515"/>
      <c r="B7" s="516"/>
      <c r="C7" s="3395" t="s">
        <v>2923</v>
      </c>
      <c r="D7" s="3396"/>
      <c r="E7" s="3395" t="str">
        <f>Sheet1!A12</f>
        <v>晏子路东、朝阳大街北</v>
      </c>
      <c r="F7" s="3396"/>
      <c r="G7" s="3395" t="str">
        <f>Sheet1!A11</f>
        <v>晏子路东、朝阳大街北</v>
      </c>
      <c r="H7" s="3396"/>
      <c r="I7" s="3395" t="s">
        <v>3047</v>
      </c>
      <c r="J7" s="3396"/>
      <c r="K7" s="514"/>
      <c r="L7" s="2133"/>
      <c r="M7" s="2132"/>
      <c r="N7" s="2132"/>
      <c r="O7" s="2134"/>
      <c r="P7" s="3387"/>
      <c r="Q7" s="3388"/>
      <c r="R7" s="3393"/>
      <c r="S7" s="3394"/>
      <c r="T7" s="3393"/>
      <c r="U7" s="3394"/>
      <c r="V7" s="3403"/>
      <c r="W7" s="3403"/>
      <c r="X7" s="3190"/>
      <c r="Y7" s="3393"/>
      <c r="Z7" s="3394"/>
      <c r="AA7" s="3381"/>
      <c r="AB7" s="3381"/>
      <c r="AC7" s="3381"/>
    </row>
    <row r="8" spans="1:30" ht="21" thickBot="1">
      <c r="A8" s="515"/>
      <c r="B8" s="516"/>
      <c r="C8" s="3397" t="s">
        <v>2927</v>
      </c>
      <c r="D8" s="3398"/>
      <c r="E8" s="3397" t="s">
        <v>2927</v>
      </c>
      <c r="F8" s="3398"/>
      <c r="G8" s="3399" t="s">
        <v>2927</v>
      </c>
      <c r="H8" s="3400"/>
      <c r="I8" s="3399" t="s">
        <v>2927</v>
      </c>
      <c r="J8" s="3400"/>
      <c r="K8" s="514" t="s">
        <v>525</v>
      </c>
      <c r="L8" s="2133"/>
      <c r="M8" s="2132"/>
      <c r="N8" s="2132"/>
      <c r="O8" s="2134"/>
      <c r="P8" s="3389"/>
      <c r="Q8" s="3390"/>
      <c r="R8" s="3393"/>
      <c r="S8" s="3394"/>
      <c r="T8" s="3401"/>
      <c r="U8" s="3402"/>
      <c r="V8" s="3403"/>
      <c r="W8" s="3403"/>
      <c r="X8" s="3190"/>
      <c r="Y8" s="3401"/>
      <c r="Z8" s="3402"/>
      <c r="AA8" s="3382"/>
      <c r="AB8" s="3382"/>
      <c r="AC8" s="3382"/>
    </row>
    <row r="9" spans="1:30" s="1220" customFormat="1" ht="21" thickBot="1">
      <c r="A9" s="2910"/>
      <c r="B9" s="2917" t="s">
        <v>526</v>
      </c>
      <c r="C9" s="2909">
        <f>'数据-取费表'!B2</f>
        <v>43578</v>
      </c>
      <c r="D9" s="520">
        <v>100</v>
      </c>
      <c r="E9" s="521" t="str">
        <f>Sheet1!H12</f>
        <v>2016-11-13</v>
      </c>
      <c r="F9" s="522">
        <f>SUMIF(72:72,YEAR(E9)&amp;"-"&amp;INT((MONTH(E9)+2)/3),73:73)</f>
        <v>95</v>
      </c>
      <c r="G9" s="523" t="str">
        <f>Sheet1!H11</f>
        <v>2016-11-13</v>
      </c>
      <c r="H9" s="520">
        <f>SUMIF(72:72,YEAR(G9)&amp;"-"&amp;INT((MONTH(G9)+2)/3),73:73)</f>
        <v>95</v>
      </c>
      <c r="I9" s="523" t="s">
        <v>3049</v>
      </c>
      <c r="J9" s="520">
        <f>SUMIF(72:72,YEAR(I9)&amp;"-"&amp;INT((MONTH(I9)+2)/3),73:73)</f>
        <v>94</v>
      </c>
      <c r="K9" s="524"/>
      <c r="L9" s="2135"/>
      <c r="M9" s="2132"/>
      <c r="N9" s="2132"/>
      <c r="O9" s="2136"/>
      <c r="P9" s="3404" t="s">
        <v>527</v>
      </c>
      <c r="Q9" s="3405"/>
      <c r="R9" s="1569" t="s">
        <v>8</v>
      </c>
      <c r="S9" s="1570">
        <f t="shared" ref="S9:S17" si="0">F9</f>
        <v>95</v>
      </c>
      <c r="T9" s="1569" t="s">
        <v>8</v>
      </c>
      <c r="U9" s="1570">
        <f t="shared" ref="U9:U17" si="1">H9</f>
        <v>95</v>
      </c>
      <c r="V9" s="1569" t="s">
        <v>8</v>
      </c>
      <c r="W9" s="1570">
        <f t="shared" ref="W9:W17" si="2">J9</f>
        <v>94</v>
      </c>
      <c r="X9" s="1571"/>
      <c r="Y9" s="3404" t="s">
        <v>527</v>
      </c>
      <c r="Z9" s="3406"/>
      <c r="AA9" s="1572">
        <f>D9/F9</f>
        <v>1.0526315789473684</v>
      </c>
      <c r="AB9" s="1572">
        <f>D9/H9</f>
        <v>1.0526315789473684</v>
      </c>
      <c r="AC9" s="1572">
        <f>D9/J9</f>
        <v>1.0638297872340425</v>
      </c>
    </row>
    <row r="10" spans="1:30" s="1220" customFormat="1" ht="21"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404" t="s">
        <v>530</v>
      </c>
      <c r="Q10" s="3406"/>
      <c r="R10" s="1569" t="s">
        <v>8</v>
      </c>
      <c r="S10" s="1570">
        <f t="shared" si="0"/>
        <v>100</v>
      </c>
      <c r="T10" s="1569" t="s">
        <v>8</v>
      </c>
      <c r="U10" s="1570">
        <f t="shared" si="1"/>
        <v>100</v>
      </c>
      <c r="V10" s="1569" t="s">
        <v>8</v>
      </c>
      <c r="W10" s="1570">
        <f t="shared" si="2"/>
        <v>100</v>
      </c>
      <c r="X10" s="1571"/>
      <c r="Y10" s="3404" t="s">
        <v>530</v>
      </c>
      <c r="Z10" s="3406"/>
      <c r="AA10" s="1572">
        <f t="shared" ref="AA10:AA47" si="3">D10/F10</f>
        <v>1</v>
      </c>
      <c r="AB10" s="1572">
        <f t="shared" ref="AB10:AB47" si="4">D10/H10</f>
        <v>1</v>
      </c>
      <c r="AC10" s="1572">
        <f t="shared" ref="AC10:AC47" si="5">D10/J10</f>
        <v>1</v>
      </c>
    </row>
    <row r="11" spans="1:30" s="1220" customFormat="1" ht="20.25">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407" t="s">
        <v>532</v>
      </c>
      <c r="Q11" s="3187" t="str">
        <f t="shared" ref="Q11:Q17" si="6">B11</f>
        <v>用途</v>
      </c>
      <c r="R11" s="1569" t="s">
        <v>8</v>
      </c>
      <c r="S11" s="1570">
        <f t="shared" si="0"/>
        <v>100</v>
      </c>
      <c r="T11" s="1569" t="s">
        <v>8</v>
      </c>
      <c r="U11" s="1570">
        <f t="shared" si="1"/>
        <v>100</v>
      </c>
      <c r="V11" s="1569" t="s">
        <v>8</v>
      </c>
      <c r="W11" s="1570">
        <f t="shared" si="2"/>
        <v>100</v>
      </c>
      <c r="X11" s="1571"/>
      <c r="Y11" s="3353" t="s">
        <v>533</v>
      </c>
      <c r="Z11" s="3186" t="str">
        <f t="shared" ref="Z11:Z17" si="7">Q11</f>
        <v>用途</v>
      </c>
      <c r="AA11" s="1572">
        <f t="shared" si="3"/>
        <v>1</v>
      </c>
      <c r="AB11" s="1572">
        <f t="shared" si="4"/>
        <v>1</v>
      </c>
      <c r="AC11" s="1572">
        <f t="shared" si="5"/>
        <v>1</v>
      </c>
    </row>
    <row r="12" spans="1:30" s="1338" customFormat="1" ht="27">
      <c r="A12" s="2913"/>
      <c r="B12" s="2918" t="s">
        <v>2753</v>
      </c>
      <c r="C12" s="910">
        <f>项目基本情况!E19</f>
        <v>25.86</v>
      </c>
      <c r="D12" s="255">
        <v>100</v>
      </c>
      <c r="E12" s="529" t="s">
        <v>3116</v>
      </c>
      <c r="F12" s="255">
        <f>ROUND(100/'数据-取费表'!G16,0)</f>
        <v>120</v>
      </c>
      <c r="G12" s="530" t="s">
        <v>3116</v>
      </c>
      <c r="H12" s="255">
        <f>ROUND(100/'数据-取费表'!G16,0)</f>
        <v>120</v>
      </c>
      <c r="I12" s="530" t="s">
        <v>3116</v>
      </c>
      <c r="J12" s="255">
        <f>ROUND(100/'数据-取费表'!G16,0)</f>
        <v>120</v>
      </c>
      <c r="K12" s="531"/>
      <c r="L12" s="2138"/>
      <c r="M12" s="2132"/>
      <c r="N12" s="2132"/>
      <c r="O12" s="2139"/>
      <c r="P12" s="3407"/>
      <c r="Q12" s="3187" t="str">
        <f t="shared" si="6"/>
        <v>土地使用年限（年）</v>
      </c>
      <c r="R12" s="1569" t="s">
        <v>8</v>
      </c>
      <c r="S12" s="1570">
        <f t="shared" si="0"/>
        <v>120</v>
      </c>
      <c r="T12" s="1569" t="s">
        <v>8</v>
      </c>
      <c r="U12" s="1570">
        <f t="shared" si="1"/>
        <v>120</v>
      </c>
      <c r="V12" s="1569" t="s">
        <v>8</v>
      </c>
      <c r="W12" s="1570">
        <f t="shared" si="2"/>
        <v>120</v>
      </c>
      <c r="X12" s="1571"/>
      <c r="Y12" s="3353"/>
      <c r="Z12" s="3186" t="str">
        <f t="shared" si="7"/>
        <v>土地使用年限（年）</v>
      </c>
      <c r="AA12" s="1572">
        <f t="shared" si="3"/>
        <v>0.83333333333333337</v>
      </c>
      <c r="AB12" s="1572">
        <f t="shared" si="4"/>
        <v>0.83333333333333337</v>
      </c>
      <c r="AC12" s="1572">
        <f t="shared" si="5"/>
        <v>0.83333333333333337</v>
      </c>
    </row>
    <row r="13" spans="1:30" ht="20.25">
      <c r="A13" s="2914"/>
      <c r="B13" s="2918" t="s">
        <v>2754</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407"/>
      <c r="Q13" s="3187" t="str">
        <f t="shared" si="6"/>
        <v>容积率</v>
      </c>
      <c r="R13" s="1569" t="s">
        <v>8</v>
      </c>
      <c r="S13" s="1570">
        <f t="shared" si="0"/>
        <v>106</v>
      </c>
      <c r="T13" s="1569" t="s">
        <v>8</v>
      </c>
      <c r="U13" s="1570">
        <f t="shared" si="1"/>
        <v>106</v>
      </c>
      <c r="V13" s="1569" t="s">
        <v>8</v>
      </c>
      <c r="W13" s="1570">
        <f t="shared" si="2"/>
        <v>100</v>
      </c>
      <c r="X13" s="1571"/>
      <c r="Y13" s="3353"/>
      <c r="Z13" s="3186" t="str">
        <f t="shared" si="7"/>
        <v>容积率</v>
      </c>
      <c r="AA13" s="1572">
        <f t="shared" si="3"/>
        <v>0.94339622641509435</v>
      </c>
      <c r="AB13" s="1572">
        <f t="shared" si="4"/>
        <v>0.94339622641509435</v>
      </c>
      <c r="AC13" s="1572">
        <f t="shared" si="5"/>
        <v>1</v>
      </c>
    </row>
    <row r="14" spans="1:30" s="1220" customFormat="1" ht="20.25">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07"/>
      <c r="Q14" s="3187" t="str">
        <f t="shared" si="6"/>
        <v>配建</v>
      </c>
      <c r="R14" s="1569" t="s">
        <v>8</v>
      </c>
      <c r="S14" s="1570">
        <f t="shared" si="0"/>
        <v>100</v>
      </c>
      <c r="T14" s="1569" t="s">
        <v>8</v>
      </c>
      <c r="U14" s="1570">
        <f t="shared" si="1"/>
        <v>100</v>
      </c>
      <c r="V14" s="1569" t="s">
        <v>8</v>
      </c>
      <c r="W14" s="1570">
        <f t="shared" si="2"/>
        <v>100</v>
      </c>
      <c r="X14" s="1571"/>
      <c r="Y14" s="3353"/>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7"/>
      <c r="Q15" s="3187">
        <f t="shared" si="6"/>
        <v>111</v>
      </c>
      <c r="R15" s="1569" t="s">
        <v>8</v>
      </c>
      <c r="S15" s="1570">
        <f t="shared" si="0"/>
        <v>100</v>
      </c>
      <c r="T15" s="1569" t="s">
        <v>8</v>
      </c>
      <c r="U15" s="1570">
        <f t="shared" si="1"/>
        <v>100</v>
      </c>
      <c r="V15" s="1569" t="s">
        <v>8</v>
      </c>
      <c r="W15" s="1570">
        <f t="shared" si="2"/>
        <v>100</v>
      </c>
      <c r="X15" s="1571"/>
      <c r="Y15" s="3353"/>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7"/>
      <c r="Q16" s="3187">
        <f t="shared" si="6"/>
        <v>111</v>
      </c>
      <c r="R16" s="1569" t="s">
        <v>8</v>
      </c>
      <c r="S16" s="1570">
        <f t="shared" si="0"/>
        <v>100</v>
      </c>
      <c r="T16" s="1569" t="s">
        <v>8</v>
      </c>
      <c r="U16" s="1570">
        <f t="shared" si="1"/>
        <v>100</v>
      </c>
      <c r="V16" s="1569" t="s">
        <v>8</v>
      </c>
      <c r="W16" s="1570">
        <f t="shared" si="2"/>
        <v>100</v>
      </c>
      <c r="X16" s="1571"/>
      <c r="Y16" s="3353"/>
      <c r="Z16" s="3186">
        <f t="shared" si="7"/>
        <v>111</v>
      </c>
      <c r="AA16" s="1572">
        <f>D16/F16</f>
        <v>1</v>
      </c>
      <c r="AB16" s="1572">
        <f>D16/H16</f>
        <v>1</v>
      </c>
      <c r="AC16" s="1572">
        <f>D16/J16</f>
        <v>1</v>
      </c>
    </row>
    <row r="17" spans="1:29" ht="99.75">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408" t="s">
        <v>537</v>
      </c>
      <c r="Q17" s="3188" t="str">
        <f t="shared" si="6"/>
        <v>居住社区成熟度</v>
      </c>
      <c r="R17" s="1574" t="s">
        <v>8</v>
      </c>
      <c r="S17" s="1575">
        <f t="shared" si="0"/>
        <v>100</v>
      </c>
      <c r="T17" s="1574" t="s">
        <v>8</v>
      </c>
      <c r="U17" s="1575">
        <f t="shared" si="1"/>
        <v>100</v>
      </c>
      <c r="V17" s="1574" t="s">
        <v>8</v>
      </c>
      <c r="W17" s="1575">
        <f t="shared" si="2"/>
        <v>100</v>
      </c>
      <c r="X17" s="3190"/>
      <c r="Y17" s="3408" t="s">
        <v>537</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409"/>
      <c r="Q18" s="3188"/>
      <c r="R18" s="1574"/>
      <c r="S18" s="1575"/>
      <c r="T18" s="1574"/>
      <c r="U18" s="1575"/>
      <c r="V18" s="1574"/>
      <c r="W18" s="1575"/>
      <c r="X18" s="3190"/>
      <c r="Y18" s="3409"/>
      <c r="Z18" s="3189"/>
      <c r="AA18" s="3192">
        <v>1</v>
      </c>
      <c r="AB18" s="3192">
        <v>1</v>
      </c>
      <c r="AC18" s="319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409"/>
      <c r="Q19" s="3188" t="str">
        <f>B19</f>
        <v>商业繁华度</v>
      </c>
      <c r="R19" s="1574" t="s">
        <v>8</v>
      </c>
      <c r="S19" s="1575">
        <f>F19</f>
        <v>103</v>
      </c>
      <c r="T19" s="1574" t="s">
        <v>8</v>
      </c>
      <c r="U19" s="1575">
        <f>H19</f>
        <v>103</v>
      </c>
      <c r="V19" s="1574" t="s">
        <v>8</v>
      </c>
      <c r="W19" s="1575">
        <f>J19</f>
        <v>103</v>
      </c>
      <c r="X19" s="3190"/>
      <c r="Y19" s="3409"/>
      <c r="Z19" s="3189" t="str">
        <f>Q19</f>
        <v>商业繁华度</v>
      </c>
      <c r="AA19" s="3192">
        <f t="shared" si="3"/>
        <v>0.970873786407767</v>
      </c>
      <c r="AB19" s="3192">
        <f t="shared" si="4"/>
        <v>0.970873786407767</v>
      </c>
      <c r="AC19" s="3192">
        <f t="shared" si="5"/>
        <v>0.970873786407767</v>
      </c>
    </row>
    <row r="20" spans="1:29" ht="20.25">
      <c r="A20" s="532"/>
      <c r="B20" s="566"/>
      <c r="C20" s="567" t="s">
        <v>3133</v>
      </c>
      <c r="D20" s="563"/>
      <c r="E20" s="569" t="s">
        <v>3111</v>
      </c>
      <c r="F20" s="559"/>
      <c r="G20" s="569" t="s">
        <v>3111</v>
      </c>
      <c r="H20" s="555"/>
      <c r="I20" s="569" t="s">
        <v>3111</v>
      </c>
      <c r="J20" s="555"/>
      <c r="K20" s="531"/>
      <c r="L20" s="2142"/>
      <c r="M20" s="2132"/>
      <c r="N20" s="2132"/>
      <c r="O20" s="2141"/>
      <c r="P20" s="3409"/>
      <c r="Q20" s="3188"/>
      <c r="R20" s="1574"/>
      <c r="S20" s="1575"/>
      <c r="T20" s="1574"/>
      <c r="U20" s="1575"/>
      <c r="V20" s="1574"/>
      <c r="W20" s="1575"/>
      <c r="X20" s="3190"/>
      <c r="Y20" s="3409"/>
      <c r="Z20" s="3189"/>
      <c r="AA20" s="3192">
        <v>1</v>
      </c>
      <c r="AB20" s="3192">
        <v>1</v>
      </c>
      <c r="AC20" s="319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409"/>
      <c r="Q21" s="3188" t="str">
        <f>B21</f>
        <v>办公集聚程度</v>
      </c>
      <c r="R21" s="1574" t="s">
        <v>8</v>
      </c>
      <c r="S21" s="1575">
        <f>F21</f>
        <v>100</v>
      </c>
      <c r="T21" s="1574" t="s">
        <v>8</v>
      </c>
      <c r="U21" s="1575">
        <f>H21</f>
        <v>100</v>
      </c>
      <c r="V21" s="1574" t="s">
        <v>8</v>
      </c>
      <c r="W21" s="1575">
        <f>J21</f>
        <v>100</v>
      </c>
      <c r="X21" s="3190"/>
      <c r="Y21" s="3409"/>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409"/>
      <c r="Q22" s="3188"/>
      <c r="R22" s="1574"/>
      <c r="S22" s="1575"/>
      <c r="T22" s="1574"/>
      <c r="U22" s="1575"/>
      <c r="V22" s="1574"/>
      <c r="W22" s="1575"/>
      <c r="X22" s="3190"/>
      <c r="Y22" s="3409"/>
      <c r="Z22" s="3189"/>
      <c r="AA22" s="3192">
        <v>1</v>
      </c>
      <c r="AB22" s="3192">
        <v>1</v>
      </c>
      <c r="AC22" s="3192">
        <v>1</v>
      </c>
    </row>
    <row r="23" spans="1:29" ht="85.5">
      <c r="A23" s="532"/>
      <c r="B23" s="560" t="s">
        <v>540</v>
      </c>
      <c r="C23" s="573" t="str">
        <f>估价对象房地状况!C18</f>
        <v>估价对象周边道路状况、公共交通通达情况、停车便捷程度，综合评价交通便捷度较好</v>
      </c>
      <c r="D23" s="563">
        <v>100</v>
      </c>
      <c r="E23" s="564" t="s">
        <v>3117</v>
      </c>
      <c r="F23" s="565">
        <f>SUMIF(96:96,E24,97:97)-SUMIF(96:96,C24,97:97)+100</f>
        <v>100</v>
      </c>
      <c r="G23" s="564" t="s">
        <v>3117</v>
      </c>
      <c r="H23" s="559">
        <f>SUMIF(96:96,G24,97:97)-SUMIF(96:96,C24,97:97)+100</f>
        <v>100</v>
      </c>
      <c r="I23" s="564" t="s">
        <v>3125</v>
      </c>
      <c r="J23" s="559">
        <f>SUMIF(96:96,I24,97:97)-SUMIF(96:96,C24,97:97)+100</f>
        <v>100</v>
      </c>
      <c r="K23" s="535">
        <v>3</v>
      </c>
      <c r="L23" s="2142"/>
      <c r="M23" s="2132"/>
      <c r="N23" s="2132"/>
      <c r="O23" s="2141"/>
      <c r="P23" s="3409"/>
      <c r="Q23" s="3188" t="str">
        <f>B23</f>
        <v>交通便捷度</v>
      </c>
      <c r="R23" s="1574" t="s">
        <v>8</v>
      </c>
      <c r="S23" s="1575">
        <f>F23</f>
        <v>100</v>
      </c>
      <c r="T23" s="1574" t="s">
        <v>8</v>
      </c>
      <c r="U23" s="1575">
        <f>H23</f>
        <v>100</v>
      </c>
      <c r="V23" s="1574" t="s">
        <v>8</v>
      </c>
      <c r="W23" s="1575">
        <f>J23</f>
        <v>100</v>
      </c>
      <c r="X23" s="3190"/>
      <c r="Y23" s="3409"/>
      <c r="Z23" s="3189" t="str">
        <f>Q23</f>
        <v>交通便捷度</v>
      </c>
      <c r="AA23" s="3192">
        <f t="shared" si="3"/>
        <v>1</v>
      </c>
      <c r="AB23" s="3192">
        <f t="shared" si="4"/>
        <v>1</v>
      </c>
      <c r="AC23" s="3192">
        <f t="shared" si="5"/>
        <v>1</v>
      </c>
    </row>
    <row r="24" spans="1:29" ht="20.25">
      <c r="A24" s="532"/>
      <c r="B24" s="578"/>
      <c r="C24" s="554" t="s">
        <v>3111</v>
      </c>
      <c r="D24" s="557"/>
      <c r="E24" s="558" t="s">
        <v>3111</v>
      </c>
      <c r="F24" s="555"/>
      <c r="G24" s="558" t="s">
        <v>3111</v>
      </c>
      <c r="H24" s="555"/>
      <c r="I24" s="558" t="s">
        <v>3111</v>
      </c>
      <c r="J24" s="555"/>
      <c r="K24" s="531"/>
      <c r="L24" s="2142"/>
      <c r="M24" s="2132"/>
      <c r="N24" s="2132"/>
      <c r="O24" s="2141"/>
      <c r="P24" s="3409"/>
      <c r="Q24" s="3188"/>
      <c r="R24" s="1574"/>
      <c r="S24" s="1575"/>
      <c r="T24" s="1574"/>
      <c r="U24" s="1575"/>
      <c r="V24" s="1574"/>
      <c r="W24" s="1575"/>
      <c r="X24" s="3190"/>
      <c r="Y24" s="3409"/>
      <c r="Z24" s="3189"/>
      <c r="AA24" s="3192">
        <v>1</v>
      </c>
      <c r="AB24" s="3192">
        <v>1</v>
      </c>
      <c r="AC24" s="3192">
        <v>1</v>
      </c>
    </row>
    <row r="25" spans="1:29" ht="27">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409"/>
      <c r="Q25" s="3188" t="str">
        <f t="shared" ref="Q25:Q39" si="8">B25</f>
        <v>区域土地利用方向</v>
      </c>
      <c r="R25" s="1574" t="s">
        <v>8</v>
      </c>
      <c r="S25" s="1575">
        <f>F25</f>
        <v>100</v>
      </c>
      <c r="T25" s="1574" t="s">
        <v>8</v>
      </c>
      <c r="U25" s="1575">
        <f>H25</f>
        <v>100</v>
      </c>
      <c r="V25" s="1574" t="s">
        <v>8</v>
      </c>
      <c r="W25" s="1575">
        <f>J25</f>
        <v>100</v>
      </c>
      <c r="X25" s="3190"/>
      <c r="Y25" s="3409"/>
      <c r="Z25" s="3189" t="str">
        <f>Q25</f>
        <v>区域土地利用方向</v>
      </c>
      <c r="AA25" s="3192">
        <f t="shared" si="3"/>
        <v>1</v>
      </c>
      <c r="AB25" s="3192">
        <f t="shared" si="4"/>
        <v>1</v>
      </c>
      <c r="AC25" s="3192">
        <f t="shared" si="5"/>
        <v>1</v>
      </c>
    </row>
    <row r="26" spans="1:29" ht="20.25">
      <c r="A26" s="515"/>
      <c r="B26" s="1007"/>
      <c r="C26" s="554" t="s">
        <v>3111</v>
      </c>
      <c r="D26" s="557"/>
      <c r="E26" s="558" t="s">
        <v>3111</v>
      </c>
      <c r="F26" s="555"/>
      <c r="G26" s="558" t="s">
        <v>3111</v>
      </c>
      <c r="H26" s="555"/>
      <c r="I26" s="558" t="s">
        <v>3111</v>
      </c>
      <c r="J26" s="555"/>
      <c r="K26" s="531"/>
      <c r="L26" s="2142"/>
      <c r="M26" s="2132"/>
      <c r="N26" s="2132"/>
      <c r="O26" s="2141"/>
      <c r="P26" s="3409"/>
      <c r="Q26" s="3188"/>
      <c r="R26" s="1574"/>
      <c r="S26" s="1575"/>
      <c r="T26" s="1574"/>
      <c r="U26" s="1575"/>
      <c r="V26" s="1574"/>
      <c r="W26" s="1575"/>
      <c r="X26" s="3190"/>
      <c r="Y26" s="3409"/>
      <c r="Z26" s="3189"/>
      <c r="AA26" s="3192"/>
      <c r="AB26" s="3192"/>
      <c r="AC26" s="319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409"/>
      <c r="Q27" s="3188" t="str">
        <f t="shared" si="8"/>
        <v>自然及人文环境状况</v>
      </c>
      <c r="R27" s="1574" t="s">
        <v>8</v>
      </c>
      <c r="S27" s="1575">
        <f>F27</f>
        <v>100</v>
      </c>
      <c r="T27" s="1574" t="s">
        <v>8</v>
      </c>
      <c r="U27" s="1575">
        <f>H27</f>
        <v>100</v>
      </c>
      <c r="V27" s="1574" t="s">
        <v>8</v>
      </c>
      <c r="W27" s="1575">
        <f>J27</f>
        <v>100</v>
      </c>
      <c r="X27" s="3190"/>
      <c r="Y27" s="3409"/>
      <c r="Z27" s="3189" t="str">
        <f>Q27</f>
        <v>自然及人文环境状况</v>
      </c>
      <c r="AA27" s="3192">
        <f t="shared" si="3"/>
        <v>1</v>
      </c>
      <c r="AB27" s="3192">
        <f t="shared" si="4"/>
        <v>1</v>
      </c>
      <c r="AC27" s="3192">
        <f t="shared" si="5"/>
        <v>1</v>
      </c>
    </row>
    <row r="28" spans="1:29" ht="20.25">
      <c r="A28" s="515"/>
      <c r="B28" s="566"/>
      <c r="C28" s="554" t="s">
        <v>3111</v>
      </c>
      <c r="D28" s="557"/>
      <c r="E28" s="576" t="s">
        <v>3111</v>
      </c>
      <c r="F28" s="555"/>
      <c r="G28" s="576" t="s">
        <v>3111</v>
      </c>
      <c r="H28" s="555"/>
      <c r="I28" s="576" t="s">
        <v>3111</v>
      </c>
      <c r="J28" s="555"/>
      <c r="K28" s="531"/>
      <c r="L28" s="2142"/>
      <c r="M28" s="2132"/>
      <c r="N28" s="2132"/>
      <c r="O28" s="2141"/>
      <c r="P28" s="3409"/>
      <c r="Q28" s="3188"/>
      <c r="R28" s="1574"/>
      <c r="S28" s="1575"/>
      <c r="T28" s="1574"/>
      <c r="U28" s="1575"/>
      <c r="V28" s="1574"/>
      <c r="W28" s="1575"/>
      <c r="X28" s="3190"/>
      <c r="Y28" s="3409"/>
      <c r="Z28" s="3189"/>
      <c r="AA28" s="3192">
        <v>1</v>
      </c>
      <c r="AB28" s="3192">
        <v>1</v>
      </c>
      <c r="AC28" s="3192">
        <v>1</v>
      </c>
    </row>
    <row r="29" spans="1:29" s="1220" customFormat="1" ht="42.75">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09"/>
      <c r="Q29" s="3187" t="str">
        <f t="shared" si="8"/>
        <v>公共配套设施</v>
      </c>
      <c r="R29" s="1569" t="s">
        <v>8</v>
      </c>
      <c r="S29" s="1570">
        <f>F29</f>
        <v>100</v>
      </c>
      <c r="T29" s="1569" t="s">
        <v>8</v>
      </c>
      <c r="U29" s="1570">
        <f>H29</f>
        <v>100</v>
      </c>
      <c r="V29" s="1569" t="s">
        <v>8</v>
      </c>
      <c r="W29" s="1570">
        <f>J29</f>
        <v>100</v>
      </c>
      <c r="X29" s="1571"/>
      <c r="Y29" s="3409"/>
      <c r="Z29" s="3186" t="str">
        <f>Q29</f>
        <v>公共配套设施</v>
      </c>
      <c r="AA29" s="3192">
        <f>D29/F29</f>
        <v>1</v>
      </c>
      <c r="AB29" s="3192">
        <f>D29/H29</f>
        <v>1</v>
      </c>
      <c r="AC29" s="3192">
        <f>D29/J29</f>
        <v>1</v>
      </c>
    </row>
    <row r="30" spans="1:29" s="1220" customFormat="1" ht="20.25">
      <c r="A30" s="577"/>
      <c r="B30" s="566"/>
      <c r="C30" s="579" t="s">
        <v>3111</v>
      </c>
      <c r="D30" s="557"/>
      <c r="E30" s="576" t="s">
        <v>3111</v>
      </c>
      <c r="F30" s="555"/>
      <c r="G30" s="576" t="s">
        <v>3111</v>
      </c>
      <c r="H30" s="555"/>
      <c r="I30" s="576" t="s">
        <v>3111</v>
      </c>
      <c r="J30" s="555"/>
      <c r="K30" s="531"/>
      <c r="L30" s="2135"/>
      <c r="M30" s="2132"/>
      <c r="N30" s="2132"/>
      <c r="O30" s="2137"/>
      <c r="P30" s="3409"/>
      <c r="Q30" s="3187"/>
      <c r="R30" s="1569"/>
      <c r="S30" s="1570"/>
      <c r="T30" s="1569"/>
      <c r="U30" s="1570"/>
      <c r="V30" s="1569"/>
      <c r="W30" s="1570"/>
      <c r="X30" s="1571"/>
      <c r="Y30" s="3409"/>
      <c r="Z30" s="3186"/>
      <c r="AA30" s="3192">
        <v>1</v>
      </c>
      <c r="AB30" s="3192">
        <v>1</v>
      </c>
      <c r="AC30" s="3192">
        <v>1</v>
      </c>
    </row>
    <row r="31" spans="1:29" s="1220" customFormat="1" ht="28.5">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409"/>
      <c r="Q31" s="3187" t="str">
        <f t="shared" ref="Q31" si="9">B31</f>
        <v>基础设施水平</v>
      </c>
      <c r="R31" s="1569" t="s">
        <v>8</v>
      </c>
      <c r="S31" s="1570">
        <f>F31</f>
        <v>100</v>
      </c>
      <c r="T31" s="1569" t="s">
        <v>8</v>
      </c>
      <c r="U31" s="1570">
        <f>H31</f>
        <v>100</v>
      </c>
      <c r="V31" s="1569" t="s">
        <v>8</v>
      </c>
      <c r="W31" s="1570">
        <f>J31</f>
        <v>100</v>
      </c>
      <c r="X31" s="1571"/>
      <c r="Y31" s="3409"/>
      <c r="Z31" s="3186" t="str">
        <f>Q31</f>
        <v>基础设施水平</v>
      </c>
      <c r="AA31" s="3192">
        <f>D31/F31</f>
        <v>1</v>
      </c>
      <c r="AB31" s="3192">
        <f>D31/H31</f>
        <v>1</v>
      </c>
      <c r="AC31" s="3192">
        <f>D31/J31</f>
        <v>1</v>
      </c>
    </row>
    <row r="32" spans="1:29" s="1220" customFormat="1" ht="20.25">
      <c r="A32" s="577"/>
      <c r="B32" s="566"/>
      <c r="C32" s="579" t="s">
        <v>3137</v>
      </c>
      <c r="D32" s="557"/>
      <c r="E32" s="2590" t="s">
        <v>3137</v>
      </c>
      <c r="F32" s="555"/>
      <c r="G32" s="2590" t="s">
        <v>3137</v>
      </c>
      <c r="H32" s="555"/>
      <c r="I32" s="2590" t="s">
        <v>3137</v>
      </c>
      <c r="J32" s="555"/>
      <c r="K32" s="531"/>
      <c r="L32" s="2135"/>
      <c r="M32" s="2132"/>
      <c r="N32" s="2132"/>
      <c r="O32" s="2137"/>
      <c r="P32" s="3409"/>
      <c r="Q32" s="3187"/>
      <c r="R32" s="1569"/>
      <c r="S32" s="1570"/>
      <c r="T32" s="1569"/>
      <c r="U32" s="1570"/>
      <c r="V32" s="1569"/>
      <c r="W32" s="1570"/>
      <c r="X32" s="1571"/>
      <c r="Y32" s="3409"/>
      <c r="Z32" s="3186"/>
      <c r="AA32" s="3192">
        <v>1</v>
      </c>
      <c r="AB32" s="3192">
        <v>1</v>
      </c>
      <c r="AC32" s="3192">
        <v>1</v>
      </c>
    </row>
    <row r="33" spans="1:29" ht="21"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409"/>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409"/>
      <c r="Z33" s="3189" t="str">
        <f t="shared" ref="Z33:Z47" si="13">Q33</f>
        <v>临街状况</v>
      </c>
      <c r="AA33" s="3192">
        <f t="shared" si="3"/>
        <v>1</v>
      </c>
      <c r="AB33" s="3192">
        <f t="shared" si="4"/>
        <v>1</v>
      </c>
      <c r="AC33" s="3192">
        <f t="shared" si="5"/>
        <v>1</v>
      </c>
    </row>
    <row r="34" spans="1:29" ht="27"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409"/>
      <c r="Q34" s="3188" t="str">
        <f t="shared" si="8"/>
        <v>毗邻道路的类型与等级</v>
      </c>
      <c r="R34" s="1574" t="s">
        <v>8</v>
      </c>
      <c r="S34" s="1575">
        <f t="shared" si="10"/>
        <v>100</v>
      </c>
      <c r="T34" s="1574" t="s">
        <v>8</v>
      </c>
      <c r="U34" s="1575">
        <f t="shared" si="11"/>
        <v>100</v>
      </c>
      <c r="V34" s="1574" t="s">
        <v>8</v>
      </c>
      <c r="W34" s="1575">
        <f t="shared" si="12"/>
        <v>100</v>
      </c>
      <c r="X34" s="3190"/>
      <c r="Y34" s="3409"/>
      <c r="Z34" s="3189" t="str">
        <f t="shared" si="13"/>
        <v>毗邻道路的类型与等级</v>
      </c>
      <c r="AA34" s="3192">
        <f t="shared" si="3"/>
        <v>1</v>
      </c>
      <c r="AB34" s="3192">
        <f t="shared" si="4"/>
        <v>1</v>
      </c>
      <c r="AC34" s="3192">
        <f t="shared" si="5"/>
        <v>1</v>
      </c>
    </row>
    <row r="35" spans="1:29" ht="20.25" hidden="1">
      <c r="A35" s="532"/>
      <c r="B35" s="566"/>
      <c r="C35" s="554" t="s">
        <v>3113</v>
      </c>
      <c r="D35" s="557"/>
      <c r="E35" s="576" t="s">
        <v>3113</v>
      </c>
      <c r="F35" s="555"/>
      <c r="G35" s="554" t="s">
        <v>3120</v>
      </c>
      <c r="H35" s="555"/>
      <c r="I35" s="576" t="s">
        <v>3113</v>
      </c>
      <c r="J35" s="555"/>
      <c r="K35" s="581"/>
      <c r="L35" s="2142"/>
      <c r="M35" s="2132"/>
      <c r="N35" s="2132"/>
      <c r="O35" s="2141"/>
      <c r="P35" s="3409"/>
      <c r="Q35" s="3188"/>
      <c r="R35" s="1574"/>
      <c r="S35" s="1575"/>
      <c r="T35" s="1574"/>
      <c r="U35" s="1575"/>
      <c r="V35" s="1574"/>
      <c r="W35" s="1575"/>
      <c r="X35" s="3190"/>
      <c r="Y35" s="3409"/>
      <c r="Z35" s="3189"/>
      <c r="AA35" s="3192">
        <v>1</v>
      </c>
      <c r="AB35" s="3192">
        <v>1</v>
      </c>
      <c r="AC35" s="3192">
        <v>1</v>
      </c>
    </row>
    <row r="36" spans="1:29" ht="20.25"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409"/>
      <c r="Q36" s="3188" t="str">
        <f t="shared" si="8"/>
        <v>土地级别</v>
      </c>
      <c r="R36" s="1574" t="s">
        <v>8</v>
      </c>
      <c r="S36" s="1575">
        <f t="shared" si="10"/>
        <v>100</v>
      </c>
      <c r="T36" s="1574" t="s">
        <v>8</v>
      </c>
      <c r="U36" s="1575">
        <f t="shared" si="11"/>
        <v>100</v>
      </c>
      <c r="V36" s="1574" t="s">
        <v>8</v>
      </c>
      <c r="W36" s="1575">
        <f t="shared" si="12"/>
        <v>100</v>
      </c>
      <c r="X36" s="3190"/>
      <c r="Y36" s="3409"/>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409"/>
      <c r="Q37" s="3188">
        <f t="shared" si="8"/>
        <v>111</v>
      </c>
      <c r="R37" s="1574" t="s">
        <v>8</v>
      </c>
      <c r="S37" s="1575">
        <f t="shared" si="10"/>
        <v>100</v>
      </c>
      <c r="T37" s="1574" t="s">
        <v>8</v>
      </c>
      <c r="U37" s="1575">
        <f t="shared" si="11"/>
        <v>100</v>
      </c>
      <c r="V37" s="1574" t="s">
        <v>8</v>
      </c>
      <c r="W37" s="1575">
        <f t="shared" si="12"/>
        <v>100</v>
      </c>
      <c r="X37" s="3190"/>
      <c r="Y37" s="3409"/>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414" t="s">
        <v>547</v>
      </c>
      <c r="Q38" s="3188">
        <f t="shared" si="8"/>
        <v>111</v>
      </c>
      <c r="R38" s="1574" t="s">
        <v>8</v>
      </c>
      <c r="S38" s="1575">
        <f t="shared" si="10"/>
        <v>100</v>
      </c>
      <c r="T38" s="1574" t="s">
        <v>8</v>
      </c>
      <c r="U38" s="1575">
        <f t="shared" si="11"/>
        <v>100</v>
      </c>
      <c r="V38" s="1574" t="s">
        <v>8</v>
      </c>
      <c r="W38" s="1575">
        <f t="shared" si="12"/>
        <v>100</v>
      </c>
      <c r="X38" s="3190"/>
      <c r="Y38" s="3415" t="s">
        <v>547</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415"/>
      <c r="Q39" s="3188">
        <f t="shared" si="8"/>
        <v>111</v>
      </c>
      <c r="R39" s="1578" t="s">
        <v>8</v>
      </c>
      <c r="S39" s="1579">
        <f t="shared" si="10"/>
        <v>100</v>
      </c>
      <c r="T39" s="1578" t="s">
        <v>8</v>
      </c>
      <c r="U39" s="1579">
        <f t="shared" si="11"/>
        <v>100</v>
      </c>
      <c r="V39" s="1578" t="s">
        <v>8</v>
      </c>
      <c r="W39" s="1579">
        <f t="shared" si="12"/>
        <v>100</v>
      </c>
      <c r="X39" s="1580"/>
      <c r="Y39" s="3415"/>
      <c r="Z39" s="1581">
        <f t="shared" si="13"/>
        <v>111</v>
      </c>
      <c r="AA39" s="3192">
        <f t="shared" si="3"/>
        <v>1</v>
      </c>
      <c r="AB39" s="3192">
        <f t="shared" si="4"/>
        <v>1</v>
      </c>
      <c r="AC39" s="3192">
        <f t="shared" si="5"/>
        <v>1</v>
      </c>
    </row>
    <row r="40" spans="1:29" ht="20.25">
      <c r="A40" s="2905" t="s">
        <v>2751</v>
      </c>
      <c r="B40" s="595" t="s">
        <v>549</v>
      </c>
      <c r="C40" s="596">
        <f>'数据-基础表'!A3</f>
        <v>266666.3</v>
      </c>
      <c r="D40" s="597">
        <v>100</v>
      </c>
      <c r="E40" s="596">
        <f>Sheet1!E12</f>
        <v>55420</v>
      </c>
      <c r="F40" s="597">
        <f>LOOKUP(E40,119:119,120:120)-LOOKUP(C40,119:119,120:120)+100</f>
        <v>102</v>
      </c>
      <c r="G40" s="596">
        <f>Sheet1!E11</f>
        <v>39602</v>
      </c>
      <c r="H40" s="597">
        <f>LOOKUP(G40,119:119,120:120)-LOOKUP(C40,119:119,120:120)+100</f>
        <v>103</v>
      </c>
      <c r="I40" s="596">
        <v>1566</v>
      </c>
      <c r="J40" s="597">
        <f>LOOKUP(I40,119:119,120:120)-LOOKUP(C40,119:119,120:120)+100</f>
        <v>103</v>
      </c>
      <c r="K40" s="581"/>
      <c r="L40" s="2142"/>
      <c r="M40" s="2132"/>
      <c r="N40" s="2132"/>
      <c r="O40" s="2141"/>
      <c r="P40" s="3415"/>
      <c r="Q40" s="3188" t="str">
        <f>B40</f>
        <v>宗地面积</v>
      </c>
      <c r="R40" s="1574" t="s">
        <v>8</v>
      </c>
      <c r="S40" s="1575">
        <f t="shared" si="10"/>
        <v>102</v>
      </c>
      <c r="T40" s="1574" t="s">
        <v>8</v>
      </c>
      <c r="U40" s="1575">
        <f t="shared" si="11"/>
        <v>103</v>
      </c>
      <c r="V40" s="1574" t="s">
        <v>8</v>
      </c>
      <c r="W40" s="1575">
        <f t="shared" si="12"/>
        <v>103</v>
      </c>
      <c r="X40" s="3190"/>
      <c r="Y40" s="3415"/>
      <c r="Z40" s="3189" t="str">
        <f t="shared" si="13"/>
        <v>宗地面积</v>
      </c>
      <c r="AA40" s="3192">
        <f t="shared" si="3"/>
        <v>0.98039215686274506</v>
      </c>
      <c r="AB40" s="3192">
        <f t="shared" si="4"/>
        <v>0.970873786407767</v>
      </c>
      <c r="AC40" s="3192">
        <f t="shared" si="5"/>
        <v>0.970873786407767</v>
      </c>
    </row>
    <row r="41" spans="1:29" ht="20.25">
      <c r="A41" s="594"/>
      <c r="B41" s="527" t="s">
        <v>550</v>
      </c>
      <c r="C41" s="599" t="s">
        <v>3135</v>
      </c>
      <c r="D41" s="540">
        <v>100</v>
      </c>
      <c r="E41" s="599" t="s">
        <v>3115</v>
      </c>
      <c r="F41" s="540">
        <f>SUMIF(121:121,E41,122:122)-SUMIF(121:121,C41,122:122)+100</f>
        <v>102</v>
      </c>
      <c r="G41" s="599" t="s">
        <v>3115</v>
      </c>
      <c r="H41" s="540">
        <f>SUMIF(121:121,G41,122:122)-SUMIF(121:121,C41,122:122)+100</f>
        <v>102</v>
      </c>
      <c r="I41" s="599" t="s">
        <v>3115</v>
      </c>
      <c r="J41" s="540">
        <f>SUMIF(121:121,I41,122:122)-SUMIF(121:121,C41,122:122)+100</f>
        <v>102</v>
      </c>
      <c r="K41" s="584">
        <v>2</v>
      </c>
      <c r="L41" s="2142"/>
      <c r="M41" s="2132"/>
      <c r="N41" s="2132"/>
      <c r="O41" s="2141"/>
      <c r="P41" s="3415"/>
      <c r="Q41" s="3188" t="str">
        <f t="shared" ref="Q41:Q47" si="14">B41</f>
        <v>宗地形状</v>
      </c>
      <c r="R41" s="1574" t="s">
        <v>8</v>
      </c>
      <c r="S41" s="1575">
        <f t="shared" si="10"/>
        <v>102</v>
      </c>
      <c r="T41" s="1574" t="s">
        <v>8</v>
      </c>
      <c r="U41" s="1575">
        <f t="shared" si="11"/>
        <v>102</v>
      </c>
      <c r="V41" s="1574" t="s">
        <v>8</v>
      </c>
      <c r="W41" s="1575">
        <f t="shared" si="12"/>
        <v>102</v>
      </c>
      <c r="X41" s="3190"/>
      <c r="Y41" s="3415"/>
      <c r="Z41" s="3189" t="str">
        <f t="shared" si="13"/>
        <v>宗地形状</v>
      </c>
      <c r="AA41" s="3192">
        <f t="shared" si="3"/>
        <v>0.98039215686274506</v>
      </c>
      <c r="AB41" s="3192">
        <f t="shared" si="4"/>
        <v>0.98039215686274506</v>
      </c>
      <c r="AC41" s="3192">
        <f t="shared" si="5"/>
        <v>0.98039215686274506</v>
      </c>
    </row>
    <row r="42" spans="1:29" ht="20.25">
      <c r="A42" s="594"/>
      <c r="B42" s="527" t="s">
        <v>551</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1</v>
      </c>
      <c r="L42" s="2142"/>
      <c r="M42" s="2132"/>
      <c r="N42" s="2132"/>
      <c r="O42" s="2141"/>
      <c r="P42" s="3415"/>
      <c r="Q42" s="3188" t="str">
        <f t="shared" si="14"/>
        <v>临街宽度及深度</v>
      </c>
      <c r="R42" s="1574" t="s">
        <v>8</v>
      </c>
      <c r="S42" s="1575">
        <f t="shared" si="10"/>
        <v>100</v>
      </c>
      <c r="T42" s="1574" t="s">
        <v>8</v>
      </c>
      <c r="U42" s="1575">
        <f t="shared" si="11"/>
        <v>100</v>
      </c>
      <c r="V42" s="1574" t="s">
        <v>8</v>
      </c>
      <c r="W42" s="1575">
        <f t="shared" si="12"/>
        <v>100</v>
      </c>
      <c r="X42" s="3190"/>
      <c r="Y42" s="3415"/>
      <c r="Z42" s="3189" t="str">
        <f t="shared" si="13"/>
        <v>临街宽度及深度</v>
      </c>
      <c r="AA42" s="3192">
        <f t="shared" si="3"/>
        <v>1</v>
      </c>
      <c r="AB42" s="3192">
        <f t="shared" si="4"/>
        <v>1</v>
      </c>
      <c r="AC42" s="3192">
        <f t="shared" si="5"/>
        <v>1</v>
      </c>
    </row>
    <row r="43" spans="1:29" s="1220" customFormat="1" ht="20.25">
      <c r="A43" s="600"/>
      <c r="B43" s="1896" t="s">
        <v>2421</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1</v>
      </c>
      <c r="L43" s="2135"/>
      <c r="M43" s="2132"/>
      <c r="N43" s="2132"/>
      <c r="O43" s="2137"/>
      <c r="P43" s="3415"/>
      <c r="Q43" s="3188" t="str">
        <f t="shared" si="14"/>
        <v>宗地开发程度</v>
      </c>
      <c r="R43" s="1569" t="s">
        <v>8</v>
      </c>
      <c r="S43" s="1570">
        <f t="shared" si="10"/>
        <v>100</v>
      </c>
      <c r="T43" s="1569" t="s">
        <v>8</v>
      </c>
      <c r="U43" s="1570">
        <f t="shared" si="11"/>
        <v>100</v>
      </c>
      <c r="V43" s="1569" t="s">
        <v>8</v>
      </c>
      <c r="W43" s="1570">
        <f t="shared" si="12"/>
        <v>100</v>
      </c>
      <c r="X43" s="1571"/>
      <c r="Y43" s="3415"/>
      <c r="Z43" s="3186" t="str">
        <f t="shared" si="13"/>
        <v>宗地开发程度</v>
      </c>
      <c r="AA43" s="1572">
        <f t="shared" si="3"/>
        <v>1</v>
      </c>
      <c r="AB43" s="1572">
        <f t="shared" si="4"/>
        <v>1</v>
      </c>
      <c r="AC43" s="1572">
        <f t="shared" si="5"/>
        <v>1</v>
      </c>
    </row>
    <row r="44" spans="1:29" ht="20.25">
      <c r="A44" s="594"/>
      <c r="B44" s="527" t="s">
        <v>552</v>
      </c>
      <c r="C44" s="599" t="s">
        <v>3124</v>
      </c>
      <c r="D44" s="540">
        <v>100</v>
      </c>
      <c r="E44" s="599" t="s">
        <v>3124</v>
      </c>
      <c r="F44" s="540">
        <f>SUMIF(127:127,E44,128:128)-SUMIF(127:127,C44,128:128)+100</f>
        <v>100</v>
      </c>
      <c r="G44" s="599" t="s">
        <v>3124</v>
      </c>
      <c r="H44" s="540">
        <f>SUMIF(127:127,G44,128:128)-SUMIF(127:127,C44,128:128)+100</f>
        <v>100</v>
      </c>
      <c r="I44" s="599" t="s">
        <v>3124</v>
      </c>
      <c r="J44" s="540">
        <f>SUMIF(127:127,I44,128:128)-SUMIF(127:127,C44,128:128)+100</f>
        <v>100</v>
      </c>
      <c r="K44" s="584">
        <v>1</v>
      </c>
      <c r="L44" s="2142"/>
      <c r="M44" s="2132"/>
      <c r="N44" s="2132"/>
      <c r="O44" s="2141"/>
      <c r="P44" s="3415" t="s">
        <v>547</v>
      </c>
      <c r="Q44" s="3188" t="str">
        <f t="shared" si="14"/>
        <v>工程地质条件</v>
      </c>
      <c r="R44" s="1574" t="s">
        <v>8</v>
      </c>
      <c r="S44" s="1575">
        <f t="shared" si="10"/>
        <v>100</v>
      </c>
      <c r="T44" s="1574" t="s">
        <v>8</v>
      </c>
      <c r="U44" s="1575">
        <f t="shared" si="11"/>
        <v>100</v>
      </c>
      <c r="V44" s="1574" t="s">
        <v>8</v>
      </c>
      <c r="W44" s="1575">
        <f t="shared" si="12"/>
        <v>100</v>
      </c>
      <c r="X44" s="3190"/>
      <c r="Y44" s="3415" t="s">
        <v>547</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5"/>
      <c r="Q45" s="3188">
        <f t="shared" si="14"/>
        <v>111</v>
      </c>
      <c r="R45" s="1574" t="s">
        <v>8</v>
      </c>
      <c r="S45" s="1575">
        <f t="shared" si="10"/>
        <v>100</v>
      </c>
      <c r="T45" s="1574" t="s">
        <v>8</v>
      </c>
      <c r="U45" s="1575">
        <f t="shared" si="11"/>
        <v>100</v>
      </c>
      <c r="V45" s="1574" t="s">
        <v>8</v>
      </c>
      <c r="W45" s="1575">
        <f t="shared" si="12"/>
        <v>100</v>
      </c>
      <c r="X45" s="3190"/>
      <c r="Y45" s="3415"/>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5"/>
      <c r="Q46" s="3188">
        <f t="shared" si="14"/>
        <v>111</v>
      </c>
      <c r="R46" s="1574" t="s">
        <v>8</v>
      </c>
      <c r="S46" s="1575">
        <f t="shared" si="10"/>
        <v>100</v>
      </c>
      <c r="T46" s="1574" t="s">
        <v>8</v>
      </c>
      <c r="U46" s="1575">
        <f t="shared" si="11"/>
        <v>100</v>
      </c>
      <c r="V46" s="1574" t="s">
        <v>8</v>
      </c>
      <c r="W46" s="1575">
        <f t="shared" si="12"/>
        <v>100</v>
      </c>
      <c r="X46" s="3190"/>
      <c r="Y46" s="3415"/>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5"/>
      <c r="Q47" s="3188">
        <f t="shared" si="14"/>
        <v>111</v>
      </c>
      <c r="R47" s="1578" t="s">
        <v>8</v>
      </c>
      <c r="S47" s="1579">
        <f t="shared" si="10"/>
        <v>100</v>
      </c>
      <c r="T47" s="1578" t="s">
        <v>8</v>
      </c>
      <c r="U47" s="1579">
        <f t="shared" si="11"/>
        <v>100</v>
      </c>
      <c r="V47" s="1578" t="s">
        <v>8</v>
      </c>
      <c r="W47" s="1579">
        <f t="shared" si="12"/>
        <v>100</v>
      </c>
      <c r="X47" s="1580"/>
      <c r="Y47" s="3415"/>
      <c r="Z47" s="1581">
        <f t="shared" si="13"/>
        <v>111</v>
      </c>
      <c r="AA47" s="3192">
        <f t="shared" si="3"/>
        <v>1</v>
      </c>
      <c r="AB47" s="3192">
        <f t="shared" si="4"/>
        <v>1</v>
      </c>
      <c r="AC47" s="3192">
        <f t="shared" si="5"/>
        <v>1</v>
      </c>
    </row>
    <row r="48" spans="1:29" ht="20.25">
      <c r="A48" s="607" t="s">
        <v>553</v>
      </c>
      <c r="B48" s="608" t="s">
        <v>3127</v>
      </c>
      <c r="C48" s="609" t="s">
        <v>1</v>
      </c>
      <c r="D48" s="610"/>
      <c r="E48" s="611">
        <v>454</v>
      </c>
      <c r="F48" s="612"/>
      <c r="G48" s="613">
        <v>454</v>
      </c>
      <c r="H48" s="614"/>
      <c r="I48" s="611">
        <v>415</v>
      </c>
      <c r="J48" s="614"/>
      <c r="K48" s="1340"/>
      <c r="L48" s="2144"/>
      <c r="M48" s="2132"/>
      <c r="N48" s="2132"/>
      <c r="O48" s="2145"/>
      <c r="P48" s="3407" t="str">
        <f>A48</f>
        <v>成交单价</v>
      </c>
      <c r="Q48" s="3407"/>
      <c r="R48" s="3403">
        <f>E48</f>
        <v>454</v>
      </c>
      <c r="S48" s="3403"/>
      <c r="T48" s="3403">
        <f>G48</f>
        <v>454</v>
      </c>
      <c r="U48" s="3403"/>
      <c r="V48" s="3403">
        <f>I48</f>
        <v>415</v>
      </c>
      <c r="W48" s="3403"/>
      <c r="X48" s="1560"/>
      <c r="Y48" s="1582"/>
      <c r="Z48" s="1560"/>
      <c r="AA48" s="1560"/>
      <c r="AB48" s="1560"/>
      <c r="AC48" s="1560"/>
    </row>
    <row r="49" spans="1:29" ht="21" thickBot="1">
      <c r="A49" s="615" t="s">
        <v>2689</v>
      </c>
      <c r="B49" s="616"/>
      <c r="C49" s="617">
        <f>R50</f>
        <v>346</v>
      </c>
      <c r="D49" s="618"/>
      <c r="E49" s="617">
        <f>R49</f>
        <v>351</v>
      </c>
      <c r="F49" s="619"/>
      <c r="G49" s="620">
        <f>T49</f>
        <v>347</v>
      </c>
      <c r="H49" s="618"/>
      <c r="I49" s="617">
        <f>V49</f>
        <v>340</v>
      </c>
      <c r="J49" s="618"/>
      <c r="K49" s="1341"/>
      <c r="L49" s="2144"/>
      <c r="M49" s="2132"/>
      <c r="N49" s="2132"/>
      <c r="O49" s="2145"/>
      <c r="P49" s="3407" t="str">
        <f>A49</f>
        <v>比较价格（元/平方米）</v>
      </c>
      <c r="Q49" s="3407"/>
      <c r="R49" s="3410">
        <f>ROUND(PRODUCT(R48,AA9:AA47),0)</f>
        <v>351</v>
      </c>
      <c r="S49" s="3410"/>
      <c r="T49" s="3410">
        <f>ROUND(PRODUCT(T48,AB9:AB47),0)</f>
        <v>347</v>
      </c>
      <c r="U49" s="3410"/>
      <c r="V49" s="3410">
        <f>ROUND(PRODUCT(V48,AC9:AC47),0)</f>
        <v>340</v>
      </c>
      <c r="W49" s="3410"/>
      <c r="X49" s="1560"/>
      <c r="Y49" s="1560"/>
      <c r="Z49" s="1560"/>
      <c r="AA49" s="1560"/>
      <c r="AB49" s="1560"/>
      <c r="AC49" s="1560"/>
    </row>
    <row r="50" spans="1:29" ht="21" thickBot="1">
      <c r="A50" s="621" t="s">
        <v>2929</v>
      </c>
      <c r="B50" s="622"/>
      <c r="C50" s="623">
        <f>R50</f>
        <v>346</v>
      </c>
      <c r="D50" s="623"/>
      <c r="E50" s="623"/>
      <c r="F50" s="623"/>
      <c r="G50" s="623"/>
      <c r="H50" s="623"/>
      <c r="I50" s="623"/>
      <c r="J50" s="623"/>
      <c r="K50" s="1342"/>
      <c r="L50" s="2144"/>
      <c r="M50" s="2132"/>
      <c r="N50" s="2132"/>
      <c r="O50" s="2145"/>
      <c r="P50" s="3411" t="str">
        <f>A50</f>
        <v>估价对象XX用房的比较价格（楼面单价，元/平方米）</v>
      </c>
      <c r="Q50" s="3412"/>
      <c r="R50" s="3413">
        <f>ROUND(AVERAGE(R49:V49),0)</f>
        <v>346</v>
      </c>
      <c r="S50" s="3413"/>
      <c r="T50" s="3413"/>
      <c r="U50" s="3413"/>
      <c r="V50" s="3413"/>
      <c r="W50" s="3413"/>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0.29344729344729337</v>
      </c>
      <c r="F53" s="627" t="str">
        <f>IF(OR(E53&gt;=0.3,E53&lt;=-0.3),"超过30%","")</f>
        <v/>
      </c>
      <c r="G53" s="626">
        <f>IF(G48&lt;G49,G49/G48-1,G48/G49-1)</f>
        <v>0.30835734870317011</v>
      </c>
      <c r="H53" s="627" t="str">
        <f>IF(OR(G53&gt;=0.3,G53&lt;=-0.3),"超过30%","")</f>
        <v>超过30%</v>
      </c>
      <c r="I53" s="626">
        <f>IF(I48&lt;I49,I49/I48-1,I48/I49-1)</f>
        <v>0.22058823529411775</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1.1527377521613813E-2</v>
      </c>
      <c r="F54" s="627" t="str">
        <f>IF(OR(E54&gt;=0.2,E54&lt;=-0.2),"超过20%","")</f>
        <v/>
      </c>
      <c r="G54" s="626">
        <f>IF(G49&lt;I49,I49/G49-1,G49/I49-1)</f>
        <v>2.0588235294117574E-2</v>
      </c>
      <c r="H54" s="627" t="str">
        <f>IF(OR(G54&gt;=0.2,G54&lt;=-0.2),"超过20%","")</f>
        <v/>
      </c>
      <c r="I54" s="626">
        <f>IF(I49&lt;E49,E49/I49-1,I49/E49-1)</f>
        <v>3.2352941176470695E-2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416" t="s">
        <v>2280</v>
      </c>
      <c r="H57" s="3417"/>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561</v>
      </c>
      <c r="B58" s="634">
        <f>C50</f>
        <v>346</v>
      </c>
      <c r="C58" s="635">
        <v>1</v>
      </c>
      <c r="D58" s="2228">
        <v>1</v>
      </c>
      <c r="E58" s="635">
        <f>'数据-汇总表'!E8+'数据-汇总表'!E9</f>
        <v>1146665.0899999999</v>
      </c>
      <c r="F58" s="636">
        <f t="shared" ref="F58:F67" si="15">ROUND(B58*E58/10000,0)</f>
        <v>39675</v>
      </c>
      <c r="G58" s="3418"/>
      <c r="H58" s="341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562</v>
      </c>
      <c r="B59" s="638">
        <f>ROUND($C$50*C59*D59,0)</f>
        <v>0</v>
      </c>
      <c r="C59" s="378">
        <f t="shared" ref="C59:C67" si="16">IF($C$57="北京市系数",I59,J59)</f>
        <v>0</v>
      </c>
      <c r="D59" s="2229">
        <v>0.25</v>
      </c>
      <c r="E59" s="639">
        <v>0</v>
      </c>
      <c r="F59" s="636">
        <f t="shared" si="15"/>
        <v>0</v>
      </c>
      <c r="G59" s="3420"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563</v>
      </c>
      <c r="B60" s="638">
        <f t="shared" ref="B60:B67" si="17">ROUND($C$50*C60*D60,0)</f>
        <v>0</v>
      </c>
      <c r="C60" s="378">
        <f t="shared" si="16"/>
        <v>0</v>
      </c>
      <c r="D60" s="2229">
        <v>0.25</v>
      </c>
      <c r="E60" s="639">
        <v>0</v>
      </c>
      <c r="F60" s="636">
        <f t="shared" si="15"/>
        <v>0</v>
      </c>
      <c r="G60" s="3420"/>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564</v>
      </c>
      <c r="B61" s="638">
        <f t="shared" si="17"/>
        <v>0</v>
      </c>
      <c r="C61" s="378">
        <f t="shared" si="16"/>
        <v>0</v>
      </c>
      <c r="D61" s="2229">
        <v>0.25</v>
      </c>
      <c r="E61" s="639">
        <v>0</v>
      </c>
      <c r="F61" s="636">
        <f t="shared" si="15"/>
        <v>0</v>
      </c>
      <c r="G61" s="3420"/>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565</v>
      </c>
      <c r="B62" s="638">
        <f t="shared" si="17"/>
        <v>0</v>
      </c>
      <c r="C62" s="378">
        <f t="shared" si="16"/>
        <v>0</v>
      </c>
      <c r="D62" s="2229">
        <v>0.25</v>
      </c>
      <c r="E62" s="639">
        <v>0</v>
      </c>
      <c r="F62" s="636">
        <f t="shared" si="15"/>
        <v>0</v>
      </c>
      <c r="G62" s="3420"/>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570</v>
      </c>
      <c r="B68" s="643" t="s">
        <v>14</v>
      </c>
      <c r="C68" s="643" t="s">
        <v>14</v>
      </c>
      <c r="D68" s="643" t="s">
        <v>2293</v>
      </c>
      <c r="E68" s="643">
        <f>IF(B48="楼面地价",SUM(E58:E67),'数据-汇总表'!D3)</f>
        <v>1146665.0899999999</v>
      </c>
      <c r="F68" s="644">
        <f>IF(B48="楼面地价",SUM(F58:F67),ROUND(C50*E68/10000,0))</f>
        <v>39675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2019-4-1</v>
      </c>
      <c r="D70" s="2797">
        <f>EDATE(C70,-3)</f>
        <v>43466</v>
      </c>
      <c r="E70" s="2797">
        <f t="shared" ref="E70:N70" si="18">EDATE(D70,-3)</f>
        <v>43374</v>
      </c>
      <c r="F70" s="2797">
        <f t="shared" si="18"/>
        <v>43282</v>
      </c>
      <c r="G70" s="2797">
        <f t="shared" si="18"/>
        <v>43191</v>
      </c>
      <c r="H70" s="2797">
        <f t="shared" si="18"/>
        <v>43101</v>
      </c>
      <c r="I70" s="2797">
        <f t="shared" si="18"/>
        <v>43009</v>
      </c>
      <c r="J70" s="2797">
        <f t="shared" si="18"/>
        <v>42917</v>
      </c>
      <c r="K70" s="2797">
        <f t="shared" si="18"/>
        <v>42826</v>
      </c>
      <c r="L70" s="2797">
        <f t="shared" si="18"/>
        <v>42736</v>
      </c>
      <c r="M70" s="2797">
        <f t="shared" si="18"/>
        <v>42644</v>
      </c>
      <c r="N70" s="2797">
        <f t="shared" si="18"/>
        <v>42552</v>
      </c>
      <c r="O70" s="2145"/>
      <c r="P70" s="2145"/>
      <c r="Q70" s="2145"/>
      <c r="R70" s="2145"/>
      <c r="S70" s="2145"/>
      <c r="T70" s="2145"/>
      <c r="U70" s="2145"/>
      <c r="V70" s="2145"/>
      <c r="W70" s="2145"/>
      <c r="X70" s="2145"/>
      <c r="Y70" s="2145"/>
      <c r="Z70" s="2145"/>
      <c r="AA70" s="2145"/>
      <c r="AB70" s="2145"/>
      <c r="AC70" s="2145"/>
    </row>
    <row r="71" spans="1:29" ht="21.75"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3128</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82" t="s">
        <v>3095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3"/>
      <c r="D108" s="3183" t="s">
        <v>3121</v>
      </c>
      <c r="E108" s="688"/>
      <c r="F108" s="3183" t="s">
        <v>3114</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3096</v>
      </c>
      <c r="D121" s="718" t="s">
        <v>3097</v>
      </c>
      <c r="E121" s="718" t="s">
        <v>3098</v>
      </c>
      <c r="F121" s="718" t="s">
        <v>3099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3100</v>
      </c>
      <c r="D123" s="688" t="s">
        <v>3101</v>
      </c>
      <c r="E123" s="688" t="s">
        <v>3102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3103</v>
      </c>
      <c r="D125" s="688" t="s">
        <v>3104</v>
      </c>
      <c r="E125" s="688" t="s">
        <v>3105</v>
      </c>
      <c r="F125" s="688" t="s">
        <v>3106</v>
      </c>
      <c r="G125" s="688" t="s">
        <v>3107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3108</v>
      </c>
      <c r="F127" s="718" t="s">
        <v>3109</v>
      </c>
      <c r="G127" s="718" t="s">
        <v>3110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84890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740</v>
      </c>
      <c r="C3" s="2104"/>
      <c r="D3" s="2104"/>
      <c r="E3" s="2104"/>
      <c r="F3" s="2104"/>
      <c r="G3" s="2104"/>
      <c r="H3" s="2104"/>
      <c r="I3" s="2104"/>
      <c r="J3" s="2104"/>
      <c r="K3" s="2104"/>
    </row>
    <row r="4" spans="1:31" s="2041" customFormat="1" ht="18" customHeight="1">
      <c r="A4" s="426" t="s">
        <v>465</v>
      </c>
      <c r="B4" s="427">
        <f ca="1">ROUND(B2*10000/IF(B1="",'数据-汇总表'!D3,INDIRECT("'数据-取费表'!R"&amp;$K$1)),0)</f>
        <v>3183</v>
      </c>
      <c r="C4" s="428"/>
      <c r="D4" s="422"/>
      <c r="E4" s="422"/>
      <c r="F4" s="422"/>
      <c r="G4" s="422"/>
      <c r="H4" s="422"/>
      <c r="I4" s="422"/>
      <c r="J4" s="422"/>
      <c r="K4" s="422"/>
    </row>
    <row r="5" spans="1:31" s="2041" customFormat="1" ht="18" customHeight="1" thickBot="1">
      <c r="A5" s="429"/>
      <c r="B5" s="430">
        <f ca="1">ROUND(B2/(IF(B1="",'数据-汇总表'!D3,INDIRECT("'数据-取费表'!R"&amp;$K$1))/666.67),0)</f>
        <v>212</v>
      </c>
      <c r="C5" s="431" t="s">
        <v>466</v>
      </c>
      <c r="D5" s="422"/>
      <c r="E5" s="422"/>
      <c r="F5" s="422"/>
      <c r="G5" s="422"/>
      <c r="H5" s="422"/>
      <c r="I5" s="422"/>
      <c r="J5" s="422"/>
      <c r="K5" s="422"/>
    </row>
    <row r="6" spans="1:31" s="2111" customFormat="1" ht="16.5" customHeight="1">
      <c r="A6" s="2826" t="s">
        <v>1840</v>
      </c>
      <c r="B6" s="2827"/>
      <c r="C6" s="2828">
        <f ca="1">SUM(C10:K10)</f>
        <v>536278</v>
      </c>
      <c r="D6" s="2827"/>
      <c r="E6" s="2827"/>
      <c r="F6" s="2827"/>
      <c r="G6" s="2827"/>
      <c r="H6" s="2827"/>
      <c r="I6" s="2827"/>
      <c r="J6" s="2827"/>
      <c r="K6" s="2829"/>
    </row>
    <row r="7" spans="1:31" s="2113" customFormat="1" ht="15">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4677</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1146665.0899999999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536278</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246533</v>
      </c>
      <c r="D13" s="2842"/>
      <c r="E13" s="2843"/>
      <c r="F13" s="2844"/>
      <c r="G13" s="2810"/>
      <c r="H13" s="2811"/>
      <c r="I13" s="2811"/>
      <c r="J13" s="2811"/>
      <c r="K13" s="2812"/>
    </row>
    <row r="14" spans="1:31" s="2116" customFormat="1" ht="13.5" customHeight="1">
      <c r="A14" s="2840" t="s">
        <v>1847</v>
      </c>
      <c r="B14" s="2841" t="s">
        <v>477</v>
      </c>
      <c r="C14" s="53">
        <f ca="1">ROUND(C13*F14,0)</f>
        <v>8629</v>
      </c>
      <c r="D14" s="2842"/>
      <c r="E14" s="2843"/>
      <c r="F14" s="2845">
        <f>'数据-取费表'!B33</f>
        <v>3.5000000000000003E-2</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22933</v>
      </c>
      <c r="D16" s="2842">
        <f ca="1">IF(B1="",'数据-汇总表'!E3,INDIRECT("'数据-取费表'!K"&amp;$K$1)+INDIRECT("'数据-取费表'!S"&amp;$K$1))</f>
        <v>1146665.0899999999</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3698</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281793</v>
      </c>
      <c r="D18" s="2851"/>
      <c r="E18" s="468"/>
      <c r="F18" s="468"/>
      <c r="G18" s="2814" t="s">
        <v>2427</v>
      </c>
      <c r="H18" s="2815"/>
      <c r="I18" s="2815"/>
      <c r="J18" s="2815"/>
      <c r="K18" s="2816"/>
    </row>
    <row r="19" spans="1:14" s="2116" customFormat="1" ht="13.5" customHeight="1">
      <c r="A19" s="2848" t="s">
        <v>1852</v>
      </c>
      <c r="B19" s="2849" t="s">
        <v>485</v>
      </c>
      <c r="C19" s="2806">
        <f ca="1">ROUND(D19*E19/10000,0)</f>
        <v>12613</v>
      </c>
      <c r="D19" s="2852">
        <f ca="1">D16</f>
        <v>1146665.0899999999</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8600</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8600</v>
      </c>
      <c r="D22" s="2842">
        <f ca="1">IF(B1="",'数据-汇总表'!E6,IF(INDIRECT("'数据-取费表'!c"&amp;$K$1)="住宅",INDIRECT("'数据-取费表'!s"&amp;$K$1),INDIRECT("'数据-取费表'!k"&amp;$K$1)+INDIRECT("'数据-取费表'!s"&amp;$K$1)))</f>
        <v>1146665.0899999999</v>
      </c>
      <c r="E22" s="53">
        <f>'数据-取费表'!B28</f>
        <v>75</v>
      </c>
      <c r="F22" s="2845"/>
      <c r="G22" s="26"/>
      <c r="H22" s="51"/>
      <c r="I22" s="51"/>
      <c r="J22" s="51"/>
      <c r="K22" s="2817"/>
    </row>
    <row r="23" spans="1:14" s="2116" customFormat="1" ht="13.5" customHeight="1">
      <c r="A23" s="2848" t="s">
        <v>1856</v>
      </c>
      <c r="B23" s="3033" t="s">
        <v>2830</v>
      </c>
      <c r="C23" s="2850">
        <f ca="1">ROUND((C18+C19+C20)*F23,0)</f>
        <v>6060</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13407</v>
      </c>
      <c r="D24" s="475"/>
      <c r="E24" s="473"/>
      <c r="F24" s="2854">
        <f>'数据-取费表'!B38</f>
        <v>2.5000000000000001E-2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31363</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31363</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28091</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381927</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381927</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38697</v>
      </c>
      <c r="D33" s="467">
        <f ca="1">C34</f>
        <v>0.1235</v>
      </c>
      <c r="E33" s="469" t="s">
        <v>492</v>
      </c>
      <c r="F33" s="479">
        <f ca="1">IF(B1="",'数据-取费表'!Q16,INDIRECT("'数据-取费表'!q"&amp;$K$1))</f>
        <v>0.12</v>
      </c>
      <c r="G33" s="2814"/>
      <c r="H33" s="2815"/>
      <c r="I33" s="2815"/>
      <c r="J33" s="2815"/>
      <c r="K33" s="2816"/>
    </row>
    <row r="34" spans="1:11" s="2123" customFormat="1" ht="13.5" customHeight="1">
      <c r="A34" s="375" t="s">
        <v>1854</v>
      </c>
      <c r="B34" s="2861" t="s">
        <v>498</v>
      </c>
      <c r="C34" s="472">
        <f ca="1">ROUND((1+C25)*F33,4)</f>
        <v>0.1235</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38697</v>
      </c>
      <c r="D35" s="1630"/>
      <c r="E35" s="2862"/>
      <c r="F35" s="1631"/>
      <c r="G35" s="2820"/>
      <c r="H35" s="2821"/>
      <c r="I35" s="2821"/>
      <c r="J35" s="2821"/>
      <c r="K35" s="2822"/>
    </row>
    <row r="36" spans="1:11" s="2085" customFormat="1" ht="13.5" customHeight="1" thickBot="1">
      <c r="A36" s="284" t="s">
        <v>1842</v>
      </c>
      <c r="B36" s="2824"/>
      <c r="C36" s="2863">
        <f ca="1">ROUND((C6-C30-C33)/(1+D30+D33),0)</f>
        <v>84890</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15" t="str">
        <f>项目基本情况!B1</f>
        <v>山东省高密市鲁家村以东、大南曲、吴家村以西出让国有建设用地使用权抵押价格预评估</v>
      </c>
      <c r="C37" s="3215"/>
      <c r="D37" s="3215"/>
      <c r="E37" s="3215"/>
      <c r="F37" s="3215"/>
      <c r="G37" s="3215"/>
      <c r="H37" s="3215"/>
      <c r="I37" s="3215"/>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246533</v>
      </c>
      <c r="D13" s="451"/>
      <c r="E13" s="365"/>
      <c r="F13" s="452"/>
      <c r="G13" s="444"/>
      <c r="H13" s="447"/>
      <c r="I13" s="447"/>
      <c r="J13" s="447"/>
      <c r="K13" s="448"/>
    </row>
    <row r="14" spans="1:41" s="2116" customFormat="1" ht="13.5" customHeight="1">
      <c r="A14" s="1634" t="s">
        <v>1847</v>
      </c>
      <c r="B14" s="449" t="s">
        <v>477</v>
      </c>
      <c r="C14" s="53">
        <f ca="1">ROUND(C13*F14,0)</f>
        <v>8629</v>
      </c>
      <c r="D14" s="451"/>
      <c r="E14" s="365"/>
      <c r="F14" s="453">
        <f>'数据-取费表'!B33</f>
        <v>3.5000000000000003E-2</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22933</v>
      </c>
      <c r="D16" s="451">
        <f ca="1">IF(B1="",'数据-汇总表'!E3,INDIRECT("'数据-取费表'!K"&amp;$K$1)+INDIRECT("'数据-取费表'!S"&amp;$K$1))</f>
        <v>1146665.0899999999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3698</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281793</v>
      </c>
      <c r="D18" s="461"/>
      <c r="E18" s="462"/>
      <c r="F18" s="462"/>
      <c r="G18" s="1327" t="s">
        <v>2429</v>
      </c>
      <c r="H18" s="447"/>
      <c r="I18" s="447"/>
      <c r="J18" s="447"/>
      <c r="K18" s="448"/>
    </row>
    <row r="19" spans="1:14" s="2119" customFormat="1" ht="13.5" customHeight="1">
      <c r="A19" s="1635" t="s">
        <v>1852</v>
      </c>
      <c r="B19" s="459" t="s">
        <v>490</v>
      </c>
      <c r="C19" s="460">
        <f ca="1">ROUND(C18*F19,0)</f>
        <v>5636</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2.5000000000000001E-2</v>
      </c>
      <c r="D20" s="469" t="s">
        <v>502</v>
      </c>
      <c r="E20" s="469"/>
      <c r="F20" s="486">
        <f>'数据-取费表'!B38</f>
        <v>2.5000000000000001E-2</v>
      </c>
      <c r="G20" s="1327" t="s">
        <v>503</v>
      </c>
      <c r="H20" s="447"/>
      <c r="I20" s="447"/>
      <c r="J20" s="447"/>
      <c r="K20" s="448"/>
      <c r="L20" s="2121"/>
      <c r="M20" s="2121"/>
      <c r="N20" s="2121"/>
    </row>
    <row r="21" spans="1:14" s="2121" customFormat="1" ht="13.5" customHeight="1">
      <c r="A21" s="1635" t="s">
        <v>1856</v>
      </c>
      <c r="B21" s="461" t="s">
        <v>491</v>
      </c>
      <c r="C21" s="470">
        <f ca="1">C22</f>
        <v>27954</v>
      </c>
      <c r="D21" s="467">
        <f ca="1">C23</f>
        <v>2.3999999999999998E-3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27954</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2.3999999999999998E-3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34491</v>
      </c>
      <c r="D24" s="489">
        <f ca="1">C26</f>
        <v>3.0000000000000001E-3</v>
      </c>
      <c r="E24" s="469" t="s">
        <v>504</v>
      </c>
      <c r="F24" s="479">
        <f ca="1">IF(B1="",'数据-取费表'!Q16,INDIRECT("'数据-取费表'!q"&amp;$K$1))</f>
        <v>0.12</v>
      </c>
      <c r="G24" s="444"/>
      <c r="H24" s="447"/>
      <c r="I24" s="447"/>
      <c r="J24" s="447"/>
      <c r="K24" s="448"/>
    </row>
    <row r="25" spans="1:14" s="2120" customFormat="1" ht="13.5" customHeight="1">
      <c r="A25" s="1634" t="s">
        <v>1846</v>
      </c>
      <c r="B25" s="1328" t="s">
        <v>2433</v>
      </c>
      <c r="C25" s="490">
        <f ca="1">ROUND((C18+C19)*F24,0)</f>
        <v>34491</v>
      </c>
      <c r="D25" s="472"/>
      <c r="E25" s="473"/>
      <c r="F25" s="480"/>
      <c r="G25" s="1326" t="s">
        <v>2430</v>
      </c>
      <c r="H25" s="457"/>
      <c r="I25" s="457"/>
      <c r="J25" s="457"/>
      <c r="K25" s="458"/>
    </row>
    <row r="26" spans="1:14" s="2120" customFormat="1" ht="13.5" customHeight="1">
      <c r="A26" s="1634" t="s">
        <v>1847</v>
      </c>
      <c r="B26" s="1328" t="s">
        <v>506</v>
      </c>
      <c r="C26" s="491">
        <f ca="1">ROUND(F20*F24,4)</f>
        <v>3.0000000000000001E-3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381459</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1675</v>
      </c>
      <c r="D1" s="3124" t="s">
        <v>3134</v>
      </c>
      <c r="E1" s="2385" t="s">
        <v>2371</v>
      </c>
      <c r="F1" s="2386">
        <f ca="1">J53</f>
        <v>21.86</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536278</v>
      </c>
      <c r="C2" s="2057"/>
      <c r="D2" s="2055"/>
      <c r="E2" s="2056"/>
      <c r="F2" s="2056"/>
      <c r="G2" s="1591"/>
      <c r="H2" s="2057"/>
      <c r="I2" s="2057"/>
      <c r="J2" s="2057"/>
      <c r="K2" s="2058"/>
      <c r="L2" s="2057"/>
      <c r="M2" s="2057"/>
    </row>
    <row r="3" spans="1:33" ht="18" customHeight="1" thickBot="1">
      <c r="A3" s="833" t="s">
        <v>1725</v>
      </c>
      <c r="B3" s="834">
        <f ca="1">IF(ISERROR(B2*10000/F43),0,ROUND(B2*10000/F43,0))</f>
        <v>4677</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49930</v>
      </c>
      <c r="D5" s="2494" t="s">
        <v>2457</v>
      </c>
      <c r="E5" s="2488"/>
      <c r="F5" s="2489"/>
      <c r="G5" s="1593"/>
      <c r="H5" s="781">
        <v>1</v>
      </c>
      <c r="I5" s="782" t="s">
        <v>2454</v>
      </c>
      <c r="J5" s="55">
        <f ca="1">J6+J10+J12</f>
        <v>0</v>
      </c>
      <c r="K5" s="2494" t="s">
        <v>2457</v>
      </c>
      <c r="L5" s="2488"/>
      <c r="M5" s="2489"/>
    </row>
    <row r="6" spans="1:33" ht="18" customHeight="1">
      <c r="A6" s="1831" t="s">
        <v>1822</v>
      </c>
      <c r="B6" s="3423" t="s">
        <v>2459</v>
      </c>
      <c r="C6" s="783">
        <f ca="1">ROUND(F6*F8*F7*(1-F9)/10000,0)</f>
        <v>49805</v>
      </c>
      <c r="D6" s="2495" t="s">
        <v>2458</v>
      </c>
      <c r="E6" s="784" t="s">
        <v>1736</v>
      </c>
      <c r="F6" s="785">
        <f ca="1">INDIRECT("'数据-取费表'!u"&amp;$G$1)</f>
        <v>1.4</v>
      </c>
      <c r="G6" s="1593"/>
      <c r="H6" s="2502" t="s">
        <v>2464</v>
      </c>
      <c r="I6" s="3423" t="s">
        <v>2459</v>
      </c>
      <c r="J6" s="783">
        <f ca="1">ROUND(M6*M8*M7*(1-M9)/10000,0)</f>
        <v>0</v>
      </c>
      <c r="K6" s="341" t="s">
        <v>1735</v>
      </c>
      <c r="L6" s="784" t="s">
        <v>1736</v>
      </c>
      <c r="M6" s="785">
        <f ca="1">INDIRECT("'数据-取费表'!z"&amp;$G$1)</f>
        <v>0</v>
      </c>
    </row>
    <row r="7" spans="1:33" ht="18" customHeight="1">
      <c r="A7" s="2498"/>
      <c r="B7" s="3424"/>
      <c r="C7" s="788"/>
      <c r="D7" s="789"/>
      <c r="E7" s="784" t="s">
        <v>1737</v>
      </c>
      <c r="F7" s="785">
        <f ca="1">IF(INDIRECT("'数据-取费表'!ah"&amp;$G$1)="",INDIRECT("'数据-取费表'!k"&amp;$G$1),INDIRECT("'数据-取费表'!ah"&amp;$G$1))</f>
        <v>1146665.0899999999</v>
      </c>
      <c r="G7" s="1593"/>
      <c r="H7" s="2487"/>
      <c r="I7" s="3424"/>
      <c r="J7" s="788"/>
      <c r="K7" s="789"/>
      <c r="L7" s="784" t="s">
        <v>1737</v>
      </c>
      <c r="M7" s="785">
        <f ca="1">F7</f>
        <v>1146665.0899999999</v>
      </c>
    </row>
    <row r="8" spans="1:33" ht="18" customHeight="1">
      <c r="A8" s="2491"/>
      <c r="B8" s="3425"/>
      <c r="C8" s="788"/>
      <c r="D8" s="789"/>
      <c r="E8" s="784" t="s">
        <v>1738</v>
      </c>
      <c r="F8" s="785">
        <f ca="1">INDIRECT("'数据-取费表'!ai"&amp;$G$1)</f>
        <v>365</v>
      </c>
      <c r="G8" s="1593"/>
      <c r="H8" s="2487"/>
      <c r="I8" s="3425"/>
      <c r="J8" s="788"/>
      <c r="K8" s="789"/>
      <c r="L8" s="784" t="s">
        <v>1738</v>
      </c>
      <c r="M8" s="785">
        <f ca="1">INDIRECT("'数据-取费表'!ai"&amp;$G$1)</f>
        <v>365</v>
      </c>
    </row>
    <row r="9" spans="1:33" ht="18" customHeight="1">
      <c r="A9" s="786"/>
      <c r="B9" s="3426"/>
      <c r="C9" s="788"/>
      <c r="D9" s="789"/>
      <c r="E9" s="784" t="s">
        <v>1739</v>
      </c>
      <c r="F9" s="794">
        <f ca="1">INDIRECT("'数据-取费表'!w"&amp;$G$1)</f>
        <v>0.15</v>
      </c>
      <c r="G9" s="1593"/>
      <c r="H9" s="2503"/>
      <c r="I9" s="3425"/>
      <c r="J9" s="788"/>
      <c r="K9" s="789"/>
      <c r="L9" s="795" t="s">
        <v>1739</v>
      </c>
      <c r="M9" s="796">
        <f ca="1">INDIRECT("'数据-取费表'!ab"&amp;$G$1)</f>
        <v>0</v>
      </c>
    </row>
    <row r="10" spans="1:33" ht="18" customHeight="1">
      <c r="A10" s="1831" t="s">
        <v>2462</v>
      </c>
      <c r="B10" s="2492" t="s">
        <v>2455</v>
      </c>
      <c r="C10" s="799">
        <f ca="1">ROUND(IF(F10="押一",C6/12*F11,IF(F10="押二",C6/12*2*F11,IF(F10="押三",C6/12*3*F11,C11*F11))),0)</f>
        <v>125</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381459</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246533</v>
      </c>
      <c r="D14" s="1979" t="s">
        <v>1743</v>
      </c>
      <c r="E14" s="1980"/>
      <c r="F14" s="805"/>
      <c r="G14" s="1593"/>
      <c r="H14" s="1650" t="s">
        <v>1828</v>
      </c>
      <c r="I14" s="2231" t="s">
        <v>2822</v>
      </c>
      <c r="J14" s="53">
        <f ca="1">C29</f>
        <v>381459</v>
      </c>
      <c r="K14" s="26"/>
      <c r="L14" s="801"/>
      <c r="M14" s="802"/>
    </row>
    <row r="15" spans="1:33" s="2064" customFormat="1" ht="18" customHeight="1" thickBot="1">
      <c r="A15" s="1649" t="s">
        <v>1883</v>
      </c>
      <c r="B15" s="784" t="s">
        <v>644</v>
      </c>
      <c r="C15" s="53">
        <f ca="1">ROUND(C14*F15,0)</f>
        <v>8629</v>
      </c>
      <c r="D15" s="806" t="s">
        <v>1744</v>
      </c>
      <c r="E15" s="806" t="s">
        <v>1745</v>
      </c>
      <c r="F15" s="807">
        <f>'数据-取费表'!B33</f>
        <v>3.5000000000000003E-2</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37898</v>
      </c>
      <c r="K16" s="1822" t="s">
        <v>1748</v>
      </c>
      <c r="L16" s="2484"/>
      <c r="M16" s="2489"/>
    </row>
    <row r="17" spans="1:33" s="2064" customFormat="1" ht="18" customHeight="1">
      <c r="A17" s="1649" t="s">
        <v>1885</v>
      </c>
      <c r="B17" s="784" t="s">
        <v>650</v>
      </c>
      <c r="C17" s="53">
        <f ca="1">ROUND(F17*(F43+INDIRECT("'数据-取费表'!S"&amp;$G$1))/10000,0)</f>
        <v>22933</v>
      </c>
      <c r="D17" s="784" t="s">
        <v>1749</v>
      </c>
      <c r="E17" s="784" t="s">
        <v>1750</v>
      </c>
      <c r="F17" s="56">
        <f>'数据-取费表'!B35</f>
        <v>200</v>
      </c>
      <c r="G17" s="1594"/>
      <c r="H17" s="1650" t="s">
        <v>1828</v>
      </c>
      <c r="I17" s="784" t="s">
        <v>653</v>
      </c>
      <c r="J17" s="53">
        <f ca="1">ROUND(IF(项目基本情况!B11="自然人",J5*M17,J18+J19+J20),0)</f>
        <v>32176</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3698</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281793</v>
      </c>
      <c r="D19" s="261" t="s">
        <v>1755</v>
      </c>
      <c r="E19" s="1982"/>
      <c r="F19" s="56"/>
      <c r="G19" s="1593"/>
      <c r="H19" s="1649" t="s">
        <v>1883</v>
      </c>
      <c r="I19" s="784" t="s">
        <v>1756</v>
      </c>
      <c r="J19" s="53">
        <f ca="1">IF(K19="按租金收入计税",ROUND(J5*M19,1),ROUND(C29*F33*0.7,1))</f>
        <v>32042.6</v>
      </c>
      <c r="K19" s="811" t="s">
        <v>662</v>
      </c>
      <c r="L19" s="784" t="s">
        <v>1745</v>
      </c>
      <c r="M19" s="809">
        <f>IF(K19="按租金收入计税",'数据-取费表'!B51,'数据-取费表'!B50)</f>
        <v>1.2E-2</v>
      </c>
    </row>
    <row r="20" spans="1:33" s="2064" customFormat="1" ht="18" customHeight="1">
      <c r="A20" s="1650" t="s">
        <v>1887</v>
      </c>
      <c r="B20" s="784" t="s">
        <v>663</v>
      </c>
      <c r="C20" s="53">
        <f ca="1">ROUND(C19*F20,0)</f>
        <v>5636</v>
      </c>
      <c r="D20" s="812" t="s">
        <v>1757</v>
      </c>
      <c r="E20" s="784" t="s">
        <v>1745</v>
      </c>
      <c r="F20" s="809">
        <f>'数据-取费表'!B37</f>
        <v>0.02</v>
      </c>
      <c r="G20" s="1594"/>
      <c r="H20" s="1652" t="s">
        <v>1878</v>
      </c>
      <c r="I20" s="341" t="s">
        <v>1758</v>
      </c>
      <c r="J20" s="54">
        <f ca="1">ROUND(M20*M21/10000,0)</f>
        <v>133</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2.5000000000000001E-2</v>
      </c>
      <c r="G21" s="1594"/>
      <c r="H21" s="2504"/>
      <c r="I21" s="793"/>
      <c r="J21" s="69"/>
      <c r="K21" s="816"/>
      <c r="L21" s="784" t="s">
        <v>1764</v>
      </c>
      <c r="M21" s="785">
        <f ca="1">INDIRECT("'数据-取费表'!r"&amp;$G$1)</f>
        <v>266666.3</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5722</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27954</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2.3999999999999998E-3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-37898</v>
      </c>
      <c r="K25" s="2546" t="s">
        <v>1775</v>
      </c>
      <c r="L25" s="2547"/>
      <c r="M25" s="2548"/>
    </row>
    <row r="26" spans="1:33" ht="18" customHeight="1">
      <c r="A26" s="1649" t="s">
        <v>1829</v>
      </c>
      <c r="B26" s="784" t="s">
        <v>2435</v>
      </c>
      <c r="C26" s="53">
        <f ca="1">ROUND((C19+C20)*F26,0)</f>
        <v>34491</v>
      </c>
      <c r="D26" s="812" t="s">
        <v>1776</v>
      </c>
      <c r="E26" s="795" t="s">
        <v>1777</v>
      </c>
      <c r="F26" s="794">
        <f ca="1">INDIRECT("'数据-取费表'!q"&amp;$G$1)</f>
        <v>0.12</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3.0000000000000001E-3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381459</v>
      </c>
      <c r="D29" s="2543"/>
      <c r="E29" s="2544"/>
      <c r="F29" s="2545"/>
      <c r="G29" s="1594"/>
      <c r="H29" s="823" t="s">
        <v>1785</v>
      </c>
      <c r="I29" s="824" t="s">
        <v>1786</v>
      </c>
      <c r="J29" s="825">
        <f ca="1">ROUND(J26/(1+F40)^F41,0)</f>
        <v>0</v>
      </c>
      <c r="K29" s="826" t="s">
        <v>1787</v>
      </c>
      <c r="L29" s="827"/>
      <c r="M29" s="828">
        <f ca="1">INDIRECT("'数据-取费表'!k"&amp;$G$1)</f>
        <v>1146665.0899999999</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15534</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8740.2999999999993</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2615.4</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5991.6</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133.30000000000001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266666.3</v>
      </c>
      <c r="G35" s="2062"/>
      <c r="H35" s="2065"/>
      <c r="I35" s="837" t="s">
        <v>1812</v>
      </c>
      <c r="J35" s="838">
        <f ca="1">ROUND(C13*J36,0)</f>
        <v>32424</v>
      </c>
      <c r="K35" s="2078"/>
      <c r="L35" s="2077"/>
      <c r="M35" s="2077"/>
    </row>
    <row r="36" spans="1:18" ht="18" customHeight="1">
      <c r="A36" s="1650" t="s">
        <v>1887</v>
      </c>
      <c r="B36" s="784" t="s">
        <v>1800</v>
      </c>
      <c r="C36" s="53">
        <f ca="1">ROUND(C29*F36,1)</f>
        <v>5721.9</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572.20000000000005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499.3</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34396</v>
      </c>
      <c r="D39" s="2546" t="s">
        <v>1804</v>
      </c>
      <c r="E39" s="2547"/>
      <c r="F39" s="2548"/>
      <c r="G39" s="2062"/>
      <c r="H39" s="2077"/>
      <c r="I39" s="837" t="s">
        <v>1816</v>
      </c>
      <c r="J39" s="845">
        <f ca="1">ROUND(J35/C39,3)</f>
        <v>0.94299999999999995</v>
      </c>
      <c r="K39" s="2083"/>
      <c r="L39" s="2077"/>
      <c r="M39" s="2077"/>
    </row>
    <row r="40" spans="1:18" ht="18" customHeight="1">
      <c r="A40" s="781" t="s">
        <v>1893</v>
      </c>
      <c r="B40" s="2232" t="s">
        <v>2300</v>
      </c>
      <c r="C40" s="783">
        <f ca="1">ROUND(C39*(1-((1+F42)/(1+F40))^F41)/(F40-F42),0)</f>
        <v>536278</v>
      </c>
      <c r="D40" s="814" t="s">
        <v>1805</v>
      </c>
      <c r="E40" s="784" t="s">
        <v>2416</v>
      </c>
      <c r="F40" s="794">
        <f ca="1">INDIRECT("'数据-取费表'!I"&amp;$G$1)</f>
        <v>5.5E-2</v>
      </c>
      <c r="G40" s="2062"/>
      <c r="H40" s="2062"/>
      <c r="I40" s="837" t="s">
        <v>1817</v>
      </c>
      <c r="J40" s="845">
        <f ca="1">1-J39</f>
        <v>5.7000000000000051E-2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21.86</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0.71099999999999997</v>
      </c>
      <c r="K42" s="2082"/>
      <c r="L42" s="1988"/>
      <c r="M42" s="1988"/>
    </row>
    <row r="43" spans="1:18" ht="18" customHeight="1" thickBot="1">
      <c r="A43" s="823" t="s">
        <v>1785</v>
      </c>
      <c r="B43" s="824" t="s">
        <v>1808</v>
      </c>
      <c r="C43" s="825">
        <f ca="1">ROUND(C40*10000/F43,0)</f>
        <v>4677</v>
      </c>
      <c r="D43" s="826" t="s">
        <v>1809</v>
      </c>
      <c r="E43" s="827" t="s">
        <v>1810</v>
      </c>
      <c r="F43" s="828">
        <f ca="1">INDIRECT("'数据-取费表'!k"&amp;$G$1)</f>
        <v>1146665.0899999999</v>
      </c>
      <c r="G43" s="2062"/>
      <c r="H43" s="1988"/>
      <c r="I43" s="847" t="s">
        <v>1820</v>
      </c>
      <c r="J43" s="848">
        <f ca="1">1-J42</f>
        <v>0.28900000000000003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-616879</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25.86</v>
      </c>
      <c r="O48" s="2396" t="s">
        <v>2376</v>
      </c>
      <c r="P48" s="2397" t="s">
        <v>2402</v>
      </c>
      <c r="Q48" s="2398">
        <f ca="1">C40+J29</f>
        <v>536278</v>
      </c>
      <c r="R48" s="2397" t="s">
        <v>2377</v>
      </c>
    </row>
    <row r="49" spans="1:18" s="2059" customFormat="1" ht="18" customHeight="1" thickBot="1">
      <c r="A49" s="786"/>
      <c r="B49" s="787"/>
      <c r="C49" s="788"/>
      <c r="D49" s="789"/>
      <c r="E49" s="784" t="s">
        <v>1737</v>
      </c>
      <c r="F49" s="785">
        <f ca="1">F7</f>
        <v>1146665.0899999999</v>
      </c>
      <c r="G49" s="2090"/>
      <c r="H49" s="2093"/>
      <c r="I49" s="3125" t="s">
        <v>2343</v>
      </c>
      <c r="J49" s="2381">
        <v>2021</v>
      </c>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381459</v>
      </c>
      <c r="R50" s="2397" t="s">
        <v>2377</v>
      </c>
    </row>
    <row r="51" spans="1:18" s="2059" customFormat="1" ht="18" customHeight="1" thickBot="1">
      <c r="A51" s="786"/>
      <c r="B51" s="787"/>
      <c r="C51" s="788"/>
      <c r="D51" s="789"/>
      <c r="E51" s="784" t="s">
        <v>637</v>
      </c>
      <c r="F51" s="2369"/>
      <c r="H51" s="2093"/>
      <c r="I51" s="3150" t="s">
        <v>2345</v>
      </c>
      <c r="J51" s="3154">
        <f>IF(J49="",J50,J49+J50-YEAR('数据-取费表'!B2))</f>
        <v>62</v>
      </c>
      <c r="K51" s="3125" t="s">
        <v>2351</v>
      </c>
      <c r="L51" s="3161">
        <f ca="1">ROUND(-PV(INDIRECT("'数据-取费表'!h"&amp;$G$1),L48,(C39-C13*J36),0),0)</f>
        <v>28272</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21.86</v>
      </c>
      <c r="K53" s="3421" t="s">
        <v>2962</v>
      </c>
      <c r="L53" s="3422"/>
      <c r="O53" s="2399" t="s">
        <v>2385</v>
      </c>
      <c r="P53" s="2397" t="s">
        <v>2386</v>
      </c>
      <c r="Q53" s="2398">
        <f ca="1">J53</f>
        <v>21.86</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536278</v>
      </c>
      <c r="R54" s="2401" t="s">
        <v>2389</v>
      </c>
    </row>
    <row r="55" spans="1:18" s="2059" customFormat="1" ht="18" customHeight="1" thickTop="1" thickBot="1">
      <c r="A55" s="797">
        <v>2</v>
      </c>
      <c r="B55" s="798" t="s">
        <v>641</v>
      </c>
      <c r="C55" s="799">
        <f ca="1">C13</f>
        <v>381459</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381459</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6427</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536278</v>
      </c>
      <c r="R57" s="2397" t="s">
        <v>2377</v>
      </c>
    </row>
    <row r="58" spans="1:18" s="2059" customFormat="1" ht="28.5" customHeight="1" thickBot="1">
      <c r="A58" s="1650" t="s">
        <v>1822</v>
      </c>
      <c r="B58" s="784" t="s">
        <v>653</v>
      </c>
      <c r="C58" s="53">
        <f ca="1">ROUND(IF(项目基本情况!B11="自然人",C47*F58,C59+C60+C61),1)</f>
        <v>133.30000000000001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133.30000000000001</v>
      </c>
      <c r="D61" s="814" t="s">
        <v>666</v>
      </c>
      <c r="E61" s="784" t="s">
        <v>667</v>
      </c>
      <c r="F61" s="640">
        <f t="shared" si="0"/>
        <v>5</v>
      </c>
      <c r="K61" s="2086"/>
      <c r="O61" s="2399" t="s">
        <v>2383</v>
      </c>
      <c r="P61" s="2397" t="s">
        <v>2391</v>
      </c>
      <c r="Q61" s="2398" t="e">
        <f ca="1">L58</f>
        <v>#DIV/0!</v>
      </c>
      <c r="R61" s="2401" t="s">
        <v>2392</v>
      </c>
    </row>
    <row r="62" spans="1:18" s="2059" customFormat="1" ht="15.75" thickBot="1">
      <c r="A62" s="815"/>
      <c r="B62" s="793"/>
      <c r="C62" s="69"/>
      <c r="D62" s="816"/>
      <c r="E62" s="784" t="s">
        <v>671</v>
      </c>
      <c r="F62" s="785">
        <f t="shared" ca="1" si="0"/>
        <v>266666.3</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5.75" thickBot="1">
      <c r="A63" s="1650" t="s">
        <v>1887</v>
      </c>
      <c r="B63" s="784" t="s">
        <v>673</v>
      </c>
      <c r="C63" s="53">
        <f ca="1">ROUND(C56*F63,1)</f>
        <v>5721.9</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536278</v>
      </c>
      <c r="R63" s="2401" t="s">
        <v>2389</v>
      </c>
    </row>
    <row r="64" spans="1:18" s="2059" customFormat="1" ht="16.5" thickBot="1">
      <c r="A64" s="1650" t="s">
        <v>1888</v>
      </c>
      <c r="B64" s="784" t="s">
        <v>676</v>
      </c>
      <c r="C64" s="53">
        <f ca="1">ROUND(C55*F64,1)</f>
        <v>572.20000000000005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5.75"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75" thickBot="1">
      <c r="A66" s="797" t="s">
        <v>1774</v>
      </c>
      <c r="B66" s="3009" t="s">
        <v>2818</v>
      </c>
      <c r="C66" s="799">
        <f ca="1">C47-C57</f>
        <v>-6427</v>
      </c>
      <c r="D66" s="2636" t="s">
        <v>697</v>
      </c>
      <c r="E66" s="2635"/>
      <c r="F66" s="820"/>
      <c r="K66" s="2086"/>
      <c r="O66" s="2396" t="s">
        <v>2376</v>
      </c>
      <c r="P66" s="2397" t="s">
        <v>2406</v>
      </c>
      <c r="Q66" s="2398">
        <f ca="1">C40+J29</f>
        <v>536278</v>
      </c>
      <c r="R66" s="2397" t="s">
        <v>2377</v>
      </c>
    </row>
    <row r="67" spans="1:18" s="2059" customFormat="1" ht="20.25" thickBot="1">
      <c r="A67" s="781" t="s">
        <v>1778</v>
      </c>
      <c r="B67" s="2232" t="s">
        <v>2300</v>
      </c>
      <c r="C67" s="783">
        <f ca="1">ROUND(C66*(1-((1+F69)/(1+F67))^F68)/(F67-F69),0)</f>
        <v>-80601</v>
      </c>
      <c r="D67" s="814" t="s">
        <v>701</v>
      </c>
      <c r="E67" s="784" t="s">
        <v>702</v>
      </c>
      <c r="F67" s="794">
        <f ca="1">F40</f>
        <v>5.5E-2</v>
      </c>
      <c r="K67" s="2086"/>
      <c r="O67" s="2396" t="s">
        <v>2378</v>
      </c>
      <c r="P67" s="2397" t="s">
        <v>2409</v>
      </c>
      <c r="Q67" s="2398">
        <f ca="1">L60</f>
        <v>0</v>
      </c>
      <c r="R67" s="2401" t="s">
        <v>2411</v>
      </c>
    </row>
    <row r="68" spans="1:18" ht="21.75" thickBot="1">
      <c r="A68" s="786"/>
      <c r="B68" s="787"/>
      <c r="C68" s="788"/>
      <c r="D68" s="821" t="s">
        <v>1806</v>
      </c>
      <c r="E68" s="784" t="s">
        <v>1782</v>
      </c>
      <c r="F68" s="822">
        <f ca="1">F41</f>
        <v>21.86</v>
      </c>
      <c r="O68" s="2399" t="s">
        <v>2380</v>
      </c>
      <c r="P68" s="2397" t="s">
        <v>2410</v>
      </c>
      <c r="Q68" s="2403">
        <f ca="1">L51</f>
        <v>28272</v>
      </c>
      <c r="R68" s="2404" t="s">
        <v>2413</v>
      </c>
    </row>
    <row r="69" spans="1:18" ht="20.25" thickBot="1">
      <c r="A69" s="790"/>
      <c r="B69" s="791"/>
      <c r="C69" s="792"/>
      <c r="D69" s="816"/>
      <c r="E69" s="784" t="s">
        <v>707</v>
      </c>
      <c r="F69" s="2369"/>
      <c r="O69" s="2399" t="s">
        <v>2381</v>
      </c>
      <c r="P69" s="2405" t="s">
        <v>2395</v>
      </c>
      <c r="Q69" s="2398">
        <f ca="1">ROUND(Q70-Q71*Q72,0)</f>
        <v>1972</v>
      </c>
      <c r="R69" s="2401"/>
    </row>
    <row r="70" spans="1:18" ht="15.75" thickBot="1">
      <c r="A70" s="823" t="s">
        <v>1785</v>
      </c>
      <c r="B70" s="824" t="s">
        <v>1808</v>
      </c>
      <c r="C70" s="825">
        <f ca="1">ROUND(C67*10000/F70,0)</f>
        <v>-703</v>
      </c>
      <c r="D70" s="826" t="s">
        <v>1809</v>
      </c>
      <c r="E70" s="827" t="s">
        <v>1810</v>
      </c>
      <c r="F70" s="828">
        <f ca="1">F43</f>
        <v>1146665.0899999999</v>
      </c>
      <c r="O70" s="2399" t="s">
        <v>2396</v>
      </c>
      <c r="P70" s="2405" t="s">
        <v>2397</v>
      </c>
      <c r="Q70" s="2398">
        <f ca="1">C39</f>
        <v>34396</v>
      </c>
      <c r="R70" s="2397" t="s">
        <v>2377</v>
      </c>
    </row>
    <row r="71" spans="1:18" ht="15.75" thickBot="1">
      <c r="O71" s="2399" t="s">
        <v>2398</v>
      </c>
      <c r="P71" s="2405" t="s">
        <v>2399</v>
      </c>
      <c r="Q71" s="2398">
        <f ca="1">C13</f>
        <v>381459</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536278</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518</v>
      </c>
      <c r="B6" s="513"/>
      <c r="C6" s="3383" t="s">
        <v>519</v>
      </c>
      <c r="D6" s="3384"/>
      <c r="E6" s="3432" t="s">
        <v>520</v>
      </c>
      <c r="F6" s="3433"/>
      <c r="G6" s="3383" t="s">
        <v>521</v>
      </c>
      <c r="H6" s="3384"/>
      <c r="I6" s="3383" t="s">
        <v>522</v>
      </c>
      <c r="J6" s="3384"/>
      <c r="K6" s="514" t="s">
        <v>523</v>
      </c>
      <c r="L6" s="2133"/>
      <c r="M6" s="2134"/>
      <c r="N6" s="2134"/>
      <c r="O6" s="2134"/>
      <c r="P6" s="3385" t="s">
        <v>524</v>
      </c>
      <c r="Q6" s="3386"/>
      <c r="R6" s="3391" t="s">
        <v>520</v>
      </c>
      <c r="S6" s="3392"/>
      <c r="T6" s="3391" t="s">
        <v>521</v>
      </c>
      <c r="U6" s="3392"/>
      <c r="V6" s="3403" t="s">
        <v>522</v>
      </c>
      <c r="W6" s="3403"/>
      <c r="X6" s="1568"/>
      <c r="Y6" s="3391" t="s">
        <v>524</v>
      </c>
      <c r="Z6" s="3392"/>
      <c r="AA6" s="3380" t="s">
        <v>520</v>
      </c>
      <c r="AB6" s="3381" t="s">
        <v>521</v>
      </c>
      <c r="AC6" s="3380" t="s">
        <v>522</v>
      </c>
    </row>
    <row r="7" spans="1:29" ht="15">
      <c r="A7" s="515"/>
      <c r="B7" s="516"/>
      <c r="C7" s="3395" t="s">
        <v>2923</v>
      </c>
      <c r="D7" s="3396"/>
      <c r="E7" s="3434" t="s">
        <v>2924</v>
      </c>
      <c r="F7" s="3435"/>
      <c r="G7" s="3395" t="s">
        <v>2925</v>
      </c>
      <c r="H7" s="3396"/>
      <c r="I7" s="3395" t="s">
        <v>2926</v>
      </c>
      <c r="J7" s="3396"/>
      <c r="K7" s="514"/>
      <c r="L7" s="2133"/>
      <c r="M7" s="2134"/>
      <c r="N7" s="2134"/>
      <c r="O7" s="2134"/>
      <c r="P7" s="3387"/>
      <c r="Q7" s="3388"/>
      <c r="R7" s="3393"/>
      <c r="S7" s="3394"/>
      <c r="T7" s="3393"/>
      <c r="U7" s="3394"/>
      <c r="V7" s="3403"/>
      <c r="W7" s="3403"/>
      <c r="X7" s="1568"/>
      <c r="Y7" s="3393"/>
      <c r="Z7" s="3394"/>
      <c r="AA7" s="3381"/>
      <c r="AB7" s="3381"/>
      <c r="AC7" s="3381"/>
    </row>
    <row r="8" spans="1:29" ht="15.75" thickBot="1">
      <c r="A8" s="517"/>
      <c r="B8" s="518"/>
      <c r="C8" s="3399" t="s">
        <v>2927</v>
      </c>
      <c r="D8" s="3400"/>
      <c r="E8" s="3436" t="s">
        <v>2927</v>
      </c>
      <c r="F8" s="3437"/>
      <c r="G8" s="3399" t="s">
        <v>2927</v>
      </c>
      <c r="H8" s="3400"/>
      <c r="I8" s="3399" t="s">
        <v>2927</v>
      </c>
      <c r="J8" s="3400"/>
      <c r="K8" s="514" t="s">
        <v>525</v>
      </c>
      <c r="L8" s="2133"/>
      <c r="M8" s="2134"/>
      <c r="N8" s="2134"/>
      <c r="O8" s="2134"/>
      <c r="P8" s="3389"/>
      <c r="Q8" s="3390"/>
      <c r="R8" s="3393"/>
      <c r="S8" s="3394"/>
      <c r="T8" s="3401"/>
      <c r="U8" s="3402"/>
      <c r="V8" s="3403"/>
      <c r="W8" s="3403"/>
      <c r="X8" s="1568"/>
      <c r="Y8" s="3401"/>
      <c r="Z8" s="3402"/>
      <c r="AA8" s="3382"/>
      <c r="AB8" s="3382"/>
      <c r="AC8" s="3382"/>
    </row>
    <row r="9" spans="1:29" s="1220" customFormat="1" ht="15.75" thickBot="1">
      <c r="A9" s="2910"/>
      <c r="B9" s="2917" t="s">
        <v>526</v>
      </c>
      <c r="C9" s="519">
        <f>'数据-取费表'!B2</f>
        <v>43578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4" t="s">
        <v>527</v>
      </c>
      <c r="Q9" s="3405"/>
      <c r="R9" s="1569" t="s">
        <v>8</v>
      </c>
      <c r="S9" s="1570">
        <f t="shared" ref="S9:S17" si="0">F9</f>
        <v>0</v>
      </c>
      <c r="T9" s="1569" t="s">
        <v>8</v>
      </c>
      <c r="U9" s="1570">
        <f t="shared" ref="U9:U17" si="1">H9</f>
        <v>0</v>
      </c>
      <c r="V9" s="1569" t="s">
        <v>8</v>
      </c>
      <c r="W9" s="1570">
        <f t="shared" ref="W9:W17" si="2">J9</f>
        <v>0</v>
      </c>
      <c r="X9" s="1571"/>
      <c r="Y9" s="3404" t="s">
        <v>527</v>
      </c>
      <c r="Z9" s="3406"/>
      <c r="AA9" s="1572" t="e">
        <f>D9/F9</f>
        <v>#DIV/0!</v>
      </c>
      <c r="AB9" s="1572" t="e">
        <f>D9/H9</f>
        <v>#DIV/0!</v>
      </c>
      <c r="AC9" s="1572" t="e">
        <f>D9/J9</f>
        <v>#DIV/0!</v>
      </c>
    </row>
    <row r="10" spans="1:29" s="1220"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4" t="s">
        <v>530</v>
      </c>
      <c r="Q10" s="3406"/>
      <c r="R10" s="1569" t="s">
        <v>8</v>
      </c>
      <c r="S10" s="1570">
        <f t="shared" si="0"/>
        <v>0</v>
      </c>
      <c r="T10" s="1569" t="s">
        <v>8</v>
      </c>
      <c r="U10" s="1570">
        <f t="shared" si="1"/>
        <v>0</v>
      </c>
      <c r="V10" s="1569" t="s">
        <v>8</v>
      </c>
      <c r="W10" s="1570">
        <f t="shared" si="2"/>
        <v>0</v>
      </c>
      <c r="X10" s="1571"/>
      <c r="Y10" s="3404" t="s">
        <v>530</v>
      </c>
      <c r="Z10" s="3406"/>
      <c r="AA10" s="1572" t="e">
        <f t="shared" ref="AA10:AA42" si="3">D10/F10</f>
        <v>#DIV/0!</v>
      </c>
      <c r="AB10" s="1572" t="e">
        <f t="shared" ref="AB10:AB42" si="4">D10/H10</f>
        <v>#DIV/0!</v>
      </c>
      <c r="AC10" s="1572" t="e">
        <f t="shared" ref="AC10:AC42" si="5">D10/J10</f>
        <v>#DIV/0!</v>
      </c>
    </row>
    <row r="11" spans="1:29" s="1220"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7" t="s">
        <v>532</v>
      </c>
      <c r="Q11" s="1151" t="str">
        <f t="shared" ref="Q11:Q17" si="6">B11</f>
        <v>用途</v>
      </c>
      <c r="R11" s="1569" t="s">
        <v>8</v>
      </c>
      <c r="S11" s="1570">
        <f t="shared" si="0"/>
        <v>100</v>
      </c>
      <c r="T11" s="1569" t="s">
        <v>8</v>
      </c>
      <c r="U11" s="1570">
        <f t="shared" si="1"/>
        <v>100</v>
      </c>
      <c r="V11" s="1569" t="s">
        <v>8</v>
      </c>
      <c r="W11" s="1570">
        <f t="shared" si="2"/>
        <v>100</v>
      </c>
      <c r="X11" s="1571"/>
      <c r="Y11" s="3353" t="s">
        <v>533</v>
      </c>
      <c r="Z11" s="1150" t="str">
        <f t="shared" ref="Z11:Z17" si="7">Q11</f>
        <v>用途</v>
      </c>
      <c r="AA11" s="1572">
        <f t="shared" si="3"/>
        <v>1</v>
      </c>
      <c r="AB11" s="1572">
        <f t="shared" si="4"/>
        <v>1</v>
      </c>
      <c r="AC11" s="1572">
        <f t="shared" si="5"/>
        <v>1</v>
      </c>
    </row>
    <row r="12" spans="1:29" s="1338" customFormat="1" ht="27">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407"/>
      <c r="Q12" s="1151" t="str">
        <f t="shared" si="6"/>
        <v>土地使用年限（年）</v>
      </c>
      <c r="R12" s="1569" t="s">
        <v>8</v>
      </c>
      <c r="S12" s="1570">
        <f t="shared" si="0"/>
        <v>120</v>
      </c>
      <c r="T12" s="1569" t="s">
        <v>8</v>
      </c>
      <c r="U12" s="1570">
        <f t="shared" si="1"/>
        <v>120</v>
      </c>
      <c r="V12" s="1569" t="s">
        <v>8</v>
      </c>
      <c r="W12" s="1570">
        <f t="shared" si="2"/>
        <v>120</v>
      </c>
      <c r="X12" s="1571"/>
      <c r="Y12" s="3353"/>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7"/>
      <c r="Q13" s="1151" t="str">
        <f t="shared" si="6"/>
        <v>容积率</v>
      </c>
      <c r="R13" s="1569" t="s">
        <v>8</v>
      </c>
      <c r="S13" s="1570" t="e">
        <f t="shared" si="0"/>
        <v>#N/A</v>
      </c>
      <c r="T13" s="1569" t="s">
        <v>8</v>
      </c>
      <c r="U13" s="1570" t="e">
        <f t="shared" si="1"/>
        <v>#N/A</v>
      </c>
      <c r="V13" s="1569" t="s">
        <v>8</v>
      </c>
      <c r="W13" s="1570" t="e">
        <f t="shared" si="2"/>
        <v>#N/A</v>
      </c>
      <c r="X13" s="1571"/>
      <c r="Y13" s="3353"/>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 t="shared" si="3"/>
        <v>1</v>
      </c>
      <c r="AB16" s="1572">
        <f t="shared" si="4"/>
        <v>1</v>
      </c>
      <c r="AC16" s="1572">
        <f t="shared" si="5"/>
        <v>1</v>
      </c>
    </row>
    <row r="17" spans="1:29" ht="57">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537</v>
      </c>
      <c r="Q17" s="1573" t="str">
        <f t="shared" si="6"/>
        <v>产业集聚程度</v>
      </c>
      <c r="R17" s="1574" t="s">
        <v>8</v>
      </c>
      <c r="S17" s="1575">
        <f t="shared" si="0"/>
        <v>100</v>
      </c>
      <c r="T17" s="1574" t="s">
        <v>8</v>
      </c>
      <c r="U17" s="1575">
        <f t="shared" si="1"/>
        <v>100</v>
      </c>
      <c r="V17" s="1574" t="s">
        <v>8</v>
      </c>
      <c r="W17" s="1575">
        <f t="shared" si="2"/>
        <v>100</v>
      </c>
      <c r="X17" s="1568"/>
      <c r="Y17" s="3408"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9"/>
      <c r="Q18" s="1573"/>
      <c r="R18" s="1574"/>
      <c r="S18" s="1575"/>
      <c r="T18" s="1574"/>
      <c r="U18" s="1575"/>
      <c r="V18" s="1574"/>
      <c r="W18" s="1575"/>
      <c r="X18" s="1568"/>
      <c r="Y18" s="3409"/>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3" t="str">
        <f>B19</f>
        <v>交通便捷度</v>
      </c>
      <c r="R19" s="1574" t="s">
        <v>8</v>
      </c>
      <c r="S19" s="1575">
        <f>F19</f>
        <v>100</v>
      </c>
      <c r="T19" s="1574" t="s">
        <v>8</v>
      </c>
      <c r="U19" s="1575">
        <f>H19</f>
        <v>100</v>
      </c>
      <c r="V19" s="1574" t="s">
        <v>8</v>
      </c>
      <c r="W19" s="1575">
        <f>J19</f>
        <v>100</v>
      </c>
      <c r="X19" s="1568"/>
      <c r="Y19" s="340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9"/>
      <c r="Q21" s="1573" t="str">
        <f t="shared" ref="Q21:Q35" si="8">B21</f>
        <v>区域土地利用方向</v>
      </c>
      <c r="R21" s="1574" t="s">
        <v>8</v>
      </c>
      <c r="S21" s="1575">
        <f>F21</f>
        <v>100</v>
      </c>
      <c r="T21" s="1574" t="s">
        <v>8</v>
      </c>
      <c r="U21" s="1575">
        <f>H21</f>
        <v>100</v>
      </c>
      <c r="V21" s="1574" t="s">
        <v>8</v>
      </c>
      <c r="W21" s="1575">
        <f>J21</f>
        <v>100</v>
      </c>
      <c r="X21" s="1568"/>
      <c r="Y21" s="340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9"/>
      <c r="Q22" s="1573"/>
      <c r="R22" s="1574"/>
      <c r="S22" s="1575"/>
      <c r="T22" s="1574"/>
      <c r="U22" s="1575"/>
      <c r="V22" s="1574"/>
      <c r="W22" s="1575"/>
      <c r="X22" s="1568"/>
      <c r="Y22" s="3409"/>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3" t="str">
        <f t="shared" si="8"/>
        <v>环境状况</v>
      </c>
      <c r="R23" s="1574" t="s">
        <v>8</v>
      </c>
      <c r="S23" s="1575">
        <f>F23</f>
        <v>100</v>
      </c>
      <c r="T23" s="1574" t="s">
        <v>8</v>
      </c>
      <c r="U23" s="1575">
        <f>H23</f>
        <v>100</v>
      </c>
      <c r="V23" s="1574" t="s">
        <v>8</v>
      </c>
      <c r="W23" s="1575">
        <f>J23</f>
        <v>100</v>
      </c>
      <c r="X23" s="1568"/>
      <c r="Y23" s="340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9"/>
      <c r="Q24" s="1573"/>
      <c r="R24" s="1574"/>
      <c r="S24" s="1575"/>
      <c r="T24" s="1574"/>
      <c r="U24" s="1575"/>
      <c r="V24" s="1574"/>
      <c r="W24" s="1575"/>
      <c r="X24" s="1568"/>
      <c r="Y24" s="3409"/>
      <c r="Z24" s="1576"/>
      <c r="AA24" s="1577">
        <v>1</v>
      </c>
      <c r="AB24" s="1577">
        <v>1</v>
      </c>
      <c r="AC24" s="1577">
        <v>1</v>
      </c>
    </row>
    <row r="25" spans="1:29" s="1220" customFormat="1" ht="42.75">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1" t="str">
        <f t="shared" si="8"/>
        <v>公共配套设施</v>
      </c>
      <c r="R25" s="1569" t="s">
        <v>8</v>
      </c>
      <c r="S25" s="1570">
        <f>F25</f>
        <v>100</v>
      </c>
      <c r="T25" s="1569" t="s">
        <v>8</v>
      </c>
      <c r="U25" s="1570">
        <f>H25</f>
        <v>100</v>
      </c>
      <c r="V25" s="1569" t="s">
        <v>8</v>
      </c>
      <c r="W25" s="1570">
        <f>J25</f>
        <v>100</v>
      </c>
      <c r="X25" s="1571"/>
      <c r="Y25" s="3409"/>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409"/>
      <c r="Q26" s="1151"/>
      <c r="R26" s="1569"/>
      <c r="S26" s="1570"/>
      <c r="T26" s="1569"/>
      <c r="U26" s="1570"/>
      <c r="V26" s="1569"/>
      <c r="W26" s="1570"/>
      <c r="X26" s="1571"/>
      <c r="Y26" s="3409"/>
      <c r="Z26" s="1150"/>
      <c r="AA26" s="1572">
        <v>1</v>
      </c>
      <c r="AB26" s="1572">
        <v>1</v>
      </c>
      <c r="AC26" s="1572">
        <v>1</v>
      </c>
    </row>
    <row r="27" spans="1:29" s="1220" customFormat="1" ht="28.5">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76" t="str">
        <f t="shared" ref="Q27" si="9">B27</f>
        <v>基础设施水平</v>
      </c>
      <c r="R27" s="1569" t="s">
        <v>8</v>
      </c>
      <c r="S27" s="1570">
        <f>F27</f>
        <v>100</v>
      </c>
      <c r="T27" s="1569" t="s">
        <v>8</v>
      </c>
      <c r="U27" s="1570">
        <f>H27</f>
        <v>100</v>
      </c>
      <c r="V27" s="1569" t="s">
        <v>8</v>
      </c>
      <c r="W27" s="1570">
        <f>J27</f>
        <v>100</v>
      </c>
      <c r="X27" s="1571"/>
      <c r="Y27" s="3409"/>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409"/>
      <c r="Q28" s="2576"/>
      <c r="R28" s="1569"/>
      <c r="S28" s="1570"/>
      <c r="T28" s="1569"/>
      <c r="U28" s="1570"/>
      <c r="V28" s="1569"/>
      <c r="W28" s="1570"/>
      <c r="X28" s="1571"/>
      <c r="Y28" s="3409"/>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9"/>
      <c r="Z29" s="1576" t="str">
        <f t="shared" ref="Z29:Z42" si="13">Q29</f>
        <v>临街状况</v>
      </c>
      <c r="AA29" s="1577">
        <f t="shared" si="3"/>
        <v>1</v>
      </c>
      <c r="AB29" s="1577">
        <f t="shared" si="4"/>
        <v>1</v>
      </c>
      <c r="AC29" s="1577">
        <f t="shared" si="5"/>
        <v>1</v>
      </c>
    </row>
    <row r="30" spans="1:29" ht="27">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3" t="str">
        <f t="shared" si="8"/>
        <v>毗邻道路的类型与等级</v>
      </c>
      <c r="R30" s="1574" t="s">
        <v>8</v>
      </c>
      <c r="S30" s="1575">
        <f t="shared" si="10"/>
        <v>100</v>
      </c>
      <c r="T30" s="1574" t="s">
        <v>8</v>
      </c>
      <c r="U30" s="1575">
        <f t="shared" si="11"/>
        <v>100</v>
      </c>
      <c r="V30" s="1574" t="s">
        <v>8</v>
      </c>
      <c r="W30" s="1575">
        <f t="shared" si="12"/>
        <v>100</v>
      </c>
      <c r="X30" s="1568"/>
      <c r="Y30" s="340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9"/>
      <c r="Q31" s="1573"/>
      <c r="R31" s="1574"/>
      <c r="S31" s="1575"/>
      <c r="T31" s="1574"/>
      <c r="U31" s="1575"/>
      <c r="V31" s="1574"/>
      <c r="W31" s="1575"/>
      <c r="X31" s="1568"/>
      <c r="Y31" s="3409"/>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3" t="str">
        <f t="shared" si="8"/>
        <v>土地级别</v>
      </c>
      <c r="R32" s="1574" t="s">
        <v>8</v>
      </c>
      <c r="S32" s="1575">
        <f t="shared" si="10"/>
        <v>100</v>
      </c>
      <c r="T32" s="1574" t="s">
        <v>8</v>
      </c>
      <c r="U32" s="1575">
        <f t="shared" si="11"/>
        <v>100</v>
      </c>
      <c r="V32" s="1574" t="s">
        <v>8</v>
      </c>
      <c r="W32" s="1575">
        <f t="shared" si="12"/>
        <v>100</v>
      </c>
      <c r="X32" s="1568"/>
      <c r="Y32" s="340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3">
        <f t="shared" si="8"/>
        <v>111</v>
      </c>
      <c r="R33" s="1574" t="s">
        <v>8</v>
      </c>
      <c r="S33" s="1575">
        <f t="shared" si="10"/>
        <v>100</v>
      </c>
      <c r="T33" s="1574" t="s">
        <v>8</v>
      </c>
      <c r="U33" s="1575">
        <f t="shared" si="11"/>
        <v>100</v>
      </c>
      <c r="V33" s="1574" t="s">
        <v>8</v>
      </c>
      <c r="W33" s="1575">
        <f t="shared" si="12"/>
        <v>100</v>
      </c>
      <c r="X33" s="1568"/>
      <c r="Y33" s="340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4" t="s">
        <v>547</v>
      </c>
      <c r="Q34" s="1573">
        <f t="shared" si="8"/>
        <v>111</v>
      </c>
      <c r="R34" s="1574" t="s">
        <v>8</v>
      </c>
      <c r="S34" s="1575">
        <f t="shared" si="10"/>
        <v>100</v>
      </c>
      <c r="T34" s="1574" t="s">
        <v>8</v>
      </c>
      <c r="U34" s="1575">
        <f t="shared" si="11"/>
        <v>100</v>
      </c>
      <c r="V34" s="1574" t="s">
        <v>8</v>
      </c>
      <c r="W34" s="1575">
        <f t="shared" si="12"/>
        <v>100</v>
      </c>
      <c r="X34" s="1568"/>
      <c r="Y34" s="3415" t="s">
        <v>547</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5"/>
      <c r="Q35" s="1573">
        <f t="shared" si="8"/>
        <v>111</v>
      </c>
      <c r="R35" s="1578" t="s">
        <v>8</v>
      </c>
      <c r="S35" s="1579">
        <f t="shared" si="10"/>
        <v>100</v>
      </c>
      <c r="T35" s="1578" t="s">
        <v>8</v>
      </c>
      <c r="U35" s="1579">
        <f t="shared" si="11"/>
        <v>100</v>
      </c>
      <c r="V35" s="1578" t="s">
        <v>8</v>
      </c>
      <c r="W35" s="1579">
        <f t="shared" si="12"/>
        <v>100</v>
      </c>
      <c r="X35" s="1580"/>
      <c r="Y35" s="3415"/>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5"/>
      <c r="Q36" s="1573" t="str">
        <f>B36</f>
        <v>宗地面积</v>
      </c>
      <c r="R36" s="1574" t="s">
        <v>8</v>
      </c>
      <c r="S36" s="1575" t="e">
        <f t="shared" si="10"/>
        <v>#N/A</v>
      </c>
      <c r="T36" s="1574" t="s">
        <v>8</v>
      </c>
      <c r="U36" s="1575" t="e">
        <f t="shared" si="11"/>
        <v>#N/A</v>
      </c>
      <c r="V36" s="1574" t="s">
        <v>8</v>
      </c>
      <c r="W36" s="1575" t="e">
        <f t="shared" si="12"/>
        <v>#N/A</v>
      </c>
      <c r="X36" s="1568"/>
      <c r="Y36" s="3415"/>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5"/>
      <c r="Q37" s="1573" t="str">
        <f t="shared" ref="Q37:Q42" si="14">B37</f>
        <v>宗地形状</v>
      </c>
      <c r="R37" s="1574" t="s">
        <v>8</v>
      </c>
      <c r="S37" s="1575">
        <f t="shared" si="10"/>
        <v>100</v>
      </c>
      <c r="T37" s="1574" t="s">
        <v>8</v>
      </c>
      <c r="U37" s="1575">
        <f t="shared" si="11"/>
        <v>100</v>
      </c>
      <c r="V37" s="1574" t="s">
        <v>8</v>
      </c>
      <c r="W37" s="1575">
        <f t="shared" si="12"/>
        <v>100</v>
      </c>
      <c r="X37" s="1568"/>
      <c r="Y37" s="3415"/>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5"/>
      <c r="Q38" s="1573" t="str">
        <f t="shared" si="14"/>
        <v>宗地开发程度</v>
      </c>
      <c r="R38" s="1569" t="s">
        <v>8</v>
      </c>
      <c r="S38" s="1570">
        <f t="shared" si="10"/>
        <v>100</v>
      </c>
      <c r="T38" s="1569" t="s">
        <v>8</v>
      </c>
      <c r="U38" s="1570">
        <f t="shared" si="11"/>
        <v>100</v>
      </c>
      <c r="V38" s="1569" t="s">
        <v>8</v>
      </c>
      <c r="W38" s="1570">
        <f t="shared" si="12"/>
        <v>100</v>
      </c>
      <c r="X38" s="1571"/>
      <c r="Y38" s="3415"/>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t="s">
        <v>598</v>
      </c>
      <c r="Q39" s="1573" t="str">
        <f t="shared" si="14"/>
        <v>工程地质条件</v>
      </c>
      <c r="R39" s="1574" t="s">
        <v>8</v>
      </c>
      <c r="S39" s="1575">
        <f t="shared" si="10"/>
        <v>100</v>
      </c>
      <c r="T39" s="1574" t="s">
        <v>8</v>
      </c>
      <c r="U39" s="1575">
        <f t="shared" si="11"/>
        <v>100</v>
      </c>
      <c r="V39" s="1574" t="s">
        <v>8</v>
      </c>
      <c r="W39" s="1575">
        <f t="shared" si="12"/>
        <v>100</v>
      </c>
      <c r="X39" s="1568"/>
      <c r="Y39" s="3415"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5"/>
      <c r="Q40" s="1573">
        <f t="shared" si="14"/>
        <v>111</v>
      </c>
      <c r="R40" s="1574" t="s">
        <v>8</v>
      </c>
      <c r="S40" s="1575">
        <f t="shared" si="10"/>
        <v>100</v>
      </c>
      <c r="T40" s="1574" t="s">
        <v>8</v>
      </c>
      <c r="U40" s="1575">
        <f t="shared" si="11"/>
        <v>100</v>
      </c>
      <c r="V40" s="1574" t="s">
        <v>8</v>
      </c>
      <c r="W40" s="1575">
        <f t="shared" si="12"/>
        <v>100</v>
      </c>
      <c r="X40" s="1568"/>
      <c r="Y40" s="34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5"/>
      <c r="Q41" s="1573">
        <f t="shared" si="14"/>
        <v>111</v>
      </c>
      <c r="R41" s="1574" t="s">
        <v>8</v>
      </c>
      <c r="S41" s="1575">
        <f t="shared" si="10"/>
        <v>100</v>
      </c>
      <c r="T41" s="1574" t="s">
        <v>8</v>
      </c>
      <c r="U41" s="1575">
        <f t="shared" si="11"/>
        <v>100</v>
      </c>
      <c r="V41" s="1574" t="s">
        <v>8</v>
      </c>
      <c r="W41" s="1575">
        <f t="shared" si="12"/>
        <v>100</v>
      </c>
      <c r="X41" s="1568"/>
      <c r="Y41" s="34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5"/>
      <c r="Q42" s="1573">
        <f t="shared" si="14"/>
        <v>111</v>
      </c>
      <c r="R42" s="1578" t="s">
        <v>8</v>
      </c>
      <c r="S42" s="1579">
        <f t="shared" si="10"/>
        <v>100</v>
      </c>
      <c r="T42" s="1578" t="s">
        <v>8</v>
      </c>
      <c r="U42" s="1579">
        <f t="shared" si="11"/>
        <v>100</v>
      </c>
      <c r="V42" s="1578" t="s">
        <v>8</v>
      </c>
      <c r="W42" s="1579">
        <f t="shared" si="12"/>
        <v>100</v>
      </c>
      <c r="X42" s="1580"/>
      <c r="Y42" s="3415"/>
      <c r="Z42" s="1581">
        <f t="shared" si="13"/>
        <v>111</v>
      </c>
      <c r="AA42" s="1577">
        <f t="shared" si="3"/>
        <v>1</v>
      </c>
      <c r="AB42" s="1577">
        <f t="shared" si="4"/>
        <v>1</v>
      </c>
      <c r="AC42" s="1577">
        <f t="shared" si="5"/>
        <v>1</v>
      </c>
    </row>
    <row r="43" spans="1:29" ht="15">
      <c r="A43" s="607" t="s">
        <v>553</v>
      </c>
      <c r="B43" s="608" t="s">
        <v>2928</v>
      </c>
      <c r="C43" s="609" t="s">
        <v>1</v>
      </c>
      <c r="D43" s="610"/>
      <c r="E43" s="611"/>
      <c r="F43" s="612"/>
      <c r="G43" s="613"/>
      <c r="H43" s="614"/>
      <c r="I43" s="611"/>
      <c r="J43" s="614"/>
      <c r="K43" s="1340"/>
      <c r="L43" s="2144"/>
      <c r="M43" s="2134"/>
      <c r="N43" s="2134"/>
      <c r="O43" s="2145"/>
      <c r="P43" s="3407" t="str">
        <f>A43</f>
        <v>成交单价</v>
      </c>
      <c r="Q43" s="3407"/>
      <c r="R43" s="3403">
        <f>E43</f>
        <v>0</v>
      </c>
      <c r="S43" s="3403"/>
      <c r="T43" s="3403">
        <f>G43</f>
        <v>0</v>
      </c>
      <c r="U43" s="3403"/>
      <c r="V43" s="3403">
        <f>I43</f>
        <v>0</v>
      </c>
      <c r="W43" s="3403"/>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407" t="str">
        <f>A44</f>
        <v>比较价格（元/平方米）</v>
      </c>
      <c r="Q44" s="3407"/>
      <c r="R44" s="3410" t="e">
        <f>ROUND(PRODUCT(R43,AA9:AA42),0)</f>
        <v>#DIV/0!</v>
      </c>
      <c r="S44" s="3410"/>
      <c r="T44" s="3410" t="e">
        <f>ROUND(PRODUCT(T43,AB9:AB42),0)</f>
        <v>#DIV/0!</v>
      </c>
      <c r="U44" s="3410"/>
      <c r="V44" s="3410" t="e">
        <f>ROUND(PRODUCT(V43,AC9:AC42),0)</f>
        <v>#DIV/0!</v>
      </c>
      <c r="W44" s="3410"/>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4"/>
      <c r="M45" s="2134"/>
      <c r="N45" s="2134"/>
      <c r="O45" s="2145"/>
      <c r="P45" s="3411" t="str">
        <f>A45</f>
        <v>估价对象XX用房的比较价格（楼面单价，元/平方米）</v>
      </c>
      <c r="Q45" s="3412"/>
      <c r="R45" s="3413" t="e">
        <f>ROUND(AVERAGE(R44:V44),0)</f>
        <v>#DIV/0!</v>
      </c>
      <c r="S45" s="3413"/>
      <c r="T45" s="3413"/>
      <c r="U45" s="3413"/>
      <c r="V45" s="3413"/>
      <c r="W45" s="3413"/>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61" t="s">
        <v>1722</v>
      </c>
      <c r="D52" s="2227" t="s">
        <v>2292</v>
      </c>
      <c r="E52" s="631" t="s">
        <v>559</v>
      </c>
      <c r="F52" s="1951" t="s">
        <v>560</v>
      </c>
      <c r="G52" s="3427" t="s">
        <v>2283</v>
      </c>
      <c r="H52" s="3428"/>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561</v>
      </c>
      <c r="B53" s="634" t="e">
        <f>C45</f>
        <v>#DIV/0!</v>
      </c>
      <c r="C53" s="635">
        <v>1</v>
      </c>
      <c r="D53" s="2228">
        <v>1</v>
      </c>
      <c r="E53" s="635">
        <f>'数据-汇总表'!E8+'数据-汇总表'!E9</f>
        <v>1146665.0899999999</v>
      </c>
      <c r="F53" s="1950" t="e">
        <f t="shared" ref="F53:F62" si="15">ROUND(B53*E53/10000,0)</f>
        <v>#DIV/0!</v>
      </c>
      <c r="G53" s="3429"/>
      <c r="H53" s="343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562</v>
      </c>
      <c r="B54" s="638" t="e">
        <f>ROUND($C$45*C54*D54,0)</f>
        <v>#DIV/0!</v>
      </c>
      <c r="C54" s="378">
        <f t="shared" ref="C54:C62" si="16">IF($C$52="北京市系数",I54,J54)</f>
        <v>0</v>
      </c>
      <c r="D54" s="2229">
        <v>0.25</v>
      </c>
      <c r="E54" s="639"/>
      <c r="F54" s="1950" t="e">
        <f t="shared" si="15"/>
        <v>#DIV/0!</v>
      </c>
      <c r="G54" s="3431"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563</v>
      </c>
      <c r="B55" s="638" t="e">
        <f t="shared" ref="B55:B62" si="17">ROUND($C$45*C55*D55,0)</f>
        <v>#DIV/0!</v>
      </c>
      <c r="C55" s="378">
        <f t="shared" si="16"/>
        <v>0</v>
      </c>
      <c r="D55" s="2229">
        <v>0.25</v>
      </c>
      <c r="E55" s="639"/>
      <c r="F55" s="1950" t="e">
        <f t="shared" si="15"/>
        <v>#DIV/0!</v>
      </c>
      <c r="G55" s="343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564</v>
      </c>
      <c r="B56" s="638" t="e">
        <f t="shared" si="17"/>
        <v>#DIV/0!</v>
      </c>
      <c r="C56" s="378">
        <f t="shared" si="16"/>
        <v>0</v>
      </c>
      <c r="D56" s="2229">
        <v>0.25</v>
      </c>
      <c r="E56" s="639"/>
      <c r="F56" s="1950" t="e">
        <f t="shared" si="15"/>
        <v>#DIV/0!</v>
      </c>
      <c r="G56" s="343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565</v>
      </c>
      <c r="B57" s="638" t="e">
        <f t="shared" si="17"/>
        <v>#DIV/0!</v>
      </c>
      <c r="C57" s="378">
        <f t="shared" si="16"/>
        <v>0</v>
      </c>
      <c r="D57" s="2229">
        <v>0.25</v>
      </c>
      <c r="E57" s="639"/>
      <c r="F57" s="1950" t="e">
        <f t="shared" si="15"/>
        <v>#DIV/0!</v>
      </c>
      <c r="G57" s="343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570</v>
      </c>
      <c r="B63" s="643" t="s">
        <v>17</v>
      </c>
      <c r="C63" s="643" t="s">
        <v>18</v>
      </c>
      <c r="D63" s="643" t="s">
        <v>2293</v>
      </c>
      <c r="E63" s="643">
        <f>IF(B43="楼面地价",SUM(E53:E62),'数据-汇总表'!D3)</f>
        <v>266666.3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2019-4-1</v>
      </c>
      <c r="D65" s="2797">
        <f>EDATE(C65,-3)</f>
        <v>43466</v>
      </c>
      <c r="E65" s="2797">
        <f t="shared" ref="E65:N65" si="18">EDATE(D65,-3)</f>
        <v>43374</v>
      </c>
      <c r="F65" s="2797">
        <f t="shared" si="18"/>
        <v>43282</v>
      </c>
      <c r="G65" s="2797">
        <f t="shared" si="18"/>
        <v>43191</v>
      </c>
      <c r="H65" s="2797">
        <f t="shared" si="18"/>
        <v>43101</v>
      </c>
      <c r="I65" s="2797">
        <f t="shared" si="18"/>
        <v>43009</v>
      </c>
      <c r="J65" s="2797">
        <f t="shared" si="18"/>
        <v>42917</v>
      </c>
      <c r="K65" s="2797">
        <f t="shared" si="18"/>
        <v>42826</v>
      </c>
      <c r="L65" s="2797">
        <f t="shared" si="18"/>
        <v>42736</v>
      </c>
      <c r="M65" s="2797">
        <f t="shared" si="18"/>
        <v>42644</v>
      </c>
      <c r="N65" s="2797">
        <f t="shared" si="18"/>
        <v>42552</v>
      </c>
      <c r="O65" s="2145"/>
      <c r="P65" s="2145"/>
      <c r="Q65" s="2145"/>
      <c r="R65" s="2145"/>
      <c r="S65" s="2145"/>
      <c r="T65" s="2145"/>
      <c r="U65" s="2145"/>
      <c r="V65" s="2145"/>
      <c r="W65" s="2145"/>
      <c r="X65" s="2145"/>
      <c r="Y65" s="2145"/>
      <c r="Z65" s="2145"/>
      <c r="AA65" s="2145"/>
      <c r="AB65" s="2145"/>
      <c r="AC65" s="2145"/>
    </row>
    <row r="66" spans="1:29" ht="21.75"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75">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1685</v>
      </c>
      <c r="B3" s="1038" t="e">
        <f>ROUND(B2*10000/D1,0)</f>
        <v>#DIV/0!</v>
      </c>
      <c r="C3" s="1408" t="s">
        <v>924</v>
      </c>
      <c r="D3" s="1409" t="s">
        <v>925</v>
      </c>
      <c r="E3" s="1413"/>
      <c r="F3" s="1414" t="s">
        <v>2930</v>
      </c>
      <c r="G3" s="1039">
        <f>IF(F3="宗地容积率",'数据-汇总表'!I4,IF(F3="估价对象容积率",'数据-汇总表'!I6,'数据-汇总表'!I7))</f>
        <v>4.3</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39"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4.3</v>
      </c>
      <c r="AA7" s="2192"/>
      <c r="AB7" s="2192"/>
      <c r="AC7" s="2193"/>
      <c r="AD7" s="2927"/>
      <c r="AE7" s="2927"/>
      <c r="AF7" s="2927"/>
      <c r="AG7" s="2927"/>
      <c r="AH7" s="2927"/>
      <c r="AI7" s="2927"/>
      <c r="AJ7" s="2928"/>
    </row>
    <row r="8" spans="1:39" ht="15">
      <c r="A8" s="3440"/>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49" t="s">
        <v>2779</v>
      </c>
      <c r="X8" s="3450"/>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40"/>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48"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0"/>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4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0"/>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48" t="s">
        <v>2777</v>
      </c>
      <c r="X11" s="1048" t="s">
        <v>2762</v>
      </c>
      <c r="Y11" s="1654">
        <f>$G$3</f>
        <v>4.3</v>
      </c>
      <c r="Z11" s="1654">
        <f t="shared" ref="Z11:AJ11" si="3">$G$3</f>
        <v>4.3</v>
      </c>
      <c r="AA11" s="1654">
        <f t="shared" si="3"/>
        <v>4.3</v>
      </c>
      <c r="AB11" s="1654">
        <f t="shared" si="3"/>
        <v>4.3</v>
      </c>
      <c r="AC11" s="1654">
        <f t="shared" si="3"/>
        <v>4.3</v>
      </c>
      <c r="AD11" s="1654">
        <f t="shared" si="3"/>
        <v>4.3</v>
      </c>
      <c r="AE11" s="1654">
        <f t="shared" si="3"/>
        <v>4.3</v>
      </c>
      <c r="AF11" s="1654">
        <f t="shared" si="3"/>
        <v>4.3</v>
      </c>
      <c r="AG11" s="1654">
        <f t="shared" si="3"/>
        <v>4.3</v>
      </c>
      <c r="AH11" s="1654">
        <f t="shared" si="3"/>
        <v>4.3</v>
      </c>
      <c r="AI11" s="1654">
        <f t="shared" si="3"/>
        <v>4.3</v>
      </c>
      <c r="AJ11" s="1654">
        <f t="shared" si="3"/>
        <v>4.3</v>
      </c>
    </row>
    <row r="12" spans="1:39" ht="25.5" thickBot="1">
      <c r="A12" s="3439"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48"/>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1"/>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48"/>
      <c r="X13" s="2932"/>
      <c r="Y13" s="2931">
        <f>(-0.163*(Y12^2)-0.59*Y12+7617)*(10^(-4))/Y11</f>
        <v>0.17713953488372094</v>
      </c>
      <c r="Z13" s="2931">
        <f t="shared" ref="Z13:AJ13" si="5">(-0.163*(Z12^2)-0.59*Z12+7617)*(10^(-4))/Z11</f>
        <v>0.17713953488372094</v>
      </c>
      <c r="AA13" s="2931">
        <f t="shared" si="5"/>
        <v>0.17713953488372094</v>
      </c>
      <c r="AB13" s="2931">
        <f t="shared" si="5"/>
        <v>0.17713953488372094</v>
      </c>
      <c r="AC13" s="2931">
        <f t="shared" si="5"/>
        <v>0.17713953488372094</v>
      </c>
      <c r="AD13" s="2931">
        <f t="shared" si="5"/>
        <v>0.17713953488372094</v>
      </c>
      <c r="AE13" s="2931">
        <f t="shared" si="5"/>
        <v>0.17713953488372094</v>
      </c>
      <c r="AF13" s="2931">
        <f t="shared" si="5"/>
        <v>0.17713953488372094</v>
      </c>
      <c r="AG13" s="2931">
        <f t="shared" si="5"/>
        <v>0.17713953488372094</v>
      </c>
      <c r="AH13" s="2931">
        <f t="shared" si="5"/>
        <v>0.17713953488372094</v>
      </c>
      <c r="AI13" s="2931">
        <f t="shared" si="5"/>
        <v>0.17713953488372094</v>
      </c>
      <c r="AJ13" s="2931">
        <f t="shared" si="5"/>
        <v>0.17713953488372094</v>
      </c>
    </row>
    <row r="14" spans="1:39" ht="12.75" customHeight="1" thickBot="1">
      <c r="A14" s="3441"/>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42"/>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39"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40"/>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43578</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1868</v>
      </c>
      <c r="B22" s="1484" t="s">
        <v>974</v>
      </c>
      <c r="C22" s="1060" t="s">
        <v>1700</v>
      </c>
      <c r="D22" s="1060" t="b">
        <f>IF(E22=G22,F22,IF(G3&lt;=10,ROUND(F22+(H22-F22)*(G3-E22)/(G22-E22),4),"——"))</f>
        <v>0</v>
      </c>
      <c r="E22" s="1039">
        <f>ROUNDDOWN(G3,1)</f>
        <v>4.3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5"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6"/>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6"/>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7"/>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43" t="s">
        <v>1631</v>
      </c>
      <c r="B90" s="3443"/>
      <c r="C90" s="3443"/>
      <c r="D90" s="3443"/>
      <c r="E90" s="3443"/>
      <c r="F90" s="3443"/>
      <c r="G90" s="3443"/>
      <c r="H90" s="3443"/>
      <c r="I90" s="3443"/>
      <c r="J90" s="3443"/>
      <c r="K90" s="2448"/>
      <c r="L90" s="2448"/>
      <c r="M90" s="2448"/>
      <c r="N90" s="2448"/>
    </row>
    <row r="91" spans="1:40">
      <c r="A91" s="3444" t="s">
        <v>1441</v>
      </c>
      <c r="B91" s="3444" t="s">
        <v>1632</v>
      </c>
      <c r="C91" s="1140" t="s">
        <v>1633</v>
      </c>
      <c r="D91" s="1141"/>
      <c r="E91" s="1141"/>
      <c r="F91" s="1141"/>
      <c r="G91" s="1141"/>
      <c r="H91" s="1141"/>
      <c r="I91" s="1141"/>
      <c r="J91" s="1142"/>
      <c r="K91" s="1134"/>
      <c r="L91" s="1134"/>
      <c r="M91" s="1134"/>
      <c r="N91" s="1134"/>
    </row>
    <row r="92" spans="1:40">
      <c r="A92" s="3444"/>
      <c r="B92" s="3444"/>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51"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2"/>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1" t="s">
        <v>1635</v>
      </c>
      <c r="B101" s="1147" t="s">
        <v>903</v>
      </c>
      <c r="C101" s="1148">
        <f>$G$3</f>
        <v>4.3</v>
      </c>
      <c r="D101" s="1148">
        <f t="shared" ref="D101:N101" si="31">$G$3</f>
        <v>4.3</v>
      </c>
      <c r="E101" s="1148">
        <f t="shared" si="31"/>
        <v>4.3</v>
      </c>
      <c r="F101" s="1148">
        <f t="shared" si="31"/>
        <v>4.3</v>
      </c>
      <c r="G101" s="1148">
        <f t="shared" si="31"/>
        <v>4.3</v>
      </c>
      <c r="H101" s="1148">
        <f t="shared" si="31"/>
        <v>4.3</v>
      </c>
      <c r="I101" s="1148">
        <f t="shared" si="31"/>
        <v>4.3</v>
      </c>
      <c r="J101" s="1148">
        <f t="shared" si="31"/>
        <v>4.3</v>
      </c>
      <c r="K101" s="1148">
        <f t="shared" si="31"/>
        <v>4.3</v>
      </c>
      <c r="L101" s="1148">
        <f t="shared" si="31"/>
        <v>4.3</v>
      </c>
      <c r="M101" s="1148">
        <f t="shared" si="31"/>
        <v>4.3</v>
      </c>
      <c r="N101" s="1148">
        <f t="shared" si="31"/>
        <v>4.3</v>
      </c>
    </row>
    <row r="102" spans="1:14">
      <c r="A102" s="3452"/>
      <c r="B102" s="1143">
        <v>1</v>
      </c>
      <c r="C102" s="1144">
        <f>1.9362/C101</f>
        <v>0.45027906976744186</v>
      </c>
      <c r="D102" s="1144">
        <f>1.9362/D101</f>
        <v>0.45027906976744186</v>
      </c>
      <c r="E102" s="1144">
        <f>1.8629/E101</f>
        <v>0.43323255813953493</v>
      </c>
      <c r="F102" s="1144">
        <f>1.8629/F101</f>
        <v>0.43323255813953493</v>
      </c>
      <c r="G102" s="1144">
        <f>1.8629/G101</f>
        <v>0.43323255813953493</v>
      </c>
      <c r="H102" s="1144">
        <f>1.8629/H101</f>
        <v>0.43323255813953493</v>
      </c>
      <c r="I102" s="1144">
        <f>1.8629/I101</f>
        <v>0.43323255813953493</v>
      </c>
      <c r="J102" s="1144">
        <f>1.942/J101</f>
        <v>0.45162790697674421</v>
      </c>
      <c r="K102" s="1144">
        <f>1.942/K101</f>
        <v>0.45162790697674421</v>
      </c>
      <c r="L102" s="1144">
        <f>1.942/L101</f>
        <v>0.45162790697674421</v>
      </c>
      <c r="M102" s="1144">
        <f>1.942/M101</f>
        <v>0.45162790697674421</v>
      </c>
      <c r="N102" s="1144">
        <f>1.942/N101</f>
        <v>0.45162790697674421</v>
      </c>
    </row>
    <row r="103" spans="1:14">
      <c r="A103" s="3452"/>
      <c r="B103" s="1143">
        <v>2</v>
      </c>
      <c r="C103" s="1144">
        <f>1.4198/C101</f>
        <v>0.33018604651162792</v>
      </c>
      <c r="D103" s="1144">
        <f>1.4198/D101</f>
        <v>0.33018604651162792</v>
      </c>
      <c r="E103" s="1144">
        <f>1.3372/E101</f>
        <v>0.31097674418604654</v>
      </c>
      <c r="F103" s="1144">
        <f>1.3372/F101</f>
        <v>0.31097674418604654</v>
      </c>
      <c r="G103" s="1144">
        <f>1.3372/G101</f>
        <v>0.31097674418604654</v>
      </c>
      <c r="H103" s="1144">
        <f>1.3372/H101</f>
        <v>0.31097674418604654</v>
      </c>
      <c r="I103" s="1144">
        <f>1.3372/I101</f>
        <v>0.31097674418604654</v>
      </c>
      <c r="J103" s="1144">
        <f>1.2799/J101</f>
        <v>0.2976511627906977</v>
      </c>
      <c r="K103" s="1144">
        <f>1.2799/K101</f>
        <v>0.2976511627906977</v>
      </c>
      <c r="L103" s="1144">
        <f>1.2799/L101</f>
        <v>0.2976511627906977</v>
      </c>
      <c r="M103" s="1144">
        <f>1.2799/M101</f>
        <v>0.2976511627906977</v>
      </c>
      <c r="N103" s="1144">
        <f>1.2799/N101</f>
        <v>0.2976511627906977</v>
      </c>
    </row>
    <row r="104" spans="1:14">
      <c r="A104" s="3452"/>
      <c r="B104" s="1143">
        <v>3</v>
      </c>
      <c r="C104" s="1144">
        <f>1.1594/C101</f>
        <v>0.26962790697674421</v>
      </c>
      <c r="D104" s="1144">
        <f>1.1594/D101</f>
        <v>0.26962790697674421</v>
      </c>
      <c r="E104" s="1144">
        <f>1.0788/E101</f>
        <v>0.25088372093023259</v>
      </c>
      <c r="F104" s="1144">
        <f>1.0788/F101</f>
        <v>0.25088372093023259</v>
      </c>
      <c r="G104" s="1144">
        <f>1.0788/G101</f>
        <v>0.25088372093023259</v>
      </c>
      <c r="H104" s="1144">
        <f>1.0788/H101</f>
        <v>0.25088372093023259</v>
      </c>
      <c r="I104" s="1144">
        <f>1.0788/I101</f>
        <v>0.25088372093023259</v>
      </c>
      <c r="J104" s="1144">
        <f>1.0072/J101</f>
        <v>0.23423255813953492</v>
      </c>
      <c r="K104" s="1144">
        <f>1.0072/K101</f>
        <v>0.23423255813953492</v>
      </c>
      <c r="L104" s="1144">
        <f>1.0072/L101</f>
        <v>0.23423255813953492</v>
      </c>
      <c r="M104" s="1144">
        <f>1.0072/M101</f>
        <v>0.23423255813953492</v>
      </c>
      <c r="N104" s="1144">
        <f>1.0072/N101</f>
        <v>0.23423255813953492</v>
      </c>
    </row>
    <row r="105" spans="1:14">
      <c r="A105" s="3452"/>
      <c r="B105" s="1143">
        <v>4</v>
      </c>
      <c r="C105" s="1144">
        <f>0.9622/C101</f>
        <v>0.22376744186046513</v>
      </c>
      <c r="D105" s="1144">
        <f>0.9622/D101</f>
        <v>0.22376744186046513</v>
      </c>
      <c r="E105" s="1144">
        <f>0.8656/E101</f>
        <v>0.20130232558139535</v>
      </c>
      <c r="F105" s="1144">
        <f>0.8656/F101</f>
        <v>0.20130232558139535</v>
      </c>
      <c r="G105" s="1144">
        <f>0.8656/G101</f>
        <v>0.20130232558139535</v>
      </c>
      <c r="H105" s="1144">
        <f>0.8656/H101</f>
        <v>0.20130232558139535</v>
      </c>
      <c r="I105" s="1144">
        <f>0.8656/I101</f>
        <v>0.20130232558139535</v>
      </c>
      <c r="J105" s="1144">
        <f>0.7525/J101</f>
        <v>0.17499999999999999</v>
      </c>
      <c r="K105" s="1144">
        <f>0.7525/K101</f>
        <v>0.17499999999999999</v>
      </c>
      <c r="L105" s="1144">
        <f>0.7525/L101</f>
        <v>0.17499999999999999</v>
      </c>
      <c r="M105" s="1144">
        <f>0.7525/M101</f>
        <v>0.17499999999999999</v>
      </c>
      <c r="N105" s="1144">
        <f>0.7525/N101</f>
        <v>0.17499999999999999</v>
      </c>
    </row>
    <row r="106" spans="1:14">
      <c r="A106" s="3452"/>
      <c r="B106" s="1143">
        <v>5</v>
      </c>
      <c r="C106" s="1144">
        <f>0.8417/C101</f>
        <v>0.19574418604651164</v>
      </c>
      <c r="D106" s="1144">
        <f>0.8417/D101</f>
        <v>0.19574418604651164</v>
      </c>
      <c r="E106" s="1144">
        <f>0.7371/E101</f>
        <v>0.17141860465116279</v>
      </c>
      <c r="F106" s="1144">
        <f>0.7371/F101</f>
        <v>0.17141860465116279</v>
      </c>
      <c r="G106" s="1144">
        <f>0.7371/G101</f>
        <v>0.17141860465116279</v>
      </c>
      <c r="H106" s="1144">
        <f>0.7371/H101</f>
        <v>0.17141860465116279</v>
      </c>
      <c r="I106" s="1144">
        <f>0.7371/I101</f>
        <v>0.17141860465116279</v>
      </c>
      <c r="J106" s="1144">
        <f>0.5659/J101</f>
        <v>0.13160465116279069</v>
      </c>
      <c r="K106" s="1144">
        <f>0.5659/K101</f>
        <v>0.13160465116279069</v>
      </c>
      <c r="L106" s="1144">
        <f>0.5659/L101</f>
        <v>0.13160465116279069</v>
      </c>
      <c r="M106" s="1144">
        <f>0.5659/M101</f>
        <v>0.13160465116279069</v>
      </c>
      <c r="N106" s="1144">
        <f>0.5659/N101</f>
        <v>0.13160465116279069</v>
      </c>
    </row>
    <row r="107" spans="1:14">
      <c r="A107" s="3452"/>
      <c r="B107" s="1143">
        <v>6</v>
      </c>
      <c r="C107" s="1144">
        <f>0.7608/C101</f>
        <v>0.17693023255813956</v>
      </c>
      <c r="D107" s="1144">
        <f>0.7608/D101</f>
        <v>0.17693023255813956</v>
      </c>
      <c r="E107" s="1144">
        <f>0.6482/E101</f>
        <v>0.15074418604651163</v>
      </c>
      <c r="F107" s="1144">
        <f>0.6482/F101</f>
        <v>0.15074418604651163</v>
      </c>
      <c r="G107" s="1144">
        <f>0.6482/G101</f>
        <v>0.15074418604651163</v>
      </c>
      <c r="H107" s="1144">
        <f>0.6482/H101</f>
        <v>0.15074418604651163</v>
      </c>
      <c r="I107" s="1144">
        <f>0.6482/I101</f>
        <v>0.15074418604651163</v>
      </c>
      <c r="J107" s="1144">
        <f>0.4525/J101</f>
        <v>0.10523255813953489</v>
      </c>
      <c r="K107" s="1144">
        <f>0.4525/K101</f>
        <v>0.10523255813953489</v>
      </c>
      <c r="L107" s="1144">
        <f>0.4525/L101</f>
        <v>0.10523255813953489</v>
      </c>
      <c r="M107" s="1144">
        <f>0.4525/M101</f>
        <v>0.10523255813953489</v>
      </c>
      <c r="N107" s="1144">
        <f>0.4525/N101</f>
        <v>0.10523255813953489</v>
      </c>
    </row>
    <row r="108" spans="1:14">
      <c r="A108" s="3452"/>
      <c r="B108" s="3454"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3"/>
      <c r="B109" s="3455"/>
      <c r="C109" s="1146">
        <f>(-0.163*(C108^2)-0.59*C108+7617)*(10^(-4))/C101</f>
        <v>0.17678716279069767</v>
      </c>
      <c r="D109" s="1146">
        <f>(-0.163*(D108^2)-0.59*D108+7617)*(10^(-4))/D101</f>
        <v>0.17678716279069767</v>
      </c>
      <c r="E109" s="1146">
        <f>(-0.161*(E108^2)-7.509*E108+6533)*(10^(-4))/E101</f>
        <v>0.15029358139534885</v>
      </c>
      <c r="F109" s="1146">
        <f>(-0.161*(F108^2)-7.509*F108+6533)*(10^(-4))/F101</f>
        <v>0.15029358139534885</v>
      </c>
      <c r="G109" s="1146">
        <f>(-0.161*(G108^2)-7.509*G108+6533)*(10^(-4))/G101</f>
        <v>0.15029358139534885</v>
      </c>
      <c r="H109" s="1146">
        <f>(-0.161*(H108^2)-7.509*H108+6533)*(10^(-4))/H101</f>
        <v>0.15029358139534885</v>
      </c>
      <c r="I109" s="1146">
        <f>(-0.161*(I108^2)-7.509*I108+6533)*(10^(-4))/I101</f>
        <v>0.15029358139534885</v>
      </c>
      <c r="J109" s="1146">
        <f>(-0.214*(J108^2)-21.991*J108+4665)*(10^(-4))/J101</f>
        <v>0.10407851162790699</v>
      </c>
      <c r="K109" s="1146">
        <f>(-0.214*(K108^2)-21.991*K108+4665)*(10^(-4))/K101</f>
        <v>0.10407851162790699</v>
      </c>
      <c r="L109" s="1146">
        <f>(-0.214*(L108^2)-21.991*L108+4665)*(10^(-4))/L101</f>
        <v>0.10407851162790699</v>
      </c>
      <c r="M109" s="1146">
        <f>(-0.214*(M108^2)-21.991*M108+4665)*(10^(-4))/M101</f>
        <v>0.10407851162790699</v>
      </c>
      <c r="N109" s="1146">
        <f>(-0.214*(N108^2)-21.991*N108+4665)*(10^(-4))/N101</f>
        <v>0.10407851162790699</v>
      </c>
    </row>
    <row r="110" spans="1:14">
      <c r="A110" s="3438" t="s">
        <v>1637</v>
      </c>
      <c r="B110" s="3438"/>
      <c r="C110" s="3438"/>
      <c r="D110" s="3438"/>
      <c r="E110" s="3438"/>
      <c r="F110" s="3438"/>
      <c r="G110" s="3438"/>
      <c r="H110" s="3438"/>
      <c r="I110" s="3438"/>
      <c r="J110" s="3438"/>
      <c r="K110" s="2446"/>
      <c r="L110" s="2446"/>
      <c r="M110" s="2446"/>
      <c r="N110" s="2446"/>
    </row>
    <row r="112" spans="1:14" ht="12.75" thickBot="1"/>
    <row r="113" spans="1:13" ht="25.5" thickBot="1">
      <c r="A113" s="1016" t="s">
        <v>893</v>
      </c>
      <c r="B113" s="2449">
        <f>G3</f>
        <v>4.3</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0.8931</v>
      </c>
      <c r="C115" s="1030">
        <f>B115</f>
        <v>0.8931</v>
      </c>
      <c r="D115" s="1030">
        <f>ROUND(0.8331-0.0109*B113,4)</f>
        <v>0.78620000000000001</v>
      </c>
      <c r="E115" s="1030">
        <f>D115</f>
        <v>0.78620000000000001</v>
      </c>
      <c r="F115" s="1030">
        <f>E115</f>
        <v>0.78620000000000001</v>
      </c>
      <c r="G115" s="1030">
        <f>F115</f>
        <v>0.78620000000000001</v>
      </c>
      <c r="H115" s="1030">
        <f>G115</f>
        <v>0.78620000000000001</v>
      </c>
      <c r="I115" s="1030">
        <f>ROUND(0.689-0.0155*B113,4)</f>
        <v>0.62239999999999995</v>
      </c>
      <c r="J115" s="1030">
        <f t="shared" ref="J115:M118" si="33">I115</f>
        <v>0.62239999999999995</v>
      </c>
      <c r="K115" s="1030">
        <f t="shared" si="33"/>
        <v>0.62239999999999995</v>
      </c>
      <c r="L115" s="1030">
        <f t="shared" si="33"/>
        <v>0.62239999999999995</v>
      </c>
      <c r="M115" s="1031">
        <f t="shared" si="33"/>
        <v>0.62239999999999995</v>
      </c>
    </row>
    <row r="116" spans="1:13" ht="12.75">
      <c r="A116" s="1029" t="s">
        <v>898</v>
      </c>
      <c r="B116" s="1030">
        <f>ROUND(0.949-0.012*B113,4)</f>
        <v>0.89739999999999998</v>
      </c>
      <c r="C116" s="1030">
        <f>B116</f>
        <v>0.89739999999999998</v>
      </c>
      <c r="D116" s="1030">
        <f>ROUND(0.8567-0.013*B113,4)</f>
        <v>0.80079999999999996</v>
      </c>
      <c r="E116" s="1030">
        <f t="shared" ref="E116:H117" si="34">D116</f>
        <v>0.80079999999999996</v>
      </c>
      <c r="F116" s="1030">
        <f t="shared" si="34"/>
        <v>0.80079999999999996</v>
      </c>
      <c r="G116" s="1030">
        <f t="shared" si="34"/>
        <v>0.80079999999999996</v>
      </c>
      <c r="H116" s="1030">
        <f t="shared" si="34"/>
        <v>0.80079999999999996</v>
      </c>
      <c r="I116" s="1030">
        <f>ROUND(0.7694-0.014*B113,4)</f>
        <v>0.70920000000000005</v>
      </c>
      <c r="J116" s="1030">
        <f t="shared" si="33"/>
        <v>0.70920000000000005</v>
      </c>
      <c r="K116" s="1030">
        <f t="shared" si="33"/>
        <v>0.70920000000000005</v>
      </c>
      <c r="L116" s="1030">
        <f t="shared" si="33"/>
        <v>0.70920000000000005</v>
      </c>
      <c r="M116" s="1031">
        <f t="shared" si="33"/>
        <v>0.70920000000000005</v>
      </c>
    </row>
    <row r="117" spans="1:13" ht="12.75">
      <c r="A117" s="1032" t="s">
        <v>899</v>
      </c>
      <c r="B117" s="1030">
        <f>ROUND(0.8808-0.006*B113,4)</f>
        <v>0.85499999999999998</v>
      </c>
      <c r="C117" s="1030">
        <f>B117</f>
        <v>0.85499999999999998</v>
      </c>
      <c r="D117" s="1030">
        <f>ROUND(0.8748-0.008*B113,4)</f>
        <v>0.84040000000000004</v>
      </c>
      <c r="E117" s="1030">
        <f t="shared" si="34"/>
        <v>0.84040000000000004</v>
      </c>
      <c r="F117" s="1030">
        <f t="shared" si="34"/>
        <v>0.84040000000000004</v>
      </c>
      <c r="G117" s="1030">
        <f t="shared" si="34"/>
        <v>0.84040000000000004</v>
      </c>
      <c r="H117" s="1030">
        <f t="shared" si="34"/>
        <v>0.84040000000000004</v>
      </c>
      <c r="I117" s="1030">
        <f>ROUND(0.7412-0.0095*B113,4)</f>
        <v>0.70040000000000002</v>
      </c>
      <c r="J117" s="1030">
        <f t="shared" si="33"/>
        <v>0.70040000000000002</v>
      </c>
      <c r="K117" s="1030">
        <f t="shared" si="33"/>
        <v>0.70040000000000002</v>
      </c>
      <c r="L117" s="1030">
        <f t="shared" si="33"/>
        <v>0.70040000000000002</v>
      </c>
      <c r="M117" s="1031">
        <f t="shared" si="33"/>
        <v>0.70040000000000002</v>
      </c>
    </row>
    <row r="118" spans="1:13" ht="13.5" thickBot="1">
      <c r="A118" s="1033" t="s">
        <v>900</v>
      </c>
      <c r="B118" s="1034">
        <f>ROUND(0.7275-0.01*B113,4)</f>
        <v>0.6845</v>
      </c>
      <c r="C118" s="1034">
        <f>B118</f>
        <v>0.6845</v>
      </c>
      <c r="D118" s="1034">
        <f>ROUND(0.7043-0.012*B113,4)</f>
        <v>0.65269999999999995</v>
      </c>
      <c r="E118" s="1034">
        <f>D118</f>
        <v>0.65269999999999995</v>
      </c>
      <c r="F118" s="1034">
        <f>E118</f>
        <v>0.65269999999999995</v>
      </c>
      <c r="G118" s="1034">
        <f>ROUND(0.6299-0.0122*B113,4)</f>
        <v>0.57740000000000002</v>
      </c>
      <c r="H118" s="1034">
        <f>G118</f>
        <v>0.57740000000000002</v>
      </c>
      <c r="I118" s="1034">
        <f>ROUND(0.5667-0.0136*B113,4)</f>
        <v>0.50819999999999999</v>
      </c>
      <c r="J118" s="1034">
        <f t="shared" si="33"/>
        <v>0.50819999999999999</v>
      </c>
      <c r="K118" s="1034">
        <f t="shared" si="33"/>
        <v>0.50819999999999999</v>
      </c>
      <c r="L118" s="1034">
        <f t="shared" si="33"/>
        <v>0.50819999999999999</v>
      </c>
      <c r="M118" s="1035">
        <f t="shared" si="33"/>
        <v>0.50819999999999999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44" t="s">
        <v>1005</v>
      </c>
      <c r="B18" s="1154" t="s">
        <v>1444</v>
      </c>
      <c r="C18" s="1131" t="s">
        <v>1445</v>
      </c>
      <c r="D18" s="1132"/>
      <c r="E18" s="1154">
        <v>1</v>
      </c>
      <c r="F18" s="1133" t="s">
        <v>1446</v>
      </c>
      <c r="G18" s="1134"/>
      <c r="H18" s="1105"/>
      <c r="I18" s="1105"/>
    </row>
    <row r="19" spans="1:9" s="1600" customFormat="1" ht="19.5" customHeight="1">
      <c r="A19" s="3444"/>
      <c r="B19" s="3444" t="s">
        <v>1447</v>
      </c>
      <c r="C19" s="1131" t="s">
        <v>1448</v>
      </c>
      <c r="D19" s="1132"/>
      <c r="E19" s="1154">
        <v>0.9</v>
      </c>
      <c r="F19" s="1133" t="s">
        <v>1449</v>
      </c>
      <c r="G19" s="1134"/>
      <c r="H19" s="1105"/>
      <c r="I19" s="1105"/>
    </row>
    <row r="20" spans="1:9" s="1600" customFormat="1" ht="19.5" customHeight="1">
      <c r="A20" s="3444"/>
      <c r="B20" s="3444"/>
      <c r="C20" s="1131" t="s">
        <v>1450</v>
      </c>
      <c r="D20" s="1132"/>
      <c r="E20" s="1154">
        <v>1.1000000000000001</v>
      </c>
      <c r="F20" s="1133" t="s">
        <v>1451</v>
      </c>
      <c r="G20" s="1134"/>
      <c r="H20" s="1105"/>
      <c r="I20" s="1105"/>
    </row>
    <row r="21" spans="1:9" s="1600" customFormat="1" ht="19.5" customHeight="1">
      <c r="A21" s="3444"/>
      <c r="B21" s="3444"/>
      <c r="C21" s="1131" t="s">
        <v>1452</v>
      </c>
      <c r="D21" s="1132"/>
      <c r="E21" s="1154">
        <v>0.8</v>
      </c>
      <c r="F21" s="1133" t="s">
        <v>1453</v>
      </c>
      <c r="G21" s="1134"/>
      <c r="H21" s="1105"/>
      <c r="I21" s="1105"/>
    </row>
    <row r="22" spans="1:9" s="1600" customFormat="1" ht="19.5" customHeight="1">
      <c r="A22" s="3444"/>
      <c r="B22" s="3444"/>
      <c r="C22" s="1131" t="s">
        <v>1454</v>
      </c>
      <c r="D22" s="1132"/>
      <c r="E22" s="1154">
        <v>0.5</v>
      </c>
      <c r="F22" s="1133"/>
      <c r="G22" s="1134"/>
      <c r="H22" s="1105"/>
      <c r="I22" s="1105"/>
    </row>
    <row r="23" spans="1:9" s="1600" customFormat="1" ht="19.5" customHeight="1">
      <c r="A23" s="3444" t="s">
        <v>1027</v>
      </c>
      <c r="B23" s="1154" t="s">
        <v>1444</v>
      </c>
      <c r="C23" s="1131" t="s">
        <v>1455</v>
      </c>
      <c r="D23" s="1132"/>
      <c r="E23" s="1154">
        <v>1</v>
      </c>
      <c r="F23" s="1133" t="s">
        <v>1456</v>
      </c>
      <c r="G23" s="1134"/>
      <c r="H23" s="1105"/>
      <c r="I23" s="1105"/>
    </row>
    <row r="24" spans="1:9" s="1600" customFormat="1" ht="19.5" customHeight="1">
      <c r="A24" s="3444"/>
      <c r="B24" s="3444" t="s">
        <v>1447</v>
      </c>
      <c r="C24" s="1131" t="s">
        <v>1457</v>
      </c>
      <c r="D24" s="1132"/>
      <c r="E24" s="1154">
        <v>0.5</v>
      </c>
      <c r="F24" s="1133"/>
      <c r="G24" s="1134"/>
      <c r="H24" s="1105"/>
      <c r="I24" s="1105"/>
    </row>
    <row r="25" spans="1:9" s="1600" customFormat="1" ht="19.5" customHeight="1">
      <c r="A25" s="3444"/>
      <c r="B25" s="3444"/>
      <c r="C25" s="1131" t="s">
        <v>1458</v>
      </c>
      <c r="D25" s="1132"/>
      <c r="E25" s="1154">
        <v>1.1000000000000001</v>
      </c>
      <c r="F25" s="1133"/>
      <c r="G25" s="1134"/>
      <c r="H25" s="1105"/>
      <c r="I25" s="1105"/>
    </row>
    <row r="26" spans="1:9" s="1600" customFormat="1" ht="19.5" customHeight="1">
      <c r="A26" s="3444"/>
      <c r="B26" s="3444"/>
      <c r="C26" s="1131" t="s">
        <v>1459</v>
      </c>
      <c r="D26" s="1132"/>
      <c r="E26" s="1154">
        <v>1.1000000000000001</v>
      </c>
      <c r="F26" s="1133"/>
      <c r="G26" s="1134"/>
      <c r="H26" s="1105"/>
      <c r="I26" s="1105"/>
    </row>
    <row r="27" spans="1:9" s="1600" customFormat="1" ht="19.5" customHeight="1">
      <c r="A27" s="3444"/>
      <c r="B27" s="3444"/>
      <c r="C27" s="1131" t="s">
        <v>1460</v>
      </c>
      <c r="D27" s="1132"/>
      <c r="E27" s="1154">
        <v>0.9</v>
      </c>
      <c r="F27" s="1133" t="s">
        <v>1461</v>
      </c>
      <c r="G27" s="1134"/>
      <c r="H27" s="1105"/>
      <c r="I27" s="1105"/>
    </row>
    <row r="28" spans="1:9" s="1600" customFormat="1" ht="19.5" customHeight="1">
      <c r="A28" s="3444"/>
      <c r="B28" s="3444"/>
      <c r="C28" s="1131" t="s">
        <v>1462</v>
      </c>
      <c r="D28" s="1132"/>
      <c r="E28" s="1154">
        <v>0.9</v>
      </c>
      <c r="F28" s="1133" t="s">
        <v>1463</v>
      </c>
      <c r="G28" s="1134"/>
      <c r="H28" s="1105"/>
      <c r="I28" s="1105"/>
    </row>
    <row r="29" spans="1:9" s="1600" customFormat="1" ht="19.5" customHeight="1">
      <c r="A29" s="3444"/>
      <c r="B29" s="3444"/>
      <c r="C29" s="1131" t="s">
        <v>1464</v>
      </c>
      <c r="D29" s="1132"/>
      <c r="E29" s="1154">
        <v>0.9</v>
      </c>
      <c r="F29" s="1133" t="s">
        <v>1465</v>
      </c>
      <c r="G29" s="1134"/>
      <c r="H29" s="1105"/>
      <c r="I29" s="1105"/>
    </row>
    <row r="30" spans="1:9" s="1600" customFormat="1" ht="19.5" customHeight="1">
      <c r="A30" s="3444"/>
      <c r="B30" s="3444"/>
      <c r="C30" s="1131" t="s">
        <v>1466</v>
      </c>
      <c r="D30" s="1132"/>
      <c r="E30" s="1154">
        <v>0.9</v>
      </c>
      <c r="F30" s="1133" t="s">
        <v>1467</v>
      </c>
      <c r="G30" s="1134"/>
      <c r="H30" s="1105"/>
      <c r="I30" s="1105"/>
    </row>
    <row r="31" spans="1:9" s="1600" customFormat="1" ht="19.5" customHeight="1">
      <c r="A31" s="3444"/>
      <c r="B31" s="3444"/>
      <c r="C31" s="1131" t="s">
        <v>1468</v>
      </c>
      <c r="D31" s="1132"/>
      <c r="E31" s="1154">
        <v>0.8</v>
      </c>
      <c r="F31" s="1133" t="s">
        <v>1469</v>
      </c>
      <c r="G31" s="1134"/>
      <c r="H31" s="1105"/>
      <c r="I31" s="1105"/>
    </row>
    <row r="32" spans="1:9" s="1600" customFormat="1" ht="19.5" customHeight="1">
      <c r="A32" s="3444"/>
      <c r="B32" s="3444"/>
      <c r="C32" s="1131" t="s">
        <v>1470</v>
      </c>
      <c r="D32" s="1132"/>
      <c r="E32" s="1154">
        <v>0.8</v>
      </c>
      <c r="F32" s="1133" t="s">
        <v>1471</v>
      </c>
      <c r="G32" s="1134"/>
      <c r="H32" s="1105"/>
      <c r="I32" s="1105"/>
    </row>
    <row r="33" spans="1:9" s="1600" customFormat="1" ht="19.5" customHeight="1">
      <c r="A33" s="3444" t="s">
        <v>1472</v>
      </c>
      <c r="B33" s="1154" t="s">
        <v>1444</v>
      </c>
      <c r="C33" s="1131" t="s">
        <v>1473</v>
      </c>
      <c r="D33" s="1132"/>
      <c r="E33" s="1154">
        <v>1</v>
      </c>
      <c r="F33" s="1133" t="s">
        <v>1474</v>
      </c>
      <c r="G33" s="1134"/>
      <c r="H33" s="1105"/>
      <c r="I33" s="1105"/>
    </row>
    <row r="34" spans="1:9" s="1600" customFormat="1" ht="19.5" customHeight="1">
      <c r="A34" s="3444"/>
      <c r="B34" s="1154" t="s">
        <v>1447</v>
      </c>
      <c r="C34" s="1131" t="s">
        <v>1475</v>
      </c>
      <c r="D34" s="1132"/>
      <c r="E34" s="1154">
        <v>1.5</v>
      </c>
      <c r="F34" s="1133" t="s">
        <v>1476</v>
      </c>
      <c r="G34" s="1134"/>
      <c r="H34" s="1105"/>
      <c r="I34" s="1105"/>
    </row>
    <row r="35" spans="1:9" s="1600" customFormat="1" ht="19.5" customHeight="1">
      <c r="A35" s="3444" t="s">
        <v>1430</v>
      </c>
      <c r="B35" s="1154" t="s">
        <v>1444</v>
      </c>
      <c r="C35" s="1131" t="s">
        <v>1477</v>
      </c>
      <c r="D35" s="1132"/>
      <c r="E35" s="1154">
        <v>1</v>
      </c>
      <c r="F35" s="1133" t="s">
        <v>1478</v>
      </c>
      <c r="G35" s="1134"/>
      <c r="H35" s="1105"/>
      <c r="I35" s="1105"/>
    </row>
    <row r="36" spans="1:9" s="1600" customFormat="1" ht="19.5" customHeight="1">
      <c r="A36" s="3444"/>
      <c r="B36" s="3444" t="s">
        <v>1447</v>
      </c>
      <c r="C36" s="1131" t="s">
        <v>1479</v>
      </c>
      <c r="D36" s="1132"/>
      <c r="E36" s="1154">
        <v>1</v>
      </c>
      <c r="F36" s="1133" t="s">
        <v>1480</v>
      </c>
      <c r="G36" s="1134"/>
      <c r="H36" s="1105"/>
      <c r="I36" s="1105"/>
    </row>
    <row r="37" spans="1:9" s="1600" customFormat="1" ht="19.5" customHeight="1">
      <c r="A37" s="3444"/>
      <c r="B37" s="3444"/>
      <c r="C37" s="1131" t="s">
        <v>1481</v>
      </c>
      <c r="D37" s="1132"/>
      <c r="E37" s="1154">
        <v>1.5</v>
      </c>
      <c r="F37" s="1133" t="s">
        <v>1482</v>
      </c>
      <c r="G37" s="1134"/>
      <c r="H37" s="1105"/>
      <c r="I37" s="1105"/>
    </row>
    <row r="38" spans="1:9" s="1600" customFormat="1" ht="19.5" customHeight="1">
      <c r="A38" s="3444"/>
      <c r="B38" s="3444"/>
      <c r="C38" s="1131" t="s">
        <v>1483</v>
      </c>
      <c r="D38" s="1132"/>
      <c r="E38" s="1154">
        <v>1</v>
      </c>
      <c r="F38" s="1133" t="s">
        <v>1484</v>
      </c>
      <c r="G38" s="1134"/>
      <c r="H38" s="1105"/>
      <c r="I38" s="1105"/>
    </row>
    <row r="39" spans="1:9" s="1600" customFormat="1" ht="19.5" customHeight="1">
      <c r="A39" s="3444"/>
      <c r="B39" s="3444"/>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44" t="s">
        <v>1499</v>
      </c>
      <c r="C61" s="1068" t="s">
        <v>1500</v>
      </c>
      <c r="D61" s="1068" t="s">
        <v>1501</v>
      </c>
      <c r="E61" s="1139">
        <v>0.5</v>
      </c>
      <c r="F61" s="1154">
        <v>80</v>
      </c>
      <c r="H61" s="1105">
        <f>SUMIF(C59:C119,基准地价!C8,E59:E119)</f>
        <v>0</v>
      </c>
    </row>
    <row r="62" spans="1:8" s="1105" customFormat="1" ht="24">
      <c r="A62" s="1154">
        <v>2</v>
      </c>
      <c r="B62" s="3444"/>
      <c r="C62" s="1068" t="s">
        <v>1502</v>
      </c>
      <c r="D62" s="1068" t="s">
        <v>1503</v>
      </c>
      <c r="E62" s="1139">
        <v>0.5</v>
      </c>
      <c r="F62" s="1154">
        <v>80</v>
      </c>
    </row>
    <row r="63" spans="1:8" s="1105" customFormat="1" ht="36">
      <c r="A63" s="1154">
        <v>3</v>
      </c>
      <c r="B63" s="3444"/>
      <c r="C63" s="1068" t="s">
        <v>1504</v>
      </c>
      <c r="D63" s="1068" t="s">
        <v>1505</v>
      </c>
      <c r="E63" s="1139">
        <v>0.5</v>
      </c>
      <c r="F63" s="1154">
        <v>80</v>
      </c>
    </row>
    <row r="64" spans="1:8" s="1105" customFormat="1" ht="36">
      <c r="A64" s="1154">
        <v>4</v>
      </c>
      <c r="B64" s="3444"/>
      <c r="C64" s="1068" t="s">
        <v>1506</v>
      </c>
      <c r="D64" s="1068" t="s">
        <v>1507</v>
      </c>
      <c r="E64" s="1139">
        <v>0.4</v>
      </c>
      <c r="F64" s="1154">
        <v>60</v>
      </c>
    </row>
    <row r="65" spans="1:6" s="1105" customFormat="1" ht="36">
      <c r="A65" s="1154">
        <v>5</v>
      </c>
      <c r="B65" s="3444"/>
      <c r="C65" s="1068" t="s">
        <v>1508</v>
      </c>
      <c r="D65" s="1068" t="s">
        <v>1509</v>
      </c>
      <c r="E65" s="1139">
        <v>0.2</v>
      </c>
      <c r="F65" s="1154">
        <v>30</v>
      </c>
    </row>
    <row r="66" spans="1:6" s="1105" customFormat="1" ht="36">
      <c r="A66" s="1154">
        <v>6</v>
      </c>
      <c r="B66" s="3444"/>
      <c r="C66" s="1068" t="s">
        <v>1510</v>
      </c>
      <c r="D66" s="1068" t="s">
        <v>1511</v>
      </c>
      <c r="E66" s="1139">
        <v>0.3</v>
      </c>
      <c r="F66" s="1154">
        <v>50</v>
      </c>
    </row>
    <row r="67" spans="1:6" s="1105" customFormat="1" ht="36">
      <c r="A67" s="1154">
        <v>7</v>
      </c>
      <c r="B67" s="3444"/>
      <c r="C67" s="1068" t="s">
        <v>1512</v>
      </c>
      <c r="D67" s="1068" t="s">
        <v>1513</v>
      </c>
      <c r="E67" s="1139">
        <v>0.2</v>
      </c>
      <c r="F67" s="1154">
        <v>30</v>
      </c>
    </row>
    <row r="68" spans="1:6" s="1105" customFormat="1" ht="36">
      <c r="A68" s="1154">
        <v>8</v>
      </c>
      <c r="B68" s="3444"/>
      <c r="C68" s="1068" t="s">
        <v>1514</v>
      </c>
      <c r="D68" s="1068" t="s">
        <v>1515</v>
      </c>
      <c r="E68" s="1139">
        <v>0.2</v>
      </c>
      <c r="F68" s="1154">
        <v>30</v>
      </c>
    </row>
    <row r="69" spans="1:6" s="1105" customFormat="1" ht="36">
      <c r="A69" s="1154">
        <v>9</v>
      </c>
      <c r="B69" s="3444"/>
      <c r="C69" s="1068" t="s">
        <v>1516</v>
      </c>
      <c r="D69" s="1068" t="s">
        <v>1517</v>
      </c>
      <c r="E69" s="1139">
        <v>0.2</v>
      </c>
      <c r="F69" s="1154">
        <v>30</v>
      </c>
    </row>
    <row r="70" spans="1:6" s="1105" customFormat="1" ht="48">
      <c r="A70" s="1154">
        <v>10</v>
      </c>
      <c r="B70" s="3444"/>
      <c r="C70" s="1068" t="s">
        <v>1518</v>
      </c>
      <c r="D70" s="1068" t="s">
        <v>1519</v>
      </c>
      <c r="E70" s="1139">
        <v>0.2</v>
      </c>
      <c r="F70" s="1154">
        <v>30</v>
      </c>
    </row>
    <row r="71" spans="1:6" s="1105" customFormat="1" ht="48">
      <c r="A71" s="1154">
        <v>11</v>
      </c>
      <c r="B71" s="3444"/>
      <c r="C71" s="1068" t="s">
        <v>1520</v>
      </c>
      <c r="D71" s="1068" t="s">
        <v>1521</v>
      </c>
      <c r="E71" s="1139">
        <v>0.2</v>
      </c>
      <c r="F71" s="1154">
        <v>30</v>
      </c>
    </row>
    <row r="72" spans="1:6" s="1105" customFormat="1" ht="36">
      <c r="A72" s="1154">
        <v>12</v>
      </c>
      <c r="B72" s="3444"/>
      <c r="C72" s="1068" t="s">
        <v>1522</v>
      </c>
      <c r="D72" s="1068" t="s">
        <v>1523</v>
      </c>
      <c r="E72" s="1139">
        <v>0.5</v>
      </c>
      <c r="F72" s="1154">
        <v>80</v>
      </c>
    </row>
    <row r="73" spans="1:6" s="1105" customFormat="1" ht="24">
      <c r="A73" s="1154">
        <v>13</v>
      </c>
      <c r="B73" s="3444"/>
      <c r="C73" s="1068" t="s">
        <v>1524</v>
      </c>
      <c r="D73" s="1068" t="s">
        <v>1525</v>
      </c>
      <c r="E73" s="1139">
        <v>0.4</v>
      </c>
      <c r="F73" s="1154">
        <v>60</v>
      </c>
    </row>
    <row r="74" spans="1:6" s="1105" customFormat="1" ht="24">
      <c r="A74" s="1154">
        <v>14</v>
      </c>
      <c r="B74" s="3444"/>
      <c r="C74" s="1068" t="s">
        <v>1526</v>
      </c>
      <c r="D74" s="1068" t="s">
        <v>1527</v>
      </c>
      <c r="E74" s="1139">
        <v>0.2</v>
      </c>
      <c r="F74" s="1154">
        <v>30</v>
      </c>
    </row>
    <row r="75" spans="1:6" s="1105" customFormat="1" ht="24">
      <c r="A75" s="1154">
        <v>15</v>
      </c>
      <c r="B75" s="3444"/>
      <c r="C75" s="1068" t="s">
        <v>1528</v>
      </c>
      <c r="D75" s="1068" t="s">
        <v>1529</v>
      </c>
      <c r="E75" s="1139">
        <v>0.2</v>
      </c>
      <c r="F75" s="1154">
        <v>30</v>
      </c>
    </row>
    <row r="76" spans="1:6" s="1105" customFormat="1" ht="24">
      <c r="A76" s="1154">
        <v>16</v>
      </c>
      <c r="B76" s="3444" t="s">
        <v>1530</v>
      </c>
      <c r="C76" s="1068" t="s">
        <v>1531</v>
      </c>
      <c r="D76" s="1068" t="s">
        <v>1532</v>
      </c>
      <c r="E76" s="1139">
        <v>0.5</v>
      </c>
      <c r="F76" s="1154">
        <v>80</v>
      </c>
    </row>
    <row r="77" spans="1:6" s="1105" customFormat="1" ht="24">
      <c r="A77" s="1154">
        <v>17</v>
      </c>
      <c r="B77" s="3444"/>
      <c r="C77" s="1068" t="s">
        <v>1533</v>
      </c>
      <c r="D77" s="1068" t="s">
        <v>1534</v>
      </c>
      <c r="E77" s="1139">
        <v>0.5</v>
      </c>
      <c r="F77" s="1154">
        <v>80</v>
      </c>
    </row>
    <row r="78" spans="1:6" s="1105" customFormat="1" ht="24">
      <c r="A78" s="1154">
        <v>18</v>
      </c>
      <c r="B78" s="3444"/>
      <c r="C78" s="1068" t="s">
        <v>1535</v>
      </c>
      <c r="D78" s="1068" t="s">
        <v>1536</v>
      </c>
      <c r="E78" s="1139">
        <v>0.2</v>
      </c>
      <c r="F78" s="1154">
        <v>30</v>
      </c>
    </row>
    <row r="79" spans="1:6" s="1105" customFormat="1" ht="24">
      <c r="A79" s="1154">
        <v>19</v>
      </c>
      <c r="B79" s="3444"/>
      <c r="C79" s="1068" t="s">
        <v>1537</v>
      </c>
      <c r="D79" s="1068" t="s">
        <v>1538</v>
      </c>
      <c r="E79" s="1139">
        <v>0.5</v>
      </c>
      <c r="F79" s="1154">
        <v>80</v>
      </c>
    </row>
    <row r="80" spans="1:6" s="1105" customFormat="1" ht="36">
      <c r="A80" s="1154">
        <v>20</v>
      </c>
      <c r="B80" s="3444"/>
      <c r="C80" s="1068" t="s">
        <v>1539</v>
      </c>
      <c r="D80" s="1068" t="s">
        <v>1540</v>
      </c>
      <c r="E80" s="1139">
        <v>0.2</v>
      </c>
      <c r="F80" s="1154">
        <v>30</v>
      </c>
    </row>
    <row r="81" spans="1:6" s="1105" customFormat="1" ht="36">
      <c r="A81" s="1154">
        <v>21</v>
      </c>
      <c r="B81" s="3444"/>
      <c r="C81" s="1068" t="s">
        <v>1541</v>
      </c>
      <c r="D81" s="1068" t="s">
        <v>1542</v>
      </c>
      <c r="E81" s="1139">
        <v>0.2</v>
      </c>
      <c r="F81" s="1154">
        <v>30</v>
      </c>
    </row>
    <row r="82" spans="1:6" s="1105" customFormat="1" ht="48">
      <c r="A82" s="1154">
        <v>22</v>
      </c>
      <c r="B82" s="3444"/>
      <c r="C82" s="1068" t="s">
        <v>1543</v>
      </c>
      <c r="D82" s="1068" t="s">
        <v>1544</v>
      </c>
      <c r="E82" s="1139">
        <v>0.2</v>
      </c>
      <c r="F82" s="1154">
        <v>30</v>
      </c>
    </row>
    <row r="83" spans="1:6" s="1105" customFormat="1" ht="48">
      <c r="A83" s="1154">
        <v>23</v>
      </c>
      <c r="B83" s="3444"/>
      <c r="C83" s="1068" t="s">
        <v>1545</v>
      </c>
      <c r="D83" s="1068" t="s">
        <v>1546</v>
      </c>
      <c r="E83" s="1139">
        <v>0.2</v>
      </c>
      <c r="F83" s="1154">
        <v>30</v>
      </c>
    </row>
    <row r="84" spans="1:6" s="1105" customFormat="1" ht="36">
      <c r="A84" s="1154">
        <v>24</v>
      </c>
      <c r="B84" s="3444"/>
      <c r="C84" s="1068" t="s">
        <v>1547</v>
      </c>
      <c r="D84" s="1068" t="s">
        <v>1548</v>
      </c>
      <c r="E84" s="1139">
        <v>0.2</v>
      </c>
      <c r="F84" s="1154">
        <v>30</v>
      </c>
    </row>
    <row r="85" spans="1:6" s="1105" customFormat="1" ht="36">
      <c r="A85" s="1154">
        <v>25</v>
      </c>
      <c r="B85" s="3444"/>
      <c r="C85" s="1068" t="s">
        <v>1549</v>
      </c>
      <c r="D85" s="1068" t="s">
        <v>1550</v>
      </c>
      <c r="E85" s="1139">
        <v>0.5</v>
      </c>
      <c r="F85" s="1154">
        <v>80</v>
      </c>
    </row>
    <row r="86" spans="1:6" s="1105" customFormat="1" ht="36">
      <c r="A86" s="1154">
        <v>26</v>
      </c>
      <c r="B86" s="3444"/>
      <c r="C86" s="1068" t="s">
        <v>1551</v>
      </c>
      <c r="D86" s="1068" t="s">
        <v>1552</v>
      </c>
      <c r="E86" s="1139">
        <v>0.2</v>
      </c>
      <c r="F86" s="1154">
        <v>30</v>
      </c>
    </row>
    <row r="87" spans="1:6" s="1105" customFormat="1" ht="36">
      <c r="A87" s="1154">
        <v>27</v>
      </c>
      <c r="B87" s="3444"/>
      <c r="C87" s="1068" t="s">
        <v>1553</v>
      </c>
      <c r="D87" s="1068" t="s">
        <v>1554</v>
      </c>
      <c r="E87" s="1139">
        <v>0.2</v>
      </c>
      <c r="F87" s="1154">
        <v>30</v>
      </c>
    </row>
    <row r="88" spans="1:6" s="1105" customFormat="1" ht="36">
      <c r="A88" s="1154">
        <v>28</v>
      </c>
      <c r="B88" s="3444"/>
      <c r="C88" s="1068" t="s">
        <v>1555</v>
      </c>
      <c r="D88" s="1068" t="s">
        <v>1556</v>
      </c>
      <c r="E88" s="1139">
        <v>0.2</v>
      </c>
      <c r="F88" s="1154">
        <v>30</v>
      </c>
    </row>
    <row r="89" spans="1:6" s="1105" customFormat="1" ht="24">
      <c r="A89" s="1154">
        <v>29</v>
      </c>
      <c r="B89" s="3444"/>
      <c r="C89" s="1068" t="s">
        <v>1557</v>
      </c>
      <c r="D89" s="1068" t="s">
        <v>1558</v>
      </c>
      <c r="E89" s="1139">
        <v>0.2</v>
      </c>
      <c r="F89" s="1154">
        <v>30</v>
      </c>
    </row>
    <row r="90" spans="1:6" s="1105" customFormat="1" ht="24">
      <c r="A90" s="1154">
        <v>30</v>
      </c>
      <c r="B90" s="3444"/>
      <c r="C90" s="1068" t="s">
        <v>1559</v>
      </c>
      <c r="D90" s="1068" t="s">
        <v>1560</v>
      </c>
      <c r="E90" s="1139">
        <v>0.2</v>
      </c>
      <c r="F90" s="1154">
        <v>30</v>
      </c>
    </row>
    <row r="91" spans="1:6" s="1105" customFormat="1" ht="36">
      <c r="A91" s="1154">
        <v>31</v>
      </c>
      <c r="B91" s="3444"/>
      <c r="C91" s="1068" t="s">
        <v>1561</v>
      </c>
      <c r="D91" s="1068" t="s">
        <v>1562</v>
      </c>
      <c r="E91" s="1139">
        <v>0.2</v>
      </c>
      <c r="F91" s="1154">
        <v>30</v>
      </c>
    </row>
    <row r="92" spans="1:6" s="1105" customFormat="1" ht="24">
      <c r="A92" s="1154">
        <v>32</v>
      </c>
      <c r="B92" s="3444" t="s">
        <v>1563</v>
      </c>
      <c r="C92" s="1154" t="s">
        <v>1564</v>
      </c>
      <c r="D92" s="1068" t="s">
        <v>1565</v>
      </c>
      <c r="E92" s="1139">
        <v>0.2</v>
      </c>
      <c r="F92" s="1154">
        <v>30</v>
      </c>
    </row>
    <row r="93" spans="1:6" s="1105" customFormat="1" ht="36">
      <c r="A93" s="1154">
        <v>33</v>
      </c>
      <c r="B93" s="3444"/>
      <c r="C93" s="1154" t="s">
        <v>1566</v>
      </c>
      <c r="D93" s="1068" t="s">
        <v>1567</v>
      </c>
      <c r="E93" s="1139">
        <v>0.2</v>
      </c>
      <c r="F93" s="1154">
        <v>30</v>
      </c>
    </row>
    <row r="94" spans="1:6" s="1105" customFormat="1" ht="48">
      <c r="A94" s="1154">
        <v>34</v>
      </c>
      <c r="B94" s="3444"/>
      <c r="C94" s="1154" t="s">
        <v>1568</v>
      </c>
      <c r="D94" s="1068" t="s">
        <v>1569</v>
      </c>
      <c r="E94" s="1139">
        <v>0.2</v>
      </c>
      <c r="F94" s="1154">
        <v>30</v>
      </c>
    </row>
    <row r="95" spans="1:6" s="1105" customFormat="1" ht="36">
      <c r="A95" s="1154">
        <v>35</v>
      </c>
      <c r="B95" s="3444"/>
      <c r="C95" s="1154" t="s">
        <v>1570</v>
      </c>
      <c r="D95" s="1068" t="s">
        <v>1571</v>
      </c>
      <c r="E95" s="1139">
        <v>0.2</v>
      </c>
      <c r="F95" s="1154">
        <v>30</v>
      </c>
    </row>
    <row r="96" spans="1:6" s="1105" customFormat="1" ht="48">
      <c r="A96" s="1154">
        <v>36</v>
      </c>
      <c r="B96" s="3444"/>
      <c r="C96" s="1068" t="s">
        <v>1572</v>
      </c>
      <c r="D96" s="1068" t="s">
        <v>1573</v>
      </c>
      <c r="E96" s="1139">
        <v>0.2</v>
      </c>
      <c r="F96" s="1154">
        <v>30</v>
      </c>
    </row>
    <row r="97" spans="1:6" s="1105" customFormat="1" ht="36">
      <c r="A97" s="1154">
        <v>37</v>
      </c>
      <c r="B97" s="3444"/>
      <c r="C97" s="1154" t="s">
        <v>1574</v>
      </c>
      <c r="D97" s="1068" t="s">
        <v>1575</v>
      </c>
      <c r="E97" s="1139">
        <v>0.2</v>
      </c>
      <c r="F97" s="1154">
        <v>30</v>
      </c>
    </row>
    <row r="98" spans="1:6" s="1105" customFormat="1" ht="36">
      <c r="A98" s="1154">
        <v>38</v>
      </c>
      <c r="B98" s="3444"/>
      <c r="C98" s="1154" t="s">
        <v>1576</v>
      </c>
      <c r="D98" s="1068" t="s">
        <v>1577</v>
      </c>
      <c r="E98" s="1139">
        <v>0.2</v>
      </c>
      <c r="F98" s="1154">
        <v>30</v>
      </c>
    </row>
    <row r="99" spans="1:6" s="1105" customFormat="1" ht="36">
      <c r="A99" s="1154">
        <v>39</v>
      </c>
      <c r="B99" s="3444" t="s">
        <v>1578</v>
      </c>
      <c r="C99" s="1154" t="s">
        <v>1579</v>
      </c>
      <c r="D99" s="1068" t="s">
        <v>1580</v>
      </c>
      <c r="E99" s="1139">
        <v>0.3</v>
      </c>
      <c r="F99" s="1154">
        <v>50</v>
      </c>
    </row>
    <row r="100" spans="1:6" s="1105" customFormat="1" ht="24">
      <c r="A100" s="1154">
        <v>40</v>
      </c>
      <c r="B100" s="3444"/>
      <c r="C100" s="1154" t="s">
        <v>1581</v>
      </c>
      <c r="D100" s="1068" t="s">
        <v>1582</v>
      </c>
      <c r="E100" s="1139">
        <v>0.2</v>
      </c>
      <c r="F100" s="1154">
        <v>30</v>
      </c>
    </row>
    <row r="101" spans="1:6" s="1105" customFormat="1" ht="36">
      <c r="A101" s="1154">
        <v>41</v>
      </c>
      <c r="B101" s="3444"/>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44" t="s">
        <v>1593</v>
      </c>
      <c r="C105" s="1154" t="s">
        <v>1594</v>
      </c>
      <c r="D105" s="1068" t="s">
        <v>1595</v>
      </c>
      <c r="E105" s="1139">
        <v>0.2</v>
      </c>
      <c r="F105" s="1154">
        <v>30</v>
      </c>
    </row>
    <row r="106" spans="1:6" s="1105" customFormat="1" ht="36">
      <c r="A106" s="1154">
        <v>46</v>
      </c>
      <c r="B106" s="3444"/>
      <c r="C106" s="1154" t="s">
        <v>1596</v>
      </c>
      <c r="D106" s="1068" t="s">
        <v>1597</v>
      </c>
      <c r="E106" s="1139">
        <v>0.2</v>
      </c>
      <c r="F106" s="1154">
        <v>30</v>
      </c>
    </row>
    <row r="107" spans="1:6" s="1105" customFormat="1" ht="36">
      <c r="A107" s="1154">
        <v>47</v>
      </c>
      <c r="B107" s="3444" t="s">
        <v>1598</v>
      </c>
      <c r="C107" s="1154" t="s">
        <v>1599</v>
      </c>
      <c r="D107" s="1068" t="s">
        <v>1600</v>
      </c>
      <c r="E107" s="1139">
        <v>0.3</v>
      </c>
      <c r="F107" s="1154">
        <v>50</v>
      </c>
    </row>
    <row r="108" spans="1:6" s="1105" customFormat="1" ht="36">
      <c r="A108" s="1154">
        <v>48</v>
      </c>
      <c r="B108" s="3444"/>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44" t="s">
        <v>1609</v>
      </c>
      <c r="C111" s="1154" t="s">
        <v>1610</v>
      </c>
      <c r="D111" s="1068" t="s">
        <v>1611</v>
      </c>
      <c r="E111" s="1139">
        <v>0.2</v>
      </c>
      <c r="F111" s="1154">
        <v>30</v>
      </c>
    </row>
    <row r="112" spans="1:6" s="1105" customFormat="1" ht="24">
      <c r="A112" s="1154">
        <v>52</v>
      </c>
      <c r="B112" s="3444"/>
      <c r="C112" s="1154" t="s">
        <v>1612</v>
      </c>
      <c r="D112" s="1068" t="s">
        <v>1613</v>
      </c>
      <c r="E112" s="1139">
        <v>0.2</v>
      </c>
      <c r="F112" s="1154">
        <v>30</v>
      </c>
    </row>
    <row r="113" spans="1:14" s="1105" customFormat="1" ht="24">
      <c r="A113" s="1154">
        <v>53</v>
      </c>
      <c r="B113" s="3444"/>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44" t="s">
        <v>1622</v>
      </c>
      <c r="C116" s="1154" t="s">
        <v>1623</v>
      </c>
      <c r="D116" s="1068" t="s">
        <v>1624</v>
      </c>
      <c r="E116" s="1139">
        <v>0.2</v>
      </c>
      <c r="F116" s="1154">
        <v>30</v>
      </c>
    </row>
    <row r="117" spans="1:14" ht="36">
      <c r="A117" s="1154">
        <v>57</v>
      </c>
      <c r="B117" s="3444"/>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43" t="s">
        <v>1631</v>
      </c>
      <c r="B121" s="3443"/>
      <c r="C121" s="3443"/>
      <c r="D121" s="3443"/>
      <c r="E121" s="3443"/>
      <c r="F121" s="3443"/>
      <c r="G121" s="3443"/>
      <c r="H121" s="3443"/>
      <c r="I121" s="3443"/>
      <c r="J121" s="344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1037</v>
      </c>
      <c r="B1" s="3456"/>
      <c r="C1" s="3456"/>
      <c r="D1" s="3456"/>
      <c r="E1" s="3456"/>
      <c r="F1" s="3456"/>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57" t="s">
        <v>1050</v>
      </c>
      <c r="B2" s="3457"/>
      <c r="C2" s="3457"/>
      <c r="D2" s="3457"/>
      <c r="E2" s="3457"/>
      <c r="F2" s="3457"/>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58"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59"/>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2078</v>
      </c>
      <c r="B1" s="3460"/>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1094</v>
      </c>
      <c r="B6" s="1860" t="s">
        <v>2087</v>
      </c>
      <c r="C6" s="1861">
        <v>0.1</v>
      </c>
      <c r="D6" s="1861">
        <v>9.0999999999999998E-2</v>
      </c>
      <c r="E6" s="1861">
        <v>9.0999999999999998E-2</v>
      </c>
      <c r="F6" s="1862">
        <v>0.1</v>
      </c>
    </row>
    <row r="7" spans="1:6" ht="14.25" thickBot="1">
      <c r="A7" s="1856" t="s">
        <v>1094</v>
      </c>
      <c r="B7" s="1863" t="s">
        <v>1082</v>
      </c>
      <c r="C7" s="1861">
        <v>8.5999999999999993E-2</v>
      </c>
      <c r="D7" s="1861">
        <v>9.6000000000000002E-2</v>
      </c>
      <c r="E7" s="1861">
        <v>7.5999999999999998E-2</v>
      </c>
      <c r="F7" s="1862">
        <v>0.1</v>
      </c>
    </row>
    <row r="8" spans="1:6" ht="14.25" thickBot="1">
      <c r="A8" s="1856" t="s">
        <v>1094</v>
      </c>
      <c r="B8" s="1860" t="s">
        <v>1095</v>
      </c>
      <c r="C8" s="1861">
        <v>9.9000000000000005E-2</v>
      </c>
      <c r="D8" s="1861">
        <v>9.8000000000000004E-2</v>
      </c>
      <c r="E8" s="1861">
        <v>9.8000000000000004E-2</v>
      </c>
      <c r="F8" s="1862">
        <v>0.1</v>
      </c>
    </row>
    <row r="9" spans="1:6" ht="14.25" thickBot="1">
      <c r="A9" s="1864" t="s">
        <v>1094</v>
      </c>
      <c r="B9" s="1865" t="s">
        <v>1109</v>
      </c>
      <c r="C9" s="1866">
        <v>0.05</v>
      </c>
      <c r="D9" s="1867"/>
      <c r="E9" s="1867"/>
      <c r="F9" s="1868"/>
    </row>
    <row r="10" spans="1:6" ht="14.25" thickBot="1">
      <c r="A10" s="1856" t="s">
        <v>1153</v>
      </c>
      <c r="B10" s="1857" t="s">
        <v>2088</v>
      </c>
      <c r="C10" s="1858">
        <v>8.8999999999999996E-2</v>
      </c>
      <c r="D10" s="1858">
        <v>7.2999999999999995E-2</v>
      </c>
      <c r="E10" s="1858">
        <v>8.2000000000000003E-2</v>
      </c>
      <c r="F10" s="1859">
        <v>0.1</v>
      </c>
    </row>
    <row r="11" spans="1:6" ht="14.25" thickBot="1">
      <c r="A11" s="1856" t="s">
        <v>1153</v>
      </c>
      <c r="B11" s="1863" t="s">
        <v>1069</v>
      </c>
      <c r="C11" s="1861">
        <v>8.8999999999999996E-2</v>
      </c>
      <c r="D11" s="1861">
        <v>7.2999999999999995E-2</v>
      </c>
      <c r="E11" s="1861">
        <v>8.2000000000000003E-2</v>
      </c>
      <c r="F11" s="1862">
        <v>0.1</v>
      </c>
    </row>
    <row r="12" spans="1:6" ht="14.25" thickBot="1">
      <c r="A12" s="1856" t="s">
        <v>1153</v>
      </c>
      <c r="B12" s="1863" t="s">
        <v>1083</v>
      </c>
      <c r="C12" s="1861">
        <v>6.0999999999999999E-2</v>
      </c>
      <c r="D12" s="1861">
        <v>7.0999999999999994E-2</v>
      </c>
      <c r="E12" s="1861">
        <v>9.6000000000000002E-2</v>
      </c>
      <c r="F12" s="1862">
        <v>0.1</v>
      </c>
    </row>
    <row r="13" spans="1:6" ht="14.25" thickBot="1">
      <c r="A13" s="1856" t="s">
        <v>1153</v>
      </c>
      <c r="B13" s="1863" t="s">
        <v>1096</v>
      </c>
      <c r="C13" s="1861">
        <v>6.9000000000000006E-2</v>
      </c>
      <c r="D13" s="1861">
        <v>6.5000000000000002E-2</v>
      </c>
      <c r="E13" s="1861">
        <v>6.6000000000000003E-2</v>
      </c>
      <c r="F13" s="1862">
        <v>0.1</v>
      </c>
    </row>
    <row r="14" spans="1:6" ht="14.25" thickBot="1">
      <c r="A14" s="1856" t="s">
        <v>1153</v>
      </c>
      <c r="B14" s="1863" t="s">
        <v>1110</v>
      </c>
      <c r="C14" s="1861">
        <v>0.1</v>
      </c>
      <c r="D14" s="1861">
        <v>6.5000000000000002E-2</v>
      </c>
      <c r="E14" s="1861">
        <v>7.0000000000000007E-2</v>
      </c>
      <c r="F14" s="1862">
        <v>0.1</v>
      </c>
    </row>
    <row r="15" spans="1:6" ht="14.25" thickBot="1">
      <c r="A15" s="1856" t="s">
        <v>1153</v>
      </c>
      <c r="B15" s="1863" t="s">
        <v>1121</v>
      </c>
      <c r="C15" s="1861">
        <v>9.8000000000000004E-2</v>
      </c>
      <c r="D15" s="1861">
        <v>8.8999999999999996E-2</v>
      </c>
      <c r="E15" s="1861">
        <v>8.8999999999999996E-2</v>
      </c>
      <c r="F15" s="1862">
        <v>0.1</v>
      </c>
    </row>
    <row r="16" spans="1:6" ht="14.25" thickBot="1">
      <c r="A16" s="1856" t="s">
        <v>1153</v>
      </c>
      <c r="B16" s="1863" t="s">
        <v>1132</v>
      </c>
      <c r="C16" s="1861">
        <v>7.0000000000000007E-2</v>
      </c>
      <c r="D16" s="1861">
        <v>9.2999999999999999E-2</v>
      </c>
      <c r="E16" s="1861">
        <v>9.6000000000000002E-2</v>
      </c>
      <c r="F16" s="1862">
        <v>0.1</v>
      </c>
    </row>
    <row r="17" spans="1:6" ht="14.25" thickBot="1">
      <c r="A17" s="1856" t="s">
        <v>1153</v>
      </c>
      <c r="B17" s="1863" t="s">
        <v>1143</v>
      </c>
      <c r="C17" s="1861">
        <v>9.5000000000000001E-2</v>
      </c>
      <c r="D17" s="1861">
        <v>0.1</v>
      </c>
      <c r="E17" s="1861">
        <v>0.1</v>
      </c>
      <c r="F17" s="1869"/>
    </row>
    <row r="18" spans="1:6" ht="14.25" thickBot="1">
      <c r="A18" s="1856" t="s">
        <v>1153</v>
      </c>
      <c r="B18" s="1863" t="s">
        <v>1155</v>
      </c>
      <c r="C18" s="1861">
        <v>7.3999999999999996E-2</v>
      </c>
      <c r="D18" s="1861">
        <v>9.9000000000000005E-2</v>
      </c>
      <c r="E18" s="1861">
        <v>0.1</v>
      </c>
      <c r="F18" s="1869"/>
    </row>
    <row r="19" spans="1:6" ht="14.25" thickBot="1">
      <c r="A19" s="1856" t="s">
        <v>1153</v>
      </c>
      <c r="B19" s="1863" t="s">
        <v>1165</v>
      </c>
      <c r="C19" s="1861">
        <v>9.9000000000000005E-2</v>
      </c>
      <c r="D19" s="1861">
        <v>7.5999999999999998E-2</v>
      </c>
      <c r="E19" s="1861">
        <v>8.6999999999999994E-2</v>
      </c>
      <c r="F19" s="1869"/>
    </row>
    <row r="20" spans="1:6" ht="14.25" thickBot="1">
      <c r="A20" s="1856" t="s">
        <v>1153</v>
      </c>
      <c r="B20" s="1863" t="s">
        <v>1175</v>
      </c>
      <c r="C20" s="1861">
        <v>9.8000000000000004E-2</v>
      </c>
      <c r="D20" s="1861">
        <v>8.5000000000000006E-2</v>
      </c>
      <c r="E20" s="1861">
        <v>8.2000000000000003E-2</v>
      </c>
      <c r="F20" s="1869"/>
    </row>
    <row r="21" spans="1:6" ht="14.25" thickBot="1">
      <c r="A21" s="1856" t="s">
        <v>1153</v>
      </c>
      <c r="B21" s="1863" t="s">
        <v>1185</v>
      </c>
      <c r="C21" s="1861">
        <v>6.6000000000000003E-2</v>
      </c>
      <c r="D21" s="1861">
        <v>6.4000000000000001E-2</v>
      </c>
      <c r="E21" s="1861">
        <v>6.5000000000000002E-2</v>
      </c>
      <c r="F21" s="1869"/>
    </row>
    <row r="22" spans="1:6" ht="14.25" thickBot="1">
      <c r="A22" s="1856" t="s">
        <v>1153</v>
      </c>
      <c r="B22" s="1863" t="s">
        <v>2089</v>
      </c>
      <c r="C22" s="1861">
        <v>0.08</v>
      </c>
      <c r="D22" s="1861">
        <v>9.8000000000000004E-2</v>
      </c>
      <c r="E22" s="1861">
        <v>9.8000000000000004E-2</v>
      </c>
      <c r="F22" s="1869"/>
    </row>
    <row r="23" spans="1:6" ht="14.25" thickBot="1">
      <c r="A23" s="1856" t="s">
        <v>1153</v>
      </c>
      <c r="B23" s="1863" t="s">
        <v>1205</v>
      </c>
      <c r="C23" s="1861">
        <v>9.9000000000000005E-2</v>
      </c>
      <c r="D23" s="1861">
        <v>9.8000000000000004E-2</v>
      </c>
      <c r="E23" s="1861">
        <v>9.0999999999999998E-2</v>
      </c>
      <c r="F23" s="1869"/>
    </row>
    <row r="24" spans="1:6" ht="14.25" thickBot="1">
      <c r="A24" s="1856" t="s">
        <v>1153</v>
      </c>
      <c r="B24" s="1863" t="s">
        <v>1215</v>
      </c>
      <c r="C24" s="1861">
        <v>8.8999999999999996E-2</v>
      </c>
      <c r="D24" s="1861">
        <v>9.7000000000000003E-2</v>
      </c>
      <c r="E24" s="1861">
        <v>7.0000000000000007E-2</v>
      </c>
      <c r="F24" s="1869"/>
    </row>
    <row r="25" spans="1:6" ht="14.25" thickBot="1">
      <c r="A25" s="1856" t="s">
        <v>1153</v>
      </c>
      <c r="B25" s="1863" t="s">
        <v>1225</v>
      </c>
      <c r="C25" s="1861">
        <v>8.8999999999999996E-2</v>
      </c>
      <c r="D25" s="1861">
        <v>0.1</v>
      </c>
      <c r="E25" s="1861">
        <v>8.1000000000000003E-2</v>
      </c>
      <c r="F25" s="1869"/>
    </row>
    <row r="26" spans="1:6" ht="14.25" thickBot="1">
      <c r="A26" s="1856" t="s">
        <v>1153</v>
      </c>
      <c r="B26" s="1863" t="s">
        <v>1235</v>
      </c>
      <c r="C26" s="1870"/>
      <c r="D26" s="1861">
        <v>9.6000000000000002E-2</v>
      </c>
      <c r="E26" s="1861">
        <v>9.2999999999999999E-2</v>
      </c>
      <c r="F26" s="1869"/>
    </row>
    <row r="27" spans="1:6" ht="14.25" thickBot="1">
      <c r="A27" s="1856" t="s">
        <v>1153</v>
      </c>
      <c r="B27" s="1863" t="s">
        <v>1245</v>
      </c>
      <c r="C27" s="1870"/>
      <c r="D27" s="1861">
        <v>7.5999999999999998E-2</v>
      </c>
      <c r="E27" s="1861">
        <v>9.1999999999999998E-2</v>
      </c>
      <c r="F27" s="1869"/>
    </row>
    <row r="28" spans="1:6" ht="14.25" thickBot="1">
      <c r="A28" s="1864" t="s">
        <v>1153</v>
      </c>
      <c r="B28" s="1865" t="s">
        <v>1255</v>
      </c>
      <c r="C28" s="1867"/>
      <c r="D28" s="1866">
        <v>7.5999999999999998E-2</v>
      </c>
      <c r="E28" s="1866">
        <v>9.1999999999999998E-2</v>
      </c>
      <c r="F28" s="1868"/>
    </row>
    <row r="29" spans="1:6" ht="14.25" thickBot="1">
      <c r="A29" s="1856" t="s">
        <v>1324</v>
      </c>
      <c r="B29" s="1857" t="s">
        <v>2090</v>
      </c>
      <c r="C29" s="1858">
        <v>6.4000000000000001E-2</v>
      </c>
      <c r="D29" s="1858">
        <v>6.5000000000000002E-2</v>
      </c>
      <c r="E29" s="1858">
        <v>6.9000000000000006E-2</v>
      </c>
      <c r="F29" s="1859">
        <v>0.1</v>
      </c>
    </row>
    <row r="30" spans="1:6" ht="14.25" thickBot="1">
      <c r="A30" s="1856" t="s">
        <v>1324</v>
      </c>
      <c r="B30" s="1863" t="s">
        <v>1070</v>
      </c>
      <c r="C30" s="1861">
        <v>6.4000000000000001E-2</v>
      </c>
      <c r="D30" s="1861">
        <v>9.9000000000000005E-2</v>
      </c>
      <c r="E30" s="1861">
        <v>0.1</v>
      </c>
      <c r="F30" s="1862">
        <v>0.1</v>
      </c>
    </row>
    <row r="31" spans="1:6" ht="14.25" thickBot="1">
      <c r="A31" s="1856" t="s">
        <v>1324</v>
      </c>
      <c r="B31" s="1863" t="s">
        <v>1084</v>
      </c>
      <c r="C31" s="1861">
        <v>0.1</v>
      </c>
      <c r="D31" s="1861">
        <v>9.5000000000000001E-2</v>
      </c>
      <c r="E31" s="1861">
        <v>8.8999999999999996E-2</v>
      </c>
      <c r="F31" s="1862">
        <v>0.1</v>
      </c>
    </row>
    <row r="32" spans="1:6" ht="14.25" thickBot="1">
      <c r="A32" s="1856" t="s">
        <v>1324</v>
      </c>
      <c r="B32" s="1863" t="s">
        <v>1097</v>
      </c>
      <c r="C32" s="1861">
        <v>0.05</v>
      </c>
      <c r="D32" s="1861">
        <v>0.05</v>
      </c>
      <c r="E32" s="1861">
        <v>8.7999999999999995E-2</v>
      </c>
      <c r="F32" s="1862">
        <v>0.1</v>
      </c>
    </row>
    <row r="33" spans="1:6" ht="14.25" thickBot="1">
      <c r="A33" s="1856" t="s">
        <v>1324</v>
      </c>
      <c r="B33" s="1863" t="s">
        <v>1111</v>
      </c>
      <c r="C33" s="1861">
        <v>7.4999999999999997E-2</v>
      </c>
      <c r="D33" s="1861">
        <v>9.4E-2</v>
      </c>
      <c r="E33" s="1861">
        <v>9.7000000000000003E-2</v>
      </c>
      <c r="F33" s="1862">
        <v>0.1</v>
      </c>
    </row>
    <row r="34" spans="1:6" ht="14.25" thickBot="1">
      <c r="A34" s="1856" t="s">
        <v>1324</v>
      </c>
      <c r="B34" s="1863" t="s">
        <v>1122</v>
      </c>
      <c r="C34" s="1861">
        <v>9.8000000000000004E-2</v>
      </c>
      <c r="D34" s="1861">
        <v>8.5999999999999993E-2</v>
      </c>
      <c r="E34" s="1861">
        <v>9.7000000000000003E-2</v>
      </c>
      <c r="F34" s="1862">
        <v>0.1</v>
      </c>
    </row>
    <row r="35" spans="1:6" ht="14.25" thickBot="1">
      <c r="A35" s="1856" t="s">
        <v>1324</v>
      </c>
      <c r="B35" s="1863" t="s">
        <v>1133</v>
      </c>
      <c r="C35" s="1861">
        <v>5.8999999999999997E-2</v>
      </c>
      <c r="D35" s="1861">
        <v>6.5000000000000002E-2</v>
      </c>
      <c r="E35" s="1861">
        <v>7.0000000000000007E-2</v>
      </c>
      <c r="F35" s="1862">
        <v>0.1</v>
      </c>
    </row>
    <row r="36" spans="1:6" ht="14.25" thickBot="1">
      <c r="A36" s="1856" t="s">
        <v>1324</v>
      </c>
      <c r="B36" s="1863" t="s">
        <v>1144</v>
      </c>
      <c r="C36" s="1861">
        <v>6.3E-2</v>
      </c>
      <c r="D36" s="1861">
        <v>0.1</v>
      </c>
      <c r="E36" s="1861">
        <v>0.1</v>
      </c>
      <c r="F36" s="1862">
        <v>0.1</v>
      </c>
    </row>
    <row r="37" spans="1:6" ht="14.25" thickBot="1">
      <c r="A37" s="1856" t="s">
        <v>1324</v>
      </c>
      <c r="B37" s="1863" t="s">
        <v>1156</v>
      </c>
      <c r="C37" s="1861">
        <v>7.3999999999999996E-2</v>
      </c>
      <c r="D37" s="1861">
        <v>0.1</v>
      </c>
      <c r="E37" s="1861">
        <v>0.1</v>
      </c>
      <c r="F37" s="1862">
        <v>0.1</v>
      </c>
    </row>
    <row r="38" spans="1:6" ht="14.25" thickBot="1">
      <c r="A38" s="1856" t="s">
        <v>1324</v>
      </c>
      <c r="B38" s="1863" t="s">
        <v>1166</v>
      </c>
      <c r="C38" s="1861">
        <v>0.1</v>
      </c>
      <c r="D38" s="1861">
        <v>9.6000000000000002E-2</v>
      </c>
      <c r="E38" s="1861">
        <v>9.6000000000000002E-2</v>
      </c>
      <c r="F38" s="1869"/>
    </row>
    <row r="39" spans="1:6" ht="14.25" thickBot="1">
      <c r="A39" s="1856" t="s">
        <v>1324</v>
      </c>
      <c r="B39" s="1863" t="s">
        <v>1176</v>
      </c>
      <c r="C39" s="1861">
        <v>0.1</v>
      </c>
      <c r="D39" s="1861">
        <v>9.6000000000000002E-2</v>
      </c>
      <c r="E39" s="1861">
        <v>9.6000000000000002E-2</v>
      </c>
      <c r="F39" s="1869"/>
    </row>
    <row r="40" spans="1:6" ht="14.25" thickBot="1">
      <c r="A40" s="1856" t="s">
        <v>1324</v>
      </c>
      <c r="B40" s="1863" t="s">
        <v>1186</v>
      </c>
      <c r="C40" s="1861">
        <v>9.6000000000000002E-2</v>
      </c>
      <c r="D40" s="1861">
        <v>0.1</v>
      </c>
      <c r="E40" s="1861">
        <v>9.9000000000000005E-2</v>
      </c>
      <c r="F40" s="1869"/>
    </row>
    <row r="41" spans="1:6" ht="14.25" thickBot="1">
      <c r="A41" s="1856" t="s">
        <v>1324</v>
      </c>
      <c r="B41" s="1863" t="s">
        <v>1196</v>
      </c>
      <c r="C41" s="1861">
        <v>9.6000000000000002E-2</v>
      </c>
      <c r="D41" s="1861">
        <v>9.8000000000000004E-2</v>
      </c>
      <c r="E41" s="1861">
        <v>9.8000000000000004E-2</v>
      </c>
      <c r="F41" s="1869"/>
    </row>
    <row r="42" spans="1:6" ht="14.25" thickBot="1">
      <c r="A42" s="1856" t="s">
        <v>1324</v>
      </c>
      <c r="B42" s="1863" t="s">
        <v>1206</v>
      </c>
      <c r="C42" s="1861">
        <v>0.1</v>
      </c>
      <c r="D42" s="1861">
        <v>8.7999999999999995E-2</v>
      </c>
      <c r="E42" s="1861">
        <v>0.1</v>
      </c>
      <c r="F42" s="1869"/>
    </row>
    <row r="43" spans="1:6" ht="14.25" thickBot="1">
      <c r="A43" s="1856" t="s">
        <v>1324</v>
      </c>
      <c r="B43" s="1863" t="s">
        <v>1216</v>
      </c>
      <c r="C43" s="1861">
        <v>9.8000000000000004E-2</v>
      </c>
      <c r="D43" s="1861">
        <v>9.7000000000000003E-2</v>
      </c>
      <c r="E43" s="1861">
        <v>9.6000000000000002E-2</v>
      </c>
      <c r="F43" s="1869"/>
    </row>
    <row r="44" spans="1:6" ht="14.25" thickBot="1">
      <c r="A44" s="1856" t="s">
        <v>1324</v>
      </c>
      <c r="B44" s="1863" t="s">
        <v>1226</v>
      </c>
      <c r="C44" s="1861">
        <v>8.5999999999999993E-2</v>
      </c>
      <c r="D44" s="1861">
        <v>7.9000000000000001E-2</v>
      </c>
      <c r="E44" s="1861">
        <v>7.0999999999999994E-2</v>
      </c>
      <c r="F44" s="1869"/>
    </row>
    <row r="45" spans="1:6" ht="14.25" thickBot="1">
      <c r="A45" s="1856" t="s">
        <v>1324</v>
      </c>
      <c r="B45" s="1863" t="s">
        <v>1236</v>
      </c>
      <c r="C45" s="1861">
        <v>9.8000000000000004E-2</v>
      </c>
      <c r="D45" s="1861">
        <v>9.6000000000000002E-2</v>
      </c>
      <c r="E45" s="1861">
        <v>9.6000000000000002E-2</v>
      </c>
      <c r="F45" s="1869"/>
    </row>
    <row r="46" spans="1:6" ht="14.25" thickBot="1">
      <c r="A46" s="1856" t="s">
        <v>1324</v>
      </c>
      <c r="B46" s="1863" t="s">
        <v>1246</v>
      </c>
      <c r="C46" s="1861">
        <v>8.5999999999999993E-2</v>
      </c>
      <c r="D46" s="1861">
        <v>9.8000000000000004E-2</v>
      </c>
      <c r="E46" s="1861">
        <v>8.7999999999999995E-2</v>
      </c>
      <c r="F46" s="1869"/>
    </row>
    <row r="47" spans="1:6" ht="14.25" thickBot="1">
      <c r="A47" s="1856" t="s">
        <v>1324</v>
      </c>
      <c r="B47" s="1863" t="s">
        <v>1256</v>
      </c>
      <c r="C47" s="1861">
        <v>9.6000000000000002E-2</v>
      </c>
      <c r="D47" s="1870"/>
      <c r="E47" s="1861">
        <v>6.9000000000000006E-2</v>
      </c>
      <c r="F47" s="1869"/>
    </row>
    <row r="48" spans="1:6" ht="14.25" thickBot="1">
      <c r="A48" s="1864" t="s">
        <v>1324</v>
      </c>
      <c r="B48" s="1865" t="s">
        <v>1265</v>
      </c>
      <c r="C48" s="1866">
        <v>9.8000000000000004E-2</v>
      </c>
      <c r="D48" s="1867"/>
      <c r="E48" s="1866">
        <v>9.5000000000000001E-2</v>
      </c>
      <c r="F48" s="1868"/>
    </row>
    <row r="49" spans="1:6" ht="14.25" thickBot="1">
      <c r="A49" s="1856" t="s">
        <v>922</v>
      </c>
      <c r="B49" s="1857" t="s">
        <v>2091</v>
      </c>
      <c r="C49" s="1858">
        <v>9.7000000000000003E-2</v>
      </c>
      <c r="D49" s="1858">
        <v>9.5000000000000001E-2</v>
      </c>
      <c r="E49" s="1858">
        <v>9.7000000000000003E-2</v>
      </c>
      <c r="F49" s="1859">
        <v>0.1</v>
      </c>
    </row>
    <row r="50" spans="1:6" ht="14.25" thickBot="1">
      <c r="A50" s="1856" t="s">
        <v>922</v>
      </c>
      <c r="B50" s="1860" t="s">
        <v>1071</v>
      </c>
      <c r="C50" s="1861">
        <v>7.4999999999999997E-2</v>
      </c>
      <c r="D50" s="1861">
        <v>9.5000000000000001E-2</v>
      </c>
      <c r="E50" s="1861">
        <v>0.1</v>
      </c>
      <c r="F50" s="1862">
        <v>0.1</v>
      </c>
    </row>
    <row r="51" spans="1:6" ht="14.25" thickBot="1">
      <c r="A51" s="1856" t="s">
        <v>922</v>
      </c>
      <c r="B51" s="1860" t="s">
        <v>1085</v>
      </c>
      <c r="C51" s="1861">
        <v>9.8000000000000004E-2</v>
      </c>
      <c r="D51" s="1861">
        <v>8.8999999999999996E-2</v>
      </c>
      <c r="E51" s="1861">
        <v>0.1</v>
      </c>
      <c r="F51" s="1862">
        <v>0.1</v>
      </c>
    </row>
    <row r="52" spans="1:6" ht="14.25" thickBot="1">
      <c r="A52" s="1856" t="s">
        <v>922</v>
      </c>
      <c r="B52" s="1860" t="s">
        <v>1098</v>
      </c>
      <c r="C52" s="1861">
        <v>9.8000000000000004E-2</v>
      </c>
      <c r="D52" s="1861">
        <v>9.7000000000000003E-2</v>
      </c>
      <c r="E52" s="1861">
        <v>8.1000000000000003E-2</v>
      </c>
      <c r="F52" s="1862">
        <v>0.1</v>
      </c>
    </row>
    <row r="53" spans="1:6" ht="14.25" thickBot="1">
      <c r="A53" s="1856" t="s">
        <v>922</v>
      </c>
      <c r="B53" s="1860" t="s">
        <v>1112</v>
      </c>
      <c r="C53" s="1861">
        <v>9.7000000000000003E-2</v>
      </c>
      <c r="D53" s="1861">
        <v>7.5999999999999998E-2</v>
      </c>
      <c r="E53" s="1861">
        <v>7.0999999999999994E-2</v>
      </c>
      <c r="F53" s="1862">
        <v>0.1</v>
      </c>
    </row>
    <row r="54" spans="1:6" ht="14.25" thickBot="1">
      <c r="A54" s="1856" t="s">
        <v>922</v>
      </c>
      <c r="B54" s="1860" t="s">
        <v>1123</v>
      </c>
      <c r="C54" s="1861">
        <v>7.5999999999999998E-2</v>
      </c>
      <c r="D54" s="1861">
        <v>0.1</v>
      </c>
      <c r="E54" s="1861">
        <v>9.9000000000000005E-2</v>
      </c>
      <c r="F54" s="1862">
        <v>0.1</v>
      </c>
    </row>
    <row r="55" spans="1:6" ht="14.25" thickBot="1">
      <c r="A55" s="1856" t="s">
        <v>922</v>
      </c>
      <c r="B55" s="1860" t="s">
        <v>1134</v>
      </c>
      <c r="C55" s="1861">
        <v>0.1</v>
      </c>
      <c r="D55" s="1861">
        <v>0.1</v>
      </c>
      <c r="E55" s="1861">
        <v>9.6000000000000002E-2</v>
      </c>
      <c r="F55" s="1862">
        <v>0.1</v>
      </c>
    </row>
    <row r="56" spans="1:6" ht="14.25" thickBot="1">
      <c r="A56" s="1856" t="s">
        <v>922</v>
      </c>
      <c r="B56" s="1860" t="s">
        <v>1145</v>
      </c>
      <c r="C56" s="1861">
        <v>0.1</v>
      </c>
      <c r="D56" s="1861">
        <v>9.6000000000000002E-2</v>
      </c>
      <c r="E56" s="1861">
        <v>5.1999999999999998E-2</v>
      </c>
      <c r="F56" s="1862">
        <v>0.1</v>
      </c>
    </row>
    <row r="57" spans="1:6" ht="14.25" thickBot="1">
      <c r="A57" s="1856" t="s">
        <v>922</v>
      </c>
      <c r="B57" s="1860" t="s">
        <v>1157</v>
      </c>
      <c r="C57" s="1861">
        <v>9.7000000000000003E-2</v>
      </c>
      <c r="D57" s="1861">
        <v>9.6000000000000002E-2</v>
      </c>
      <c r="E57" s="1861">
        <v>9.6000000000000002E-2</v>
      </c>
      <c r="F57" s="1862">
        <v>0.1</v>
      </c>
    </row>
    <row r="58" spans="1:6" ht="14.25" thickBot="1">
      <c r="A58" s="1856" t="s">
        <v>922</v>
      </c>
      <c r="B58" s="1860" t="s">
        <v>1167</v>
      </c>
      <c r="C58" s="1861">
        <v>9.6000000000000002E-2</v>
      </c>
      <c r="D58" s="1861">
        <v>9.9000000000000005E-2</v>
      </c>
      <c r="E58" s="1861">
        <v>9.6000000000000002E-2</v>
      </c>
      <c r="F58" s="1862">
        <v>0.1</v>
      </c>
    </row>
    <row r="59" spans="1:6" ht="14.25" thickBot="1">
      <c r="A59" s="1856" t="s">
        <v>922</v>
      </c>
      <c r="B59" s="1860" t="s">
        <v>1177</v>
      </c>
      <c r="C59" s="1861">
        <v>7.1999999999999995E-2</v>
      </c>
      <c r="D59" s="1861">
        <v>9.6000000000000002E-2</v>
      </c>
      <c r="E59" s="1861">
        <v>7.0999999999999994E-2</v>
      </c>
      <c r="F59" s="1862">
        <v>0.1</v>
      </c>
    </row>
    <row r="60" spans="1:6" ht="14.25" thickBot="1">
      <c r="A60" s="1856" t="s">
        <v>922</v>
      </c>
      <c r="B60" s="1860" t="s">
        <v>1187</v>
      </c>
      <c r="C60" s="1861">
        <v>9.6000000000000002E-2</v>
      </c>
      <c r="D60" s="1861">
        <v>8.8999999999999996E-2</v>
      </c>
      <c r="E60" s="1861">
        <v>9.6000000000000002E-2</v>
      </c>
      <c r="F60" s="1862">
        <v>0.1</v>
      </c>
    </row>
    <row r="61" spans="1:6" ht="14.25" thickBot="1">
      <c r="A61" s="1856" t="s">
        <v>922</v>
      </c>
      <c r="B61" s="1860" t="s">
        <v>1197</v>
      </c>
      <c r="C61" s="1861">
        <v>8.8999999999999996E-2</v>
      </c>
      <c r="D61" s="1861">
        <v>9.8000000000000004E-2</v>
      </c>
      <c r="E61" s="1861">
        <v>8.7999999999999995E-2</v>
      </c>
      <c r="F61" s="1869"/>
    </row>
    <row r="62" spans="1:6" ht="14.25" thickBot="1">
      <c r="A62" s="1856" t="s">
        <v>922</v>
      </c>
      <c r="B62" s="1860" t="s">
        <v>1207</v>
      </c>
      <c r="C62" s="1861">
        <v>9.8000000000000004E-2</v>
      </c>
      <c r="D62" s="1861">
        <v>9.2999999999999999E-2</v>
      </c>
      <c r="E62" s="1861">
        <v>9.7000000000000003E-2</v>
      </c>
      <c r="F62" s="1869"/>
    </row>
    <row r="63" spans="1:6" ht="14.25" thickBot="1">
      <c r="A63" s="1856" t="s">
        <v>922</v>
      </c>
      <c r="B63" s="1860" t="s">
        <v>1217</v>
      </c>
      <c r="C63" s="1861">
        <v>9.6000000000000002E-2</v>
      </c>
      <c r="D63" s="1861">
        <v>9.8000000000000004E-2</v>
      </c>
      <c r="E63" s="1861">
        <v>0.09</v>
      </c>
      <c r="F63" s="1869"/>
    </row>
    <row r="64" spans="1:6" ht="14.25" thickBot="1">
      <c r="A64" s="1856" t="s">
        <v>922</v>
      </c>
      <c r="B64" s="1860" t="s">
        <v>1227</v>
      </c>
      <c r="C64" s="1861">
        <v>9.9000000000000005E-2</v>
      </c>
      <c r="D64" s="1861">
        <v>9.7000000000000003E-2</v>
      </c>
      <c r="E64" s="1861">
        <v>9.9000000000000005E-2</v>
      </c>
      <c r="F64" s="1869"/>
    </row>
    <row r="65" spans="1:6" ht="14.25" thickBot="1">
      <c r="A65" s="1856" t="s">
        <v>922</v>
      </c>
      <c r="B65" s="1860" t="s">
        <v>1237</v>
      </c>
      <c r="C65" s="1861">
        <v>9.8000000000000004E-2</v>
      </c>
      <c r="D65" s="1861">
        <v>9.6000000000000002E-2</v>
      </c>
      <c r="E65" s="1861">
        <v>9.6000000000000002E-2</v>
      </c>
      <c r="F65" s="1869"/>
    </row>
    <row r="66" spans="1:6" ht="14.25" thickBot="1">
      <c r="A66" s="1856" t="s">
        <v>922</v>
      </c>
      <c r="B66" s="1860" t="s">
        <v>1247</v>
      </c>
      <c r="C66" s="1861">
        <v>9.6000000000000002E-2</v>
      </c>
      <c r="D66" s="1861">
        <v>9.1999999999999998E-2</v>
      </c>
      <c r="E66" s="1861">
        <v>9.6000000000000002E-2</v>
      </c>
      <c r="F66" s="1869"/>
    </row>
    <row r="67" spans="1:6" ht="14.25" thickBot="1">
      <c r="A67" s="1856" t="s">
        <v>922</v>
      </c>
      <c r="B67" s="1860" t="s">
        <v>1257</v>
      </c>
      <c r="C67" s="1861">
        <v>9.4E-2</v>
      </c>
      <c r="D67" s="1861">
        <v>0.1</v>
      </c>
      <c r="E67" s="1861">
        <v>8.7999999999999995E-2</v>
      </c>
      <c r="F67" s="1869"/>
    </row>
    <row r="68" spans="1:6" ht="14.25" thickBot="1">
      <c r="A68" s="1856" t="s">
        <v>922</v>
      </c>
      <c r="B68" s="1860" t="s">
        <v>1266</v>
      </c>
      <c r="C68" s="1861">
        <v>0.1</v>
      </c>
      <c r="D68" s="1861">
        <v>8.7999999999999995E-2</v>
      </c>
      <c r="E68" s="1861">
        <v>9.7000000000000003E-2</v>
      </c>
      <c r="F68" s="1869"/>
    </row>
    <row r="69" spans="1:6" ht="14.25" thickBot="1">
      <c r="A69" s="1856" t="s">
        <v>922</v>
      </c>
      <c r="B69" s="1860" t="s">
        <v>1275</v>
      </c>
      <c r="C69" s="1861">
        <v>6.4000000000000001E-2</v>
      </c>
      <c r="D69" s="1861">
        <v>0.1</v>
      </c>
      <c r="E69" s="1861">
        <v>0.1</v>
      </c>
      <c r="F69" s="1869"/>
    </row>
    <row r="70" spans="1:6" ht="14.25" thickBot="1">
      <c r="A70" s="1856" t="s">
        <v>922</v>
      </c>
      <c r="B70" s="1860" t="s">
        <v>1283</v>
      </c>
      <c r="C70" s="1861">
        <v>9.0999999999999998E-2</v>
      </c>
      <c r="D70" s="1870"/>
      <c r="E70" s="1870"/>
      <c r="F70" s="1869"/>
    </row>
    <row r="71" spans="1:6" ht="14.25" thickBot="1">
      <c r="A71" s="1856" t="s">
        <v>922</v>
      </c>
      <c r="B71" s="1860" t="s">
        <v>1290</v>
      </c>
      <c r="C71" s="1861">
        <v>0.1</v>
      </c>
      <c r="D71" s="1870"/>
      <c r="E71" s="1870"/>
      <c r="F71" s="1869"/>
    </row>
    <row r="72" spans="1:6" ht="14.25" thickBot="1">
      <c r="A72" s="1856" t="s">
        <v>922</v>
      </c>
      <c r="B72" s="1860" t="s">
        <v>2092</v>
      </c>
      <c r="C72" s="1870"/>
      <c r="D72" s="1870"/>
      <c r="E72" s="1870"/>
      <c r="F72" s="1862">
        <v>0.05</v>
      </c>
    </row>
    <row r="73" spans="1:6" ht="14.25" thickBot="1">
      <c r="A73" s="1856" t="s">
        <v>922</v>
      </c>
      <c r="B73" s="1860" t="s">
        <v>2093</v>
      </c>
      <c r="C73" s="1870"/>
      <c r="D73" s="1870"/>
      <c r="E73" s="1870"/>
      <c r="F73" s="1862">
        <v>0.05</v>
      </c>
    </row>
    <row r="74" spans="1:6" ht="14.25" thickBot="1">
      <c r="A74" s="1856" t="s">
        <v>922</v>
      </c>
      <c r="B74" s="1860" t="s">
        <v>2094</v>
      </c>
      <c r="C74" s="1870"/>
      <c r="D74" s="1870"/>
      <c r="E74" s="1870"/>
      <c r="F74" s="1862">
        <v>0.05</v>
      </c>
    </row>
    <row r="75" spans="1:6" ht="14.25" thickBot="1">
      <c r="A75" s="1864" t="s">
        <v>922</v>
      </c>
      <c r="B75" s="1871" t="s">
        <v>2095</v>
      </c>
      <c r="C75" s="1867"/>
      <c r="D75" s="1867"/>
      <c r="E75" s="1867"/>
      <c r="F75" s="1872">
        <v>0.05</v>
      </c>
    </row>
    <row r="76" spans="1:6" ht="14.25" thickBot="1">
      <c r="A76" s="1856" t="s">
        <v>1405</v>
      </c>
      <c r="B76" s="1857" t="s">
        <v>2096</v>
      </c>
      <c r="C76" s="1858">
        <v>0.1</v>
      </c>
      <c r="D76" s="1858">
        <v>0.1</v>
      </c>
      <c r="E76" s="1858">
        <v>0.1</v>
      </c>
      <c r="F76" s="1859">
        <v>0.1</v>
      </c>
    </row>
    <row r="77" spans="1:6" ht="14.25" thickBot="1">
      <c r="A77" s="1856" t="s">
        <v>1405</v>
      </c>
      <c r="B77" s="1860" t="s">
        <v>1072</v>
      </c>
      <c r="C77" s="1861">
        <v>8.7999999999999995E-2</v>
      </c>
      <c r="D77" s="1861">
        <v>8.6999999999999994E-2</v>
      </c>
      <c r="E77" s="1861">
        <v>7.9000000000000001E-2</v>
      </c>
      <c r="F77" s="1862">
        <v>0.1</v>
      </c>
    </row>
    <row r="78" spans="1:6" ht="14.25" thickBot="1">
      <c r="A78" s="1856" t="s">
        <v>1405</v>
      </c>
      <c r="B78" s="1860" t="s">
        <v>1086</v>
      </c>
      <c r="C78" s="1861">
        <v>8.6999999999999994E-2</v>
      </c>
      <c r="D78" s="1861">
        <v>8.4000000000000005E-2</v>
      </c>
      <c r="E78" s="1861">
        <v>9.6000000000000002E-2</v>
      </c>
      <c r="F78" s="1862">
        <v>0.1</v>
      </c>
    </row>
    <row r="79" spans="1:6" ht="14.25" thickBot="1">
      <c r="A79" s="1856" t="s">
        <v>1405</v>
      </c>
      <c r="B79" s="1860" t="s">
        <v>1099</v>
      </c>
      <c r="C79" s="1861">
        <v>9.8000000000000004E-2</v>
      </c>
      <c r="D79" s="1861">
        <v>9.8000000000000004E-2</v>
      </c>
      <c r="E79" s="1861">
        <v>9.0999999999999998E-2</v>
      </c>
      <c r="F79" s="1862">
        <v>0.1</v>
      </c>
    </row>
    <row r="80" spans="1:6" ht="14.25" thickBot="1">
      <c r="A80" s="1856" t="s">
        <v>1405</v>
      </c>
      <c r="B80" s="1860" t="s">
        <v>1113</v>
      </c>
      <c r="C80" s="1861">
        <v>9.6000000000000002E-2</v>
      </c>
      <c r="D80" s="1861">
        <v>9.6000000000000002E-2</v>
      </c>
      <c r="E80" s="1861">
        <v>0.1</v>
      </c>
      <c r="F80" s="1862">
        <v>0.1</v>
      </c>
    </row>
    <row r="81" spans="1:6" ht="14.25" thickBot="1">
      <c r="A81" s="1856" t="s">
        <v>1405</v>
      </c>
      <c r="B81" s="1860" t="s">
        <v>1124</v>
      </c>
      <c r="C81" s="1861">
        <v>9.9000000000000005E-2</v>
      </c>
      <c r="D81" s="1861">
        <v>9.9000000000000005E-2</v>
      </c>
      <c r="E81" s="1861">
        <v>9.8000000000000004E-2</v>
      </c>
      <c r="F81" s="1862">
        <v>0.1</v>
      </c>
    </row>
    <row r="82" spans="1:6" ht="14.25" thickBot="1">
      <c r="A82" s="1856" t="s">
        <v>1405</v>
      </c>
      <c r="B82" s="1860" t="s">
        <v>1135</v>
      </c>
      <c r="C82" s="1861">
        <v>9.9000000000000005E-2</v>
      </c>
      <c r="D82" s="1861">
        <v>9.9000000000000005E-2</v>
      </c>
      <c r="E82" s="1861">
        <v>9.7000000000000003E-2</v>
      </c>
      <c r="F82" s="1862">
        <v>0.1</v>
      </c>
    </row>
    <row r="83" spans="1:6" ht="14.25" thickBot="1">
      <c r="A83" s="1856" t="s">
        <v>1405</v>
      </c>
      <c r="B83" s="1860" t="s">
        <v>1146</v>
      </c>
      <c r="C83" s="1861">
        <v>9.8000000000000004E-2</v>
      </c>
      <c r="D83" s="1861">
        <v>9.8000000000000004E-2</v>
      </c>
      <c r="E83" s="1861">
        <v>9.8000000000000004E-2</v>
      </c>
      <c r="F83" s="1862">
        <v>0.1</v>
      </c>
    </row>
    <row r="84" spans="1:6" ht="14.25" thickBot="1">
      <c r="A84" s="1856" t="s">
        <v>1405</v>
      </c>
      <c r="B84" s="1860" t="s">
        <v>1158</v>
      </c>
      <c r="C84" s="1861">
        <v>9.9000000000000005E-2</v>
      </c>
      <c r="D84" s="1861">
        <v>9.9000000000000005E-2</v>
      </c>
      <c r="E84" s="1861">
        <v>9.9000000000000005E-2</v>
      </c>
      <c r="F84" s="1862">
        <v>0.1</v>
      </c>
    </row>
    <row r="85" spans="1:6" ht="14.25" thickBot="1">
      <c r="A85" s="1856" t="s">
        <v>1405</v>
      </c>
      <c r="B85" s="1860" t="s">
        <v>1168</v>
      </c>
      <c r="C85" s="1861">
        <v>9.9000000000000005E-2</v>
      </c>
      <c r="D85" s="1861">
        <v>9.9000000000000005E-2</v>
      </c>
      <c r="E85" s="1861">
        <v>9.9000000000000005E-2</v>
      </c>
      <c r="F85" s="1862">
        <v>0.1</v>
      </c>
    </row>
    <row r="86" spans="1:6" ht="14.25" thickBot="1">
      <c r="A86" s="1856" t="s">
        <v>1405</v>
      </c>
      <c r="B86" s="1860" t="s">
        <v>1178</v>
      </c>
      <c r="C86" s="1861">
        <v>0.1</v>
      </c>
      <c r="D86" s="1861">
        <v>0.1</v>
      </c>
      <c r="E86" s="1861">
        <v>7.6999999999999999E-2</v>
      </c>
      <c r="F86" s="1862">
        <v>0.1</v>
      </c>
    </row>
    <row r="87" spans="1:6" ht="14.25" thickBot="1">
      <c r="A87" s="1856" t="s">
        <v>1405</v>
      </c>
      <c r="B87" s="1860" t="s">
        <v>1188</v>
      </c>
      <c r="C87" s="1861">
        <v>0.1</v>
      </c>
      <c r="D87" s="1861">
        <v>0.1</v>
      </c>
      <c r="E87" s="1861">
        <v>9.8000000000000004E-2</v>
      </c>
      <c r="F87" s="1869"/>
    </row>
    <row r="88" spans="1:6" ht="14.25" thickBot="1">
      <c r="A88" s="1856" t="s">
        <v>1405</v>
      </c>
      <c r="B88" s="1860" t="s">
        <v>1198</v>
      </c>
      <c r="C88" s="1861">
        <v>9.1999999999999998E-2</v>
      </c>
      <c r="D88" s="1861">
        <v>8.5000000000000006E-2</v>
      </c>
      <c r="E88" s="1861">
        <v>9.6000000000000002E-2</v>
      </c>
      <c r="F88" s="1869"/>
    </row>
    <row r="89" spans="1:6" ht="14.25" thickBot="1">
      <c r="A89" s="1856" t="s">
        <v>1405</v>
      </c>
      <c r="B89" s="1860" t="s">
        <v>1208</v>
      </c>
      <c r="C89" s="1861">
        <v>0.1</v>
      </c>
      <c r="D89" s="1861">
        <v>0.1</v>
      </c>
      <c r="E89" s="1861">
        <v>9.7000000000000003E-2</v>
      </c>
      <c r="F89" s="1869"/>
    </row>
    <row r="90" spans="1:6" ht="14.25" thickBot="1">
      <c r="A90" s="1856" t="s">
        <v>1405</v>
      </c>
      <c r="B90" s="1860" t="s">
        <v>1218</v>
      </c>
      <c r="C90" s="1861">
        <v>9.8000000000000004E-2</v>
      </c>
      <c r="D90" s="1861">
        <v>9.8000000000000004E-2</v>
      </c>
      <c r="E90" s="1861">
        <v>8.7999999999999995E-2</v>
      </c>
      <c r="F90" s="1869"/>
    </row>
    <row r="91" spans="1:6" ht="14.25" thickBot="1">
      <c r="A91" s="1856" t="s">
        <v>1405</v>
      </c>
      <c r="B91" s="1860" t="s">
        <v>1228</v>
      </c>
      <c r="C91" s="1861">
        <v>9.9000000000000005E-2</v>
      </c>
      <c r="D91" s="1861">
        <v>9.9000000000000005E-2</v>
      </c>
      <c r="E91" s="1861">
        <v>9.0999999999999998E-2</v>
      </c>
      <c r="F91" s="1869"/>
    </row>
    <row r="92" spans="1:6" ht="14.25" thickBot="1">
      <c r="A92" s="1856" t="s">
        <v>1405</v>
      </c>
      <c r="B92" s="1860" t="s">
        <v>1238</v>
      </c>
      <c r="C92" s="1861">
        <v>9.6000000000000002E-2</v>
      </c>
      <c r="D92" s="1861">
        <v>9.6000000000000002E-2</v>
      </c>
      <c r="E92" s="1861">
        <v>7.2999999999999995E-2</v>
      </c>
      <c r="F92" s="1869"/>
    </row>
    <row r="93" spans="1:6" ht="14.25" thickBot="1">
      <c r="A93" s="1856" t="s">
        <v>1405</v>
      </c>
      <c r="B93" s="1860" t="s">
        <v>1248</v>
      </c>
      <c r="C93" s="1861">
        <v>9.6000000000000002E-2</v>
      </c>
      <c r="D93" s="1861">
        <v>9.6000000000000002E-2</v>
      </c>
      <c r="E93" s="1861">
        <v>9.9000000000000005E-2</v>
      </c>
      <c r="F93" s="1869"/>
    </row>
    <row r="94" spans="1:6" ht="14.25" thickBot="1">
      <c r="A94" s="1856" t="s">
        <v>1405</v>
      </c>
      <c r="B94" s="1860" t="s">
        <v>1258</v>
      </c>
      <c r="C94" s="1861">
        <v>7.5999999999999998E-2</v>
      </c>
      <c r="D94" s="1861">
        <v>7.3999999999999996E-2</v>
      </c>
      <c r="E94" s="1861">
        <v>9.7000000000000003E-2</v>
      </c>
      <c r="F94" s="1869"/>
    </row>
    <row r="95" spans="1:6" ht="14.25" thickBot="1">
      <c r="A95" s="1856" t="s">
        <v>1405</v>
      </c>
      <c r="B95" s="1860" t="s">
        <v>1267</v>
      </c>
      <c r="C95" s="1861">
        <v>9.9000000000000005E-2</v>
      </c>
      <c r="D95" s="1861">
        <v>9.4E-2</v>
      </c>
      <c r="E95" s="1861">
        <v>9.6000000000000002E-2</v>
      </c>
      <c r="F95" s="1869"/>
    </row>
    <row r="96" spans="1:6" ht="14.25" thickBot="1">
      <c r="A96" s="1856" t="s">
        <v>1405</v>
      </c>
      <c r="B96" s="1860" t="s">
        <v>1276</v>
      </c>
      <c r="C96" s="1861">
        <v>9.9000000000000005E-2</v>
      </c>
      <c r="D96" s="1861">
        <v>9.9000000000000005E-2</v>
      </c>
      <c r="E96" s="1861">
        <v>9.9000000000000005E-2</v>
      </c>
      <c r="F96" s="1869"/>
    </row>
    <row r="97" spans="1:6" ht="14.25" thickBot="1">
      <c r="A97" s="1856" t="s">
        <v>1405</v>
      </c>
      <c r="B97" s="1860" t="s">
        <v>1284</v>
      </c>
      <c r="C97" s="1861">
        <v>9.8000000000000004E-2</v>
      </c>
      <c r="D97" s="1861">
        <v>9.8000000000000004E-2</v>
      </c>
      <c r="E97" s="1861">
        <v>9.7000000000000003E-2</v>
      </c>
      <c r="F97" s="1869"/>
    </row>
    <row r="98" spans="1:6" ht="14.25" thickBot="1">
      <c r="A98" s="1856" t="s">
        <v>1405</v>
      </c>
      <c r="B98" s="1860" t="s">
        <v>1291</v>
      </c>
      <c r="C98" s="1861">
        <v>0.1</v>
      </c>
      <c r="D98" s="1861">
        <v>0.1</v>
      </c>
      <c r="E98" s="1861">
        <v>9.7000000000000003E-2</v>
      </c>
      <c r="F98" s="1869"/>
    </row>
    <row r="99" spans="1:6" ht="14.25" thickBot="1">
      <c r="A99" s="1856" t="s">
        <v>1405</v>
      </c>
      <c r="B99" s="1860" t="s">
        <v>1298</v>
      </c>
      <c r="C99" s="1861">
        <v>0.1</v>
      </c>
      <c r="D99" s="1861">
        <v>0.1</v>
      </c>
      <c r="E99" s="1870"/>
      <c r="F99" s="1869"/>
    </row>
    <row r="100" spans="1:6" ht="14.25" thickBot="1">
      <c r="A100" s="1856" t="s">
        <v>1405</v>
      </c>
      <c r="B100" s="1860" t="s">
        <v>1305</v>
      </c>
      <c r="C100" s="1861">
        <v>0.09</v>
      </c>
      <c r="D100" s="1861">
        <v>8.8999999999999996E-2</v>
      </c>
      <c r="E100" s="1870"/>
      <c r="F100" s="1869"/>
    </row>
    <row r="101" spans="1:6" ht="14.25" thickBot="1">
      <c r="A101" s="1856" t="s">
        <v>1405</v>
      </c>
      <c r="B101" s="1860" t="s">
        <v>1312</v>
      </c>
      <c r="C101" s="1861">
        <v>9.8000000000000004E-2</v>
      </c>
      <c r="D101" s="1861">
        <v>9.7000000000000003E-2</v>
      </c>
      <c r="E101" s="1870"/>
      <c r="F101" s="1869"/>
    </row>
    <row r="102" spans="1:6" ht="14.25" thickBot="1">
      <c r="A102" s="1856" t="s">
        <v>1405</v>
      </c>
      <c r="B102" s="1860" t="s">
        <v>2097</v>
      </c>
      <c r="C102" s="1870"/>
      <c r="D102" s="1870"/>
      <c r="E102" s="1870"/>
      <c r="F102" s="1862">
        <v>0.05</v>
      </c>
    </row>
    <row r="103" spans="1:6" ht="24.75" thickBot="1">
      <c r="A103" s="1856" t="s">
        <v>1405</v>
      </c>
      <c r="B103" s="1860" t="s">
        <v>2098</v>
      </c>
      <c r="C103" s="1870"/>
      <c r="D103" s="1870"/>
      <c r="E103" s="1870"/>
      <c r="F103" s="1862">
        <v>0.05</v>
      </c>
    </row>
    <row r="104" spans="1:6" ht="14.25" thickBot="1">
      <c r="A104" s="1856" t="s">
        <v>1405</v>
      </c>
      <c r="B104" s="1860" t="s">
        <v>2099</v>
      </c>
      <c r="C104" s="1870"/>
      <c r="D104" s="1870"/>
      <c r="E104" s="1870"/>
      <c r="F104" s="1862">
        <v>0.05</v>
      </c>
    </row>
    <row r="105" spans="1:6" ht="14.25" thickBot="1">
      <c r="A105" s="1856" t="s">
        <v>1405</v>
      </c>
      <c r="B105" s="1860" t="s">
        <v>2100</v>
      </c>
      <c r="C105" s="1870"/>
      <c r="D105" s="1870"/>
      <c r="E105" s="1870"/>
      <c r="F105" s="1862">
        <v>0.05</v>
      </c>
    </row>
    <row r="106" spans="1:6" ht="14.25" thickBot="1">
      <c r="A106" s="1856" t="s">
        <v>1405</v>
      </c>
      <c r="B106" s="1860" t="s">
        <v>2101</v>
      </c>
      <c r="C106" s="1870"/>
      <c r="D106" s="1870"/>
      <c r="E106" s="1870"/>
      <c r="F106" s="1862">
        <v>0.05</v>
      </c>
    </row>
    <row r="107" spans="1:6" ht="24.75" thickBot="1">
      <c r="A107" s="1856" t="s">
        <v>1405</v>
      </c>
      <c r="B107" s="1860" t="s">
        <v>2102</v>
      </c>
      <c r="C107" s="1870"/>
      <c r="D107" s="1870"/>
      <c r="E107" s="1870"/>
      <c r="F107" s="1862">
        <v>0.05</v>
      </c>
    </row>
    <row r="108" spans="1:6" ht="24.75" thickBot="1">
      <c r="A108" s="1856" t="s">
        <v>1405</v>
      </c>
      <c r="B108" s="1860" t="s">
        <v>2103</v>
      </c>
      <c r="C108" s="1870"/>
      <c r="D108" s="1870"/>
      <c r="E108" s="1870"/>
      <c r="F108" s="1862">
        <v>0.05</v>
      </c>
    </row>
    <row r="109" spans="1:6" ht="24.75" thickBot="1">
      <c r="A109" s="1864" t="s">
        <v>1405</v>
      </c>
      <c r="B109" s="1871" t="s">
        <v>2104</v>
      </c>
      <c r="C109" s="1867"/>
      <c r="D109" s="1867"/>
      <c r="E109" s="1867"/>
      <c r="F109" s="1872">
        <v>0.05</v>
      </c>
    </row>
    <row r="110" spans="1:6" ht="14.25" thickBot="1">
      <c r="A110" s="1856" t="s">
        <v>1407</v>
      </c>
      <c r="B110" s="1857" t="s">
        <v>2105</v>
      </c>
      <c r="C110" s="1858">
        <v>0.129</v>
      </c>
      <c r="D110" s="1858">
        <v>0.129</v>
      </c>
      <c r="E110" s="1858">
        <v>0.126</v>
      </c>
      <c r="F110" s="1859">
        <v>0.13</v>
      </c>
    </row>
    <row r="111" spans="1:6" ht="14.25" thickBot="1">
      <c r="A111" s="1856" t="s">
        <v>1407</v>
      </c>
      <c r="B111" s="1860" t="s">
        <v>1073</v>
      </c>
      <c r="C111" s="1861">
        <v>0.11</v>
      </c>
      <c r="D111" s="1861">
        <v>0.11</v>
      </c>
      <c r="E111" s="1861">
        <v>9.9000000000000005E-2</v>
      </c>
      <c r="F111" s="1862">
        <v>0.128</v>
      </c>
    </row>
    <row r="112" spans="1:6" ht="14.25" thickBot="1">
      <c r="A112" s="1856" t="s">
        <v>1407</v>
      </c>
      <c r="B112" s="1860" t="s">
        <v>1087</v>
      </c>
      <c r="C112" s="1861">
        <v>0.125</v>
      </c>
      <c r="D112" s="1861">
        <v>0.125</v>
      </c>
      <c r="E112" s="1861">
        <v>0.12</v>
      </c>
      <c r="F112" s="1862">
        <v>0.125</v>
      </c>
    </row>
    <row r="113" spans="1:6" ht="14.25" thickBot="1">
      <c r="A113" s="1856" t="s">
        <v>1407</v>
      </c>
      <c r="B113" s="1860" t="s">
        <v>1100</v>
      </c>
      <c r="C113" s="1861">
        <v>0.13</v>
      </c>
      <c r="D113" s="1861">
        <v>0.13</v>
      </c>
      <c r="E113" s="1861">
        <v>0.13</v>
      </c>
      <c r="F113" s="1862">
        <v>0.13</v>
      </c>
    </row>
    <row r="114" spans="1:6" ht="14.25" thickBot="1">
      <c r="A114" s="1856" t="s">
        <v>1407</v>
      </c>
      <c r="B114" s="1860" t="s">
        <v>1114</v>
      </c>
      <c r="C114" s="1861">
        <v>0.123</v>
      </c>
      <c r="D114" s="1861">
        <v>0.123</v>
      </c>
      <c r="E114" s="1861">
        <v>0.12</v>
      </c>
      <c r="F114" s="1862">
        <v>0.13</v>
      </c>
    </row>
    <row r="115" spans="1:6" ht="14.25" thickBot="1">
      <c r="A115" s="1856" t="s">
        <v>1407</v>
      </c>
      <c r="B115" s="1860" t="s">
        <v>1125</v>
      </c>
      <c r="C115" s="1861">
        <v>0.125</v>
      </c>
      <c r="D115" s="1861">
        <v>0.125</v>
      </c>
      <c r="E115" s="1861">
        <v>0.11700000000000001</v>
      </c>
      <c r="F115" s="1862">
        <v>0.13</v>
      </c>
    </row>
    <row r="116" spans="1:6" ht="14.25" thickBot="1">
      <c r="A116" s="1856" t="s">
        <v>1407</v>
      </c>
      <c r="B116" s="1860" t="s">
        <v>1136</v>
      </c>
      <c r="C116" s="1861">
        <v>0.11700000000000001</v>
      </c>
      <c r="D116" s="1861">
        <v>0.11700000000000001</v>
      </c>
      <c r="E116" s="1861">
        <v>8.7999999999999995E-2</v>
      </c>
      <c r="F116" s="1862">
        <v>0.13</v>
      </c>
    </row>
    <row r="117" spans="1:6" ht="14.25" thickBot="1">
      <c r="A117" s="1856" t="s">
        <v>1407</v>
      </c>
      <c r="B117" s="1860" t="s">
        <v>1147</v>
      </c>
      <c r="C117" s="1861">
        <v>0.13</v>
      </c>
      <c r="D117" s="1861">
        <v>0.13</v>
      </c>
      <c r="E117" s="1861">
        <v>0.129</v>
      </c>
      <c r="F117" s="1862">
        <v>0.13</v>
      </c>
    </row>
    <row r="118" spans="1:6" ht="14.25" thickBot="1">
      <c r="A118" s="1856" t="s">
        <v>1407</v>
      </c>
      <c r="B118" s="1860" t="s">
        <v>1159</v>
      </c>
      <c r="C118" s="1861">
        <v>0.123</v>
      </c>
      <c r="D118" s="1861">
        <v>0.123</v>
      </c>
      <c r="E118" s="1861">
        <v>0.11600000000000001</v>
      </c>
      <c r="F118" s="1862">
        <v>0.13</v>
      </c>
    </row>
    <row r="119" spans="1:6" ht="14.25" thickBot="1">
      <c r="A119" s="1856" t="s">
        <v>1407</v>
      </c>
      <c r="B119" s="1860" t="s">
        <v>1169</v>
      </c>
      <c r="C119" s="1861">
        <v>0.127</v>
      </c>
      <c r="D119" s="1861">
        <v>0.127</v>
      </c>
      <c r="E119" s="1861">
        <v>0.124</v>
      </c>
      <c r="F119" s="1862">
        <v>0.13</v>
      </c>
    </row>
    <row r="120" spans="1:6" ht="14.25" thickBot="1">
      <c r="A120" s="1856" t="s">
        <v>1407</v>
      </c>
      <c r="B120" s="1860" t="s">
        <v>1179</v>
      </c>
      <c r="C120" s="1861">
        <v>0.125</v>
      </c>
      <c r="D120" s="1861">
        <v>0.125</v>
      </c>
      <c r="E120" s="1861">
        <v>0.122</v>
      </c>
      <c r="F120" s="1862">
        <v>0.13</v>
      </c>
    </row>
    <row r="121" spans="1:6" ht="14.25" thickBot="1">
      <c r="A121" s="1856" t="s">
        <v>1407</v>
      </c>
      <c r="B121" s="1860" t="s">
        <v>1189</v>
      </c>
      <c r="C121" s="1861">
        <v>0.13</v>
      </c>
      <c r="D121" s="1861">
        <v>0.13</v>
      </c>
      <c r="E121" s="1861">
        <v>0.13</v>
      </c>
      <c r="F121" s="1862">
        <v>0.13</v>
      </c>
    </row>
    <row r="122" spans="1:6" ht="14.25" thickBot="1">
      <c r="A122" s="1856" t="s">
        <v>1407</v>
      </c>
      <c r="B122" s="1860" t="s">
        <v>1199</v>
      </c>
      <c r="C122" s="1861">
        <v>0.13</v>
      </c>
      <c r="D122" s="1861">
        <v>0.13</v>
      </c>
      <c r="E122" s="1861">
        <v>0.125</v>
      </c>
      <c r="F122" s="1862">
        <v>0.13</v>
      </c>
    </row>
    <row r="123" spans="1:6" ht="14.25" thickBot="1">
      <c r="A123" s="1856" t="s">
        <v>1407</v>
      </c>
      <c r="B123" s="1860" t="s">
        <v>1209</v>
      </c>
      <c r="C123" s="1861">
        <v>0.129</v>
      </c>
      <c r="D123" s="1861">
        <v>0.129</v>
      </c>
      <c r="E123" s="1861">
        <v>0.123</v>
      </c>
      <c r="F123" s="1862">
        <v>0.13</v>
      </c>
    </row>
    <row r="124" spans="1:6" ht="14.25" thickBot="1">
      <c r="A124" s="1856" t="s">
        <v>1407</v>
      </c>
      <c r="B124" s="1860" t="s">
        <v>1219</v>
      </c>
      <c r="C124" s="1861">
        <v>0.10199999999999999</v>
      </c>
      <c r="D124" s="1861">
        <v>0.10100000000000001</v>
      </c>
      <c r="E124" s="1861">
        <v>0.08</v>
      </c>
      <c r="F124" s="1869"/>
    </row>
    <row r="125" spans="1:6" ht="14.25" thickBot="1">
      <c r="A125" s="1856" t="s">
        <v>1407</v>
      </c>
      <c r="B125" s="1860" t="s">
        <v>1229</v>
      </c>
      <c r="C125" s="1861">
        <v>0.13</v>
      </c>
      <c r="D125" s="1861">
        <v>0.13</v>
      </c>
      <c r="E125" s="1861">
        <v>0.129</v>
      </c>
      <c r="F125" s="1869"/>
    </row>
    <row r="126" spans="1:6" ht="14.25" thickBot="1">
      <c r="A126" s="1856" t="s">
        <v>1407</v>
      </c>
      <c r="B126" s="1860" t="s">
        <v>1239</v>
      </c>
      <c r="C126" s="1861">
        <v>0.13</v>
      </c>
      <c r="D126" s="1861">
        <v>0.13</v>
      </c>
      <c r="E126" s="1861">
        <v>0.126</v>
      </c>
      <c r="F126" s="1869"/>
    </row>
    <row r="127" spans="1:6" ht="14.25" thickBot="1">
      <c r="A127" s="1856" t="s">
        <v>1407</v>
      </c>
      <c r="B127" s="1860" t="s">
        <v>1249</v>
      </c>
      <c r="C127" s="1861">
        <v>0.125</v>
      </c>
      <c r="D127" s="1861">
        <v>0.125</v>
      </c>
      <c r="E127" s="1861">
        <v>0.121</v>
      </c>
      <c r="F127" s="1869"/>
    </row>
    <row r="128" spans="1:6" ht="14.25" thickBot="1">
      <c r="A128" s="1856" t="s">
        <v>1407</v>
      </c>
      <c r="B128" s="1860" t="s">
        <v>1259</v>
      </c>
      <c r="C128" s="1861">
        <v>0.12</v>
      </c>
      <c r="D128" s="1861">
        <v>0.12</v>
      </c>
      <c r="E128" s="1861">
        <v>0.105</v>
      </c>
      <c r="F128" s="1869"/>
    </row>
    <row r="129" spans="1:6" ht="14.25" thickBot="1">
      <c r="A129" s="1856" t="s">
        <v>1407</v>
      </c>
      <c r="B129" s="1860" t="s">
        <v>1268</v>
      </c>
      <c r="C129" s="1861">
        <v>0.13</v>
      </c>
      <c r="D129" s="1861">
        <v>0.13</v>
      </c>
      <c r="E129" s="1861">
        <v>0.126</v>
      </c>
      <c r="F129" s="1869"/>
    </row>
    <row r="130" spans="1:6" ht="14.25" thickBot="1">
      <c r="A130" s="1856" t="s">
        <v>1407</v>
      </c>
      <c r="B130" s="1860" t="s">
        <v>1277</v>
      </c>
      <c r="C130" s="1861">
        <v>0.125</v>
      </c>
      <c r="D130" s="1861">
        <v>0.125</v>
      </c>
      <c r="E130" s="1861">
        <v>0.122</v>
      </c>
      <c r="F130" s="1869"/>
    </row>
    <row r="131" spans="1:6" ht="14.25" thickBot="1">
      <c r="A131" s="1856" t="s">
        <v>1407</v>
      </c>
      <c r="B131" s="1860" t="s">
        <v>1285</v>
      </c>
      <c r="C131" s="1861">
        <v>0.127</v>
      </c>
      <c r="D131" s="1861">
        <v>0.126</v>
      </c>
      <c r="E131" s="1861">
        <v>0.123</v>
      </c>
      <c r="F131" s="1869"/>
    </row>
    <row r="132" spans="1:6" ht="14.25" thickBot="1">
      <c r="A132" s="1856" t="s">
        <v>1407</v>
      </c>
      <c r="B132" s="1860" t="s">
        <v>1292</v>
      </c>
      <c r="C132" s="1861">
        <v>9.0999999999999998E-2</v>
      </c>
      <c r="D132" s="1861">
        <v>0.121</v>
      </c>
      <c r="E132" s="1861">
        <v>9.9000000000000005E-2</v>
      </c>
      <c r="F132" s="1869"/>
    </row>
    <row r="133" spans="1:6" ht="14.25" thickBot="1">
      <c r="A133" s="1856" t="s">
        <v>1407</v>
      </c>
      <c r="B133" s="1860" t="s">
        <v>1299</v>
      </c>
      <c r="C133" s="1861">
        <v>0.13</v>
      </c>
      <c r="D133" s="1861">
        <v>0.13</v>
      </c>
      <c r="E133" s="1861">
        <v>0.129</v>
      </c>
      <c r="F133" s="1869"/>
    </row>
    <row r="134" spans="1:6" ht="14.25" thickBot="1">
      <c r="A134" s="1856" t="s">
        <v>1407</v>
      </c>
      <c r="B134" s="1860" t="s">
        <v>2106</v>
      </c>
      <c r="C134" s="1861">
        <v>6.8000000000000005E-2</v>
      </c>
      <c r="D134" s="1861">
        <v>6.5000000000000002E-2</v>
      </c>
      <c r="E134" s="1861">
        <v>6.5000000000000002E-2</v>
      </c>
      <c r="F134" s="1862">
        <v>0.13</v>
      </c>
    </row>
    <row r="135" spans="1:6" ht="14.25" thickBot="1">
      <c r="A135" s="1856" t="s">
        <v>1407</v>
      </c>
      <c r="B135" s="1860" t="s">
        <v>1313</v>
      </c>
      <c r="C135" s="1861">
        <v>0.123</v>
      </c>
      <c r="D135" s="1861">
        <v>0.123</v>
      </c>
      <c r="E135" s="1861">
        <v>0.11</v>
      </c>
      <c r="F135" s="1869"/>
    </row>
    <row r="136" spans="1:6" ht="14.25" thickBot="1">
      <c r="A136" s="1856" t="s">
        <v>1407</v>
      </c>
      <c r="B136" s="1860" t="s">
        <v>1320</v>
      </c>
      <c r="C136" s="1861">
        <v>0.13</v>
      </c>
      <c r="D136" s="1861">
        <v>0.13</v>
      </c>
      <c r="E136" s="1861">
        <v>0.125</v>
      </c>
      <c r="F136" s="1869"/>
    </row>
    <row r="137" spans="1:6" ht="14.25" thickBot="1">
      <c r="A137" s="1856" t="s">
        <v>1407</v>
      </c>
      <c r="B137" s="1860" t="s">
        <v>1327</v>
      </c>
      <c r="C137" s="1861">
        <v>0.121</v>
      </c>
      <c r="D137" s="1861">
        <v>0.122</v>
      </c>
      <c r="E137" s="1861">
        <v>0.115</v>
      </c>
      <c r="F137" s="1869"/>
    </row>
    <row r="138" spans="1:6" ht="14.25" thickBot="1">
      <c r="A138" s="1856" t="s">
        <v>1407</v>
      </c>
      <c r="B138" s="1860" t="s">
        <v>2107</v>
      </c>
      <c r="C138" s="1861">
        <v>0.105</v>
      </c>
      <c r="D138" s="1861">
        <v>0.125</v>
      </c>
      <c r="E138" s="1861">
        <v>0.112</v>
      </c>
      <c r="F138" s="1869"/>
    </row>
    <row r="139" spans="1:6" ht="14.25" thickBot="1">
      <c r="A139" s="1856" t="s">
        <v>1407</v>
      </c>
      <c r="B139" s="1860" t="s">
        <v>2108</v>
      </c>
      <c r="C139" s="1861">
        <v>0.127</v>
      </c>
      <c r="D139" s="1861">
        <v>0.127</v>
      </c>
      <c r="E139" s="1861">
        <v>0.122</v>
      </c>
      <c r="F139" s="1862">
        <v>0.13</v>
      </c>
    </row>
    <row r="140" spans="1:6" ht="14.25" thickBot="1">
      <c r="A140" s="1856" t="s">
        <v>1407</v>
      </c>
      <c r="B140" s="1860" t="s">
        <v>2109</v>
      </c>
      <c r="C140" s="1861">
        <v>0.125</v>
      </c>
      <c r="D140" s="1861">
        <v>0.125</v>
      </c>
      <c r="E140" s="1861">
        <v>0.11899999999999999</v>
      </c>
      <c r="F140" s="1862">
        <v>0.13</v>
      </c>
    </row>
    <row r="141" spans="1:6" ht="14.25" thickBot="1">
      <c r="A141" s="1856" t="s">
        <v>1407</v>
      </c>
      <c r="B141" s="1860" t="s">
        <v>1346</v>
      </c>
      <c r="C141" s="1861">
        <v>0.125</v>
      </c>
      <c r="D141" s="1861">
        <v>0.125</v>
      </c>
      <c r="E141" s="1861">
        <v>0.11700000000000001</v>
      </c>
      <c r="F141" s="1869"/>
    </row>
    <row r="142" spans="1:6" ht="14.25" thickBot="1">
      <c r="A142" s="1856" t="s">
        <v>1407</v>
      </c>
      <c r="B142" s="1860" t="s">
        <v>1351</v>
      </c>
      <c r="C142" s="1861">
        <v>0.125</v>
      </c>
      <c r="D142" s="1861">
        <v>0.125</v>
      </c>
      <c r="E142" s="1861">
        <v>0.115</v>
      </c>
      <c r="F142" s="1869"/>
    </row>
    <row r="143" spans="1:6" ht="14.25" thickBot="1">
      <c r="A143" s="1856" t="s">
        <v>1407</v>
      </c>
      <c r="B143" s="1860" t="s">
        <v>1356</v>
      </c>
      <c r="C143" s="1861">
        <v>0.121</v>
      </c>
      <c r="D143" s="1861">
        <v>0.121</v>
      </c>
      <c r="E143" s="1861">
        <v>0.108</v>
      </c>
      <c r="F143" s="1869"/>
    </row>
    <row r="144" spans="1:6" ht="14.25" thickBot="1">
      <c r="A144" s="1856" t="s">
        <v>1407</v>
      </c>
      <c r="B144" s="1873" t="s">
        <v>2110</v>
      </c>
      <c r="C144" s="1874">
        <v>0.126</v>
      </c>
      <c r="D144" s="1874">
        <v>0.126</v>
      </c>
      <c r="E144" s="1874">
        <v>0.121</v>
      </c>
      <c r="F144" s="1869"/>
    </row>
    <row r="145" spans="1:6" ht="14.25" thickBot="1">
      <c r="A145" s="1864" t="s">
        <v>1407</v>
      </c>
      <c r="B145" s="1875" t="s">
        <v>2111</v>
      </c>
      <c r="C145" s="1876"/>
      <c r="D145" s="1876"/>
      <c r="E145" s="1876"/>
      <c r="F145" s="1877">
        <v>0.05</v>
      </c>
    </row>
    <row r="146" spans="1:6" ht="24.75" thickBot="1">
      <c r="A146" s="1878" t="s">
        <v>1407</v>
      </c>
      <c r="B146" s="1863" t="s">
        <v>2112</v>
      </c>
      <c r="C146" s="1870"/>
      <c r="D146" s="1870"/>
      <c r="E146" s="1870"/>
      <c r="F146" s="1879">
        <v>0.05</v>
      </c>
    </row>
    <row r="147" spans="1:6" ht="24.75" thickBot="1">
      <c r="A147" s="1856" t="s">
        <v>1407</v>
      </c>
      <c r="B147" s="1860" t="s">
        <v>2113</v>
      </c>
      <c r="C147" s="1870"/>
      <c r="D147" s="1870"/>
      <c r="E147" s="1870"/>
      <c r="F147" s="1862">
        <v>0.05</v>
      </c>
    </row>
    <row r="148" spans="1:6" ht="24.75" thickBot="1">
      <c r="A148" s="1856" t="s">
        <v>1407</v>
      </c>
      <c r="B148" s="1860" t="s">
        <v>2114</v>
      </c>
      <c r="C148" s="1870"/>
      <c r="D148" s="1870"/>
      <c r="E148" s="1870"/>
      <c r="F148" s="1862">
        <v>0.05</v>
      </c>
    </row>
    <row r="149" spans="1:6" ht="24.75" thickBot="1">
      <c r="A149" s="1856" t="s">
        <v>1407</v>
      </c>
      <c r="B149" s="1860" t="s">
        <v>2115</v>
      </c>
      <c r="C149" s="1870"/>
      <c r="D149" s="1870"/>
      <c r="E149" s="1870"/>
      <c r="F149" s="1862">
        <v>0.05</v>
      </c>
    </row>
    <row r="150" spans="1:6" ht="24.75" thickBot="1">
      <c r="A150" s="1856" t="s">
        <v>1407</v>
      </c>
      <c r="B150" s="1860" t="s">
        <v>2116</v>
      </c>
      <c r="C150" s="1870"/>
      <c r="D150" s="1870"/>
      <c r="E150" s="1870"/>
      <c r="F150" s="1862">
        <v>0.05</v>
      </c>
    </row>
    <row r="151" spans="1:6" ht="24.75" thickBot="1">
      <c r="A151" s="1856" t="s">
        <v>1407</v>
      </c>
      <c r="B151" s="1860" t="s">
        <v>2117</v>
      </c>
      <c r="C151" s="1870"/>
      <c r="D151" s="1870"/>
      <c r="E151" s="1870"/>
      <c r="F151" s="1862">
        <v>0.05</v>
      </c>
    </row>
    <row r="152" spans="1:6" ht="24.75" thickBot="1">
      <c r="A152" s="1856" t="s">
        <v>1407</v>
      </c>
      <c r="B152" s="1860" t="s">
        <v>1389</v>
      </c>
      <c r="C152" s="1870"/>
      <c r="D152" s="1870"/>
      <c r="E152" s="1870"/>
      <c r="F152" s="1862">
        <v>0.05</v>
      </c>
    </row>
    <row r="153" spans="1:6" ht="14.25" thickBot="1">
      <c r="A153" s="1856" t="s">
        <v>1407</v>
      </c>
      <c r="B153" s="1860" t="s">
        <v>2118</v>
      </c>
      <c r="C153" s="1870"/>
      <c r="D153" s="1870"/>
      <c r="E153" s="1870"/>
      <c r="F153" s="1862">
        <v>0.05</v>
      </c>
    </row>
    <row r="154" spans="1:6" ht="14.25" thickBot="1">
      <c r="A154" s="1856" t="s">
        <v>1407</v>
      </c>
      <c r="B154" s="1860" t="s">
        <v>2119</v>
      </c>
      <c r="C154" s="1870"/>
      <c r="D154" s="1870"/>
      <c r="E154" s="1870"/>
      <c r="F154" s="1862">
        <v>0.05</v>
      </c>
    </row>
    <row r="155" spans="1:6" ht="24.75" thickBot="1">
      <c r="A155" s="1856" t="s">
        <v>1407</v>
      </c>
      <c r="B155" s="1860" t="s">
        <v>2120</v>
      </c>
      <c r="C155" s="1870"/>
      <c r="D155" s="1870"/>
      <c r="E155" s="1870"/>
      <c r="F155" s="1862">
        <v>0.05</v>
      </c>
    </row>
    <row r="156" spans="1:6" ht="24.75" thickBot="1">
      <c r="A156" s="1856" t="s">
        <v>1407</v>
      </c>
      <c r="B156" s="1860" t="s">
        <v>2121</v>
      </c>
      <c r="C156" s="1870"/>
      <c r="D156" s="1870"/>
      <c r="E156" s="1870"/>
      <c r="F156" s="1862">
        <v>0.05</v>
      </c>
    </row>
    <row r="157" spans="1:6" ht="14.25" thickBot="1">
      <c r="A157" s="1864" t="s">
        <v>1407</v>
      </c>
      <c r="B157" s="1871" t="s">
        <v>2122</v>
      </c>
      <c r="C157" s="1867"/>
      <c r="D157" s="1867"/>
      <c r="E157" s="1867"/>
      <c r="F157" s="1872">
        <v>0.05</v>
      </c>
    </row>
    <row r="158" spans="1:6" ht="14.25" thickBot="1">
      <c r="A158" s="1856" t="s">
        <v>1409</v>
      </c>
      <c r="B158" s="1857" t="s">
        <v>2123</v>
      </c>
      <c r="C158" s="1858">
        <v>0.13</v>
      </c>
      <c r="D158" s="1858">
        <v>0.13</v>
      </c>
      <c r="E158" s="1858">
        <v>0.13</v>
      </c>
      <c r="F158" s="1859">
        <v>0.13</v>
      </c>
    </row>
    <row r="159" spans="1:6" ht="14.25" thickBot="1">
      <c r="A159" s="1856" t="s">
        <v>1409</v>
      </c>
      <c r="B159" s="1860" t="s">
        <v>1074</v>
      </c>
      <c r="C159" s="1861">
        <v>0.13</v>
      </c>
      <c r="D159" s="1861">
        <v>0.13</v>
      </c>
      <c r="E159" s="1861">
        <v>0.13</v>
      </c>
      <c r="F159" s="1862">
        <v>0.13</v>
      </c>
    </row>
    <row r="160" spans="1:6" ht="14.25" thickBot="1">
      <c r="A160" s="1856" t="s">
        <v>1409</v>
      </c>
      <c r="B160" s="1860" t="s">
        <v>1088</v>
      </c>
      <c r="C160" s="1861">
        <v>0.13</v>
      </c>
      <c r="D160" s="1861">
        <v>0.13</v>
      </c>
      <c r="E160" s="1861">
        <v>0.129</v>
      </c>
      <c r="F160" s="1862">
        <v>0.13</v>
      </c>
    </row>
    <row r="161" spans="1:6" ht="14.25" thickBot="1">
      <c r="A161" s="1856" t="s">
        <v>1409</v>
      </c>
      <c r="B161" s="1860" t="s">
        <v>1101</v>
      </c>
      <c r="C161" s="1861">
        <v>0.128</v>
      </c>
      <c r="D161" s="1861">
        <v>0.128</v>
      </c>
      <c r="E161" s="1861">
        <v>0.125</v>
      </c>
      <c r="F161" s="1862">
        <v>0.13</v>
      </c>
    </row>
    <row r="162" spans="1:6" ht="14.25" thickBot="1">
      <c r="A162" s="1856" t="s">
        <v>1409</v>
      </c>
      <c r="B162" s="1860" t="s">
        <v>1115</v>
      </c>
      <c r="C162" s="1861">
        <v>0.122</v>
      </c>
      <c r="D162" s="1861">
        <v>0.122</v>
      </c>
      <c r="E162" s="1861">
        <v>0.126</v>
      </c>
      <c r="F162" s="1862">
        <v>0.122</v>
      </c>
    </row>
    <row r="163" spans="1:6" ht="14.25" thickBot="1">
      <c r="A163" s="1856" t="s">
        <v>1409</v>
      </c>
      <c r="B163" s="1860" t="s">
        <v>1126</v>
      </c>
      <c r="C163" s="1861">
        <v>0.13</v>
      </c>
      <c r="D163" s="1861">
        <v>0.13</v>
      </c>
      <c r="E163" s="1861">
        <v>0.125</v>
      </c>
      <c r="F163" s="1862">
        <v>0.13</v>
      </c>
    </row>
    <row r="164" spans="1:6" ht="14.25" thickBot="1">
      <c r="A164" s="1856" t="s">
        <v>1409</v>
      </c>
      <c r="B164" s="1860" t="s">
        <v>1137</v>
      </c>
      <c r="C164" s="1861">
        <v>0.13</v>
      </c>
      <c r="D164" s="1861">
        <v>0.13</v>
      </c>
      <c r="E164" s="1861">
        <v>0.13</v>
      </c>
      <c r="F164" s="1862">
        <v>0.13</v>
      </c>
    </row>
    <row r="165" spans="1:6" ht="14.25" thickBot="1">
      <c r="A165" s="1856" t="s">
        <v>1409</v>
      </c>
      <c r="B165" s="1860" t="s">
        <v>1148</v>
      </c>
      <c r="C165" s="1861">
        <v>0.13</v>
      </c>
      <c r="D165" s="1861">
        <v>0.13</v>
      </c>
      <c r="E165" s="1861">
        <v>0.124</v>
      </c>
      <c r="F165" s="1862">
        <v>0.13</v>
      </c>
    </row>
    <row r="166" spans="1:6" ht="14.25" thickBot="1">
      <c r="A166" s="1856" t="s">
        <v>1409</v>
      </c>
      <c r="B166" s="1860" t="s">
        <v>1160</v>
      </c>
      <c r="C166" s="1861">
        <v>0.13</v>
      </c>
      <c r="D166" s="1861">
        <v>0.13</v>
      </c>
      <c r="E166" s="1861">
        <v>0.13</v>
      </c>
      <c r="F166" s="1862">
        <v>0.13</v>
      </c>
    </row>
    <row r="167" spans="1:6" ht="14.25" thickBot="1">
      <c r="A167" s="1856" t="s">
        <v>1409</v>
      </c>
      <c r="B167" s="1860" t="s">
        <v>1170</v>
      </c>
      <c r="C167" s="1861">
        <v>0.125</v>
      </c>
      <c r="D167" s="1861">
        <v>0.125</v>
      </c>
      <c r="E167" s="1861">
        <v>0.121</v>
      </c>
      <c r="F167" s="1869"/>
    </row>
    <row r="168" spans="1:6" ht="14.25" thickBot="1">
      <c r="A168" s="1856" t="s">
        <v>1409</v>
      </c>
      <c r="B168" s="1860" t="s">
        <v>1180</v>
      </c>
      <c r="C168" s="1861">
        <v>0.13</v>
      </c>
      <c r="D168" s="1861">
        <v>0.13</v>
      </c>
      <c r="E168" s="1861">
        <v>0.126</v>
      </c>
      <c r="F168" s="1869"/>
    </row>
    <row r="169" spans="1:6" ht="14.25" thickBot="1">
      <c r="A169" s="1856" t="s">
        <v>1409</v>
      </c>
      <c r="B169" s="1860" t="s">
        <v>1190</v>
      </c>
      <c r="C169" s="1861">
        <v>0.128</v>
      </c>
      <c r="D169" s="1861">
        <v>0.129</v>
      </c>
      <c r="E169" s="1861">
        <v>0.13</v>
      </c>
      <c r="F169" s="1869"/>
    </row>
    <row r="170" spans="1:6" ht="14.25" thickBot="1">
      <c r="A170" s="1856" t="s">
        <v>1409</v>
      </c>
      <c r="B170" s="1860" t="s">
        <v>1200</v>
      </c>
      <c r="C170" s="1861">
        <v>0.14099999999999999</v>
      </c>
      <c r="D170" s="1861">
        <v>0.13</v>
      </c>
      <c r="E170" s="1861">
        <v>0.125</v>
      </c>
      <c r="F170" s="1869"/>
    </row>
    <row r="171" spans="1:6" ht="14.25" thickBot="1">
      <c r="A171" s="1856" t="s">
        <v>1409</v>
      </c>
      <c r="B171" s="1860" t="s">
        <v>2124</v>
      </c>
      <c r="C171" s="1861">
        <v>0.127</v>
      </c>
      <c r="D171" s="1861">
        <v>0.126</v>
      </c>
      <c r="E171" s="1861">
        <v>0.126</v>
      </c>
      <c r="F171" s="1862">
        <v>0.11799999999999999</v>
      </c>
    </row>
    <row r="172" spans="1:6" ht="14.25" thickBot="1">
      <c r="A172" s="1856" t="s">
        <v>1409</v>
      </c>
      <c r="B172" s="1860" t="s">
        <v>2125</v>
      </c>
      <c r="C172" s="1861">
        <v>0.13</v>
      </c>
      <c r="D172" s="1861">
        <v>0.13</v>
      </c>
      <c r="E172" s="1861">
        <v>0.13</v>
      </c>
      <c r="F172" s="1869"/>
    </row>
    <row r="173" spans="1:6" ht="14.25" thickBot="1">
      <c r="A173" s="1856" t="s">
        <v>1409</v>
      </c>
      <c r="B173" s="1860" t="s">
        <v>1230</v>
      </c>
      <c r="C173" s="1861">
        <v>0.13</v>
      </c>
      <c r="D173" s="1861">
        <v>0.13</v>
      </c>
      <c r="E173" s="1861">
        <v>0.13</v>
      </c>
      <c r="F173" s="1869"/>
    </row>
    <row r="174" spans="1:6" ht="14.25" thickBot="1">
      <c r="A174" s="1856" t="s">
        <v>1409</v>
      </c>
      <c r="B174" s="1860" t="s">
        <v>2126</v>
      </c>
      <c r="C174" s="1861">
        <v>0.13</v>
      </c>
      <c r="D174" s="1861">
        <v>0.13</v>
      </c>
      <c r="E174" s="1861">
        <v>0.13</v>
      </c>
      <c r="F174" s="1862">
        <v>0.13</v>
      </c>
    </row>
    <row r="175" spans="1:6" ht="14.25" thickBot="1">
      <c r="A175" s="1856" t="s">
        <v>1409</v>
      </c>
      <c r="B175" s="1860" t="s">
        <v>2127</v>
      </c>
      <c r="C175" s="1861">
        <v>0.13</v>
      </c>
      <c r="D175" s="1861">
        <v>0.13</v>
      </c>
      <c r="E175" s="1861">
        <v>0.13</v>
      </c>
      <c r="F175" s="1862">
        <v>0.13</v>
      </c>
    </row>
    <row r="176" spans="1:6" ht="14.25" thickBot="1">
      <c r="A176" s="1856" t="s">
        <v>1409</v>
      </c>
      <c r="B176" s="1860" t="s">
        <v>1260</v>
      </c>
      <c r="C176" s="1861">
        <v>0.13</v>
      </c>
      <c r="D176" s="1861">
        <v>0.13</v>
      </c>
      <c r="E176" s="1861">
        <v>0.13</v>
      </c>
      <c r="F176" s="1862">
        <v>0.13</v>
      </c>
    </row>
    <row r="177" spans="1:6" ht="14.25" thickBot="1">
      <c r="A177" s="1856" t="s">
        <v>1409</v>
      </c>
      <c r="B177" s="1860" t="s">
        <v>2128</v>
      </c>
      <c r="C177" s="1861">
        <v>0.13</v>
      </c>
      <c r="D177" s="1861">
        <v>0.13</v>
      </c>
      <c r="E177" s="1861">
        <v>0.13</v>
      </c>
      <c r="F177" s="1862">
        <v>0.13</v>
      </c>
    </row>
    <row r="178" spans="1:6" ht="14.25" thickBot="1">
      <c r="A178" s="1856" t="s">
        <v>1409</v>
      </c>
      <c r="B178" s="1860" t="s">
        <v>1278</v>
      </c>
      <c r="C178" s="1861">
        <v>0.13</v>
      </c>
      <c r="D178" s="1861">
        <v>0.13</v>
      </c>
      <c r="E178" s="1861">
        <v>0.13</v>
      </c>
      <c r="F178" s="1862">
        <v>0.127</v>
      </c>
    </row>
    <row r="179" spans="1:6" ht="14.25" thickBot="1">
      <c r="A179" s="1856" t="s">
        <v>1409</v>
      </c>
      <c r="B179" s="1860" t="s">
        <v>1286</v>
      </c>
      <c r="C179" s="1861">
        <v>0.13</v>
      </c>
      <c r="D179" s="1861">
        <v>0.13</v>
      </c>
      <c r="E179" s="1861">
        <v>0.13</v>
      </c>
      <c r="F179" s="1869"/>
    </row>
    <row r="180" spans="1:6" ht="14.25" thickBot="1">
      <c r="A180" s="1856" t="s">
        <v>1409</v>
      </c>
      <c r="B180" s="1860" t="s">
        <v>2129</v>
      </c>
      <c r="C180" s="1861">
        <v>0.13</v>
      </c>
      <c r="D180" s="1861">
        <v>0.13</v>
      </c>
      <c r="E180" s="1861">
        <v>0.125</v>
      </c>
      <c r="F180" s="1862">
        <v>0.13</v>
      </c>
    </row>
    <row r="181" spans="1:6" ht="14.25" thickBot="1">
      <c r="A181" s="1856" t="s">
        <v>1409</v>
      </c>
      <c r="B181" s="1860" t="s">
        <v>1300</v>
      </c>
      <c r="C181" s="1861">
        <v>0.122</v>
      </c>
      <c r="D181" s="1861">
        <v>0.123</v>
      </c>
      <c r="E181" s="1861">
        <v>0.126</v>
      </c>
      <c r="F181" s="1862">
        <v>0.121</v>
      </c>
    </row>
    <row r="182" spans="1:6" ht="14.25" thickBot="1">
      <c r="A182" s="1856" t="s">
        <v>1409</v>
      </c>
      <c r="B182" s="1860" t="s">
        <v>1307</v>
      </c>
      <c r="C182" s="1861">
        <v>0.125</v>
      </c>
      <c r="D182" s="1861">
        <v>0.125</v>
      </c>
      <c r="E182" s="1861">
        <v>0.11700000000000001</v>
      </c>
      <c r="F182" s="1862">
        <v>0.13</v>
      </c>
    </row>
    <row r="183" spans="1:6" ht="14.25" thickBot="1">
      <c r="A183" s="1856" t="s">
        <v>1409</v>
      </c>
      <c r="B183" s="1860" t="s">
        <v>1314</v>
      </c>
      <c r="C183" s="1861">
        <v>0.127</v>
      </c>
      <c r="D183" s="1861">
        <v>0.127</v>
      </c>
      <c r="E183" s="1861">
        <v>0.128</v>
      </c>
      <c r="F183" s="1869"/>
    </row>
    <row r="184" spans="1:6" ht="14.25" thickBot="1">
      <c r="A184" s="1856" t="s">
        <v>1409</v>
      </c>
      <c r="B184" s="1860" t="s">
        <v>1321</v>
      </c>
      <c r="C184" s="1861">
        <v>0.125</v>
      </c>
      <c r="D184" s="1861">
        <v>0.125</v>
      </c>
      <c r="E184" s="1861">
        <v>0.127</v>
      </c>
      <c r="F184" s="1869"/>
    </row>
    <row r="185" spans="1:6" ht="14.25" thickBot="1">
      <c r="A185" s="1856" t="s">
        <v>1409</v>
      </c>
      <c r="B185" s="1860" t="s">
        <v>2130</v>
      </c>
      <c r="C185" s="1861">
        <v>0.127</v>
      </c>
      <c r="D185" s="1861">
        <v>0.127</v>
      </c>
      <c r="E185" s="1861">
        <v>0.128</v>
      </c>
      <c r="F185" s="1862">
        <v>0.13</v>
      </c>
    </row>
    <row r="186" spans="1:6" ht="24.75" thickBot="1">
      <c r="A186" s="1856" t="s">
        <v>1409</v>
      </c>
      <c r="B186" s="1860" t="s">
        <v>2131</v>
      </c>
      <c r="C186" s="1870"/>
      <c r="D186" s="1870"/>
      <c r="E186" s="1870"/>
      <c r="F186" s="1862">
        <v>0.05</v>
      </c>
    </row>
    <row r="187" spans="1:6" ht="14.25" thickBot="1">
      <c r="A187" s="1856" t="s">
        <v>1409</v>
      </c>
      <c r="B187" s="1860" t="s">
        <v>2132</v>
      </c>
      <c r="C187" s="1870"/>
      <c r="D187" s="1870"/>
      <c r="E187" s="1870"/>
      <c r="F187" s="1862">
        <v>0.05</v>
      </c>
    </row>
    <row r="188" spans="1:6" ht="14.25" thickBot="1">
      <c r="A188" s="1856" t="s">
        <v>1409</v>
      </c>
      <c r="B188" s="1860" t="s">
        <v>2133</v>
      </c>
      <c r="C188" s="1870"/>
      <c r="D188" s="1870"/>
      <c r="E188" s="1870"/>
      <c r="F188" s="1862">
        <v>0.05</v>
      </c>
    </row>
    <row r="189" spans="1:6" ht="24.75" thickBot="1">
      <c r="A189" s="1856" t="s">
        <v>1409</v>
      </c>
      <c r="B189" s="1860" t="s">
        <v>2134</v>
      </c>
      <c r="C189" s="1870"/>
      <c r="D189" s="1870"/>
      <c r="E189" s="1870"/>
      <c r="F189" s="1862">
        <v>0.05</v>
      </c>
    </row>
    <row r="190" spans="1:6" ht="24.75" thickBot="1">
      <c r="A190" s="1856" t="s">
        <v>1409</v>
      </c>
      <c r="B190" s="1860" t="s">
        <v>2135</v>
      </c>
      <c r="C190" s="1870"/>
      <c r="D190" s="1870"/>
      <c r="E190" s="1870"/>
      <c r="F190" s="1862">
        <v>0.05</v>
      </c>
    </row>
    <row r="191" spans="1:6" ht="24.75" thickBot="1">
      <c r="A191" s="1856" t="s">
        <v>1409</v>
      </c>
      <c r="B191" s="1860" t="s">
        <v>2136</v>
      </c>
      <c r="C191" s="1870"/>
      <c r="D191" s="1870"/>
      <c r="E191" s="1870"/>
      <c r="F191" s="1862">
        <v>0.05</v>
      </c>
    </row>
    <row r="192" spans="1:6" ht="24.75" thickBot="1">
      <c r="A192" s="1856" t="s">
        <v>1409</v>
      </c>
      <c r="B192" s="1860" t="s">
        <v>2137</v>
      </c>
      <c r="C192" s="1870"/>
      <c r="D192" s="1870"/>
      <c r="E192" s="1870"/>
      <c r="F192" s="1862">
        <v>0.05</v>
      </c>
    </row>
    <row r="193" spans="1:6" ht="24.75" thickBot="1">
      <c r="A193" s="1856" t="s">
        <v>1409</v>
      </c>
      <c r="B193" s="1860" t="s">
        <v>2138</v>
      </c>
      <c r="C193" s="1870"/>
      <c r="D193" s="1870"/>
      <c r="E193" s="1870"/>
      <c r="F193" s="1862">
        <v>0.05</v>
      </c>
    </row>
    <row r="194" spans="1:6" ht="24.75" thickBot="1">
      <c r="A194" s="1856" t="s">
        <v>1409</v>
      </c>
      <c r="B194" s="1860" t="s">
        <v>2139</v>
      </c>
      <c r="C194" s="1870"/>
      <c r="D194" s="1870"/>
      <c r="E194" s="1870"/>
      <c r="F194" s="1862">
        <v>0.05</v>
      </c>
    </row>
    <row r="195" spans="1:6" ht="14.25" thickBot="1">
      <c r="A195" s="1856" t="s">
        <v>1409</v>
      </c>
      <c r="B195" s="1860" t="s">
        <v>2140</v>
      </c>
      <c r="C195" s="1870"/>
      <c r="D195" s="1870"/>
      <c r="E195" s="1870"/>
      <c r="F195" s="1862">
        <v>0.05</v>
      </c>
    </row>
    <row r="196" spans="1:6" ht="24.75" thickBot="1">
      <c r="A196" s="1856" t="s">
        <v>1409</v>
      </c>
      <c r="B196" s="1860" t="s">
        <v>2141</v>
      </c>
      <c r="C196" s="1870"/>
      <c r="D196" s="1870"/>
      <c r="E196" s="1870"/>
      <c r="F196" s="1862">
        <v>0.05</v>
      </c>
    </row>
    <row r="197" spans="1:6" ht="24.75" thickBot="1">
      <c r="A197" s="1856" t="s">
        <v>1409</v>
      </c>
      <c r="B197" s="1860" t="s">
        <v>2142</v>
      </c>
      <c r="C197" s="1870"/>
      <c r="D197" s="1870"/>
      <c r="E197" s="1870"/>
      <c r="F197" s="1862">
        <v>0.05</v>
      </c>
    </row>
    <row r="198" spans="1:6" ht="24.75" thickBot="1">
      <c r="A198" s="1856" t="s">
        <v>1409</v>
      </c>
      <c r="B198" s="1860" t="s">
        <v>2143</v>
      </c>
      <c r="C198" s="1870"/>
      <c r="D198" s="1870"/>
      <c r="E198" s="1870"/>
      <c r="F198" s="1862">
        <v>0.05</v>
      </c>
    </row>
    <row r="199" spans="1:6" ht="24.75" thickBot="1">
      <c r="A199" s="1856" t="s">
        <v>1409</v>
      </c>
      <c r="B199" s="1860" t="s">
        <v>2144</v>
      </c>
      <c r="C199" s="1870"/>
      <c r="D199" s="1870"/>
      <c r="E199" s="1870"/>
      <c r="F199" s="1862">
        <v>0.05</v>
      </c>
    </row>
    <row r="200" spans="1:6" ht="24.75" thickBot="1">
      <c r="A200" s="1856" t="s">
        <v>1409</v>
      </c>
      <c r="B200" s="1860" t="s">
        <v>2145</v>
      </c>
      <c r="C200" s="1870"/>
      <c r="D200" s="1870"/>
      <c r="E200" s="1870"/>
      <c r="F200" s="1862">
        <v>0.05</v>
      </c>
    </row>
    <row r="201" spans="1:6" ht="24.75" thickBot="1">
      <c r="A201" s="1856" t="s">
        <v>1409</v>
      </c>
      <c r="B201" s="1860" t="s">
        <v>2146</v>
      </c>
      <c r="C201" s="1870"/>
      <c r="D201" s="1870"/>
      <c r="E201" s="1870"/>
      <c r="F201" s="1862">
        <v>0.05</v>
      </c>
    </row>
    <row r="202" spans="1:6" ht="24.75" thickBot="1">
      <c r="A202" s="1856" t="s">
        <v>1409</v>
      </c>
      <c r="B202" s="1860" t="s">
        <v>2147</v>
      </c>
      <c r="C202" s="1870"/>
      <c r="D202" s="1870"/>
      <c r="E202" s="1870"/>
      <c r="F202" s="1862">
        <v>0.05</v>
      </c>
    </row>
    <row r="203" spans="1:6" ht="24.75" thickBot="1">
      <c r="A203" s="1856" t="s">
        <v>1409</v>
      </c>
      <c r="B203" s="1860" t="s">
        <v>2148</v>
      </c>
      <c r="C203" s="1870"/>
      <c r="D203" s="1870"/>
      <c r="E203" s="1870"/>
      <c r="F203" s="1862">
        <v>0.05</v>
      </c>
    </row>
    <row r="204" spans="1:6" ht="14.25" thickBot="1">
      <c r="A204" s="1856" t="s">
        <v>1409</v>
      </c>
      <c r="B204" s="1860" t="s">
        <v>2149</v>
      </c>
      <c r="C204" s="1870"/>
      <c r="D204" s="1870"/>
      <c r="E204" s="1870"/>
      <c r="F204" s="1862">
        <v>0.05</v>
      </c>
    </row>
    <row r="205" spans="1:6" ht="14.25" thickBot="1">
      <c r="A205" s="1864" t="s">
        <v>1409</v>
      </c>
      <c r="B205" s="1871" t="s">
        <v>2150</v>
      </c>
      <c r="C205" s="1867"/>
      <c r="D205" s="1867"/>
      <c r="E205" s="1867"/>
      <c r="F205" s="1872">
        <v>0.05</v>
      </c>
    </row>
    <row r="206" spans="1:6" ht="14.25" thickBot="1">
      <c r="A206" s="1856" t="s">
        <v>1411</v>
      </c>
      <c r="B206" s="1857" t="s">
        <v>2151</v>
      </c>
      <c r="C206" s="1858">
        <v>0.15</v>
      </c>
      <c r="D206" s="1858">
        <v>0.15</v>
      </c>
      <c r="E206" s="1858">
        <v>0.15</v>
      </c>
      <c r="F206" s="1859">
        <v>0.15</v>
      </c>
    </row>
    <row r="207" spans="1:6" ht="14.25" thickBot="1">
      <c r="A207" s="1856" t="s">
        <v>1411</v>
      </c>
      <c r="B207" s="1860" t="s">
        <v>1075</v>
      </c>
      <c r="C207" s="1861">
        <v>0.15</v>
      </c>
      <c r="D207" s="1861">
        <v>0.15</v>
      </c>
      <c r="E207" s="1861">
        <v>0.15</v>
      </c>
      <c r="F207" s="1862">
        <v>0.14399999999999999</v>
      </c>
    </row>
    <row r="208" spans="1:6" ht="14.25" thickBot="1">
      <c r="A208" s="1856" t="s">
        <v>1411</v>
      </c>
      <c r="B208" s="1860" t="s">
        <v>1089</v>
      </c>
      <c r="C208" s="1861">
        <v>0.15</v>
      </c>
      <c r="D208" s="1861">
        <v>0.15</v>
      </c>
      <c r="E208" s="1861">
        <v>0.15</v>
      </c>
      <c r="F208" s="1862">
        <v>0.15</v>
      </c>
    </row>
    <row r="209" spans="1:6" ht="14.25" thickBot="1">
      <c r="A209" s="1856" t="s">
        <v>1411</v>
      </c>
      <c r="B209" s="1860" t="s">
        <v>1102</v>
      </c>
      <c r="C209" s="1861">
        <v>0.13700000000000001</v>
      </c>
      <c r="D209" s="1861">
        <v>0.13700000000000001</v>
      </c>
      <c r="E209" s="1861">
        <v>0.14000000000000001</v>
      </c>
      <c r="F209" s="1862">
        <v>0.11700000000000001</v>
      </c>
    </row>
    <row r="210" spans="1:6" ht="14.25" thickBot="1">
      <c r="A210" s="1856" t="s">
        <v>1411</v>
      </c>
      <c r="B210" s="1860" t="s">
        <v>2152</v>
      </c>
      <c r="C210" s="1861">
        <v>0.15</v>
      </c>
      <c r="D210" s="1861">
        <v>0.15</v>
      </c>
      <c r="E210" s="1861">
        <v>0.15</v>
      </c>
      <c r="F210" s="1862">
        <v>0.13800000000000001</v>
      </c>
    </row>
    <row r="211" spans="1:6" ht="14.25" thickBot="1">
      <c r="A211" s="1856" t="s">
        <v>1411</v>
      </c>
      <c r="B211" s="1860" t="s">
        <v>2153</v>
      </c>
      <c r="C211" s="1861">
        <v>0.13700000000000001</v>
      </c>
      <c r="D211" s="1861">
        <v>0.13500000000000001</v>
      </c>
      <c r="E211" s="1861">
        <v>0.13600000000000001</v>
      </c>
      <c r="F211" s="1862">
        <v>0.1</v>
      </c>
    </row>
    <row r="212" spans="1:6" ht="14.25" thickBot="1">
      <c r="A212" s="1856" t="s">
        <v>1411</v>
      </c>
      <c r="B212" s="1860" t="s">
        <v>2154</v>
      </c>
      <c r="C212" s="1861">
        <v>0.15</v>
      </c>
      <c r="D212" s="1861">
        <v>0.15</v>
      </c>
      <c r="E212" s="1861">
        <v>0.14799999999999999</v>
      </c>
      <c r="F212" s="1862">
        <v>0.13600000000000001</v>
      </c>
    </row>
    <row r="213" spans="1:6" ht="14.25" thickBot="1">
      <c r="A213" s="1856" t="s">
        <v>1411</v>
      </c>
      <c r="B213" s="1860" t="s">
        <v>1149</v>
      </c>
      <c r="C213" s="1861">
        <v>0.15</v>
      </c>
      <c r="D213" s="1861">
        <v>0.15</v>
      </c>
      <c r="E213" s="1861">
        <v>0.15</v>
      </c>
      <c r="F213" s="1862">
        <v>0.13800000000000001</v>
      </c>
    </row>
    <row r="214" spans="1:6" ht="14.25" thickBot="1">
      <c r="A214" s="1856" t="s">
        <v>1411</v>
      </c>
      <c r="B214" s="1860" t="s">
        <v>1161</v>
      </c>
      <c r="C214" s="1861">
        <v>9.0999999999999998E-2</v>
      </c>
      <c r="D214" s="1861">
        <v>0.09</v>
      </c>
      <c r="E214" s="1861">
        <v>9.1999999999999998E-2</v>
      </c>
      <c r="F214" s="1869"/>
    </row>
    <row r="215" spans="1:6" ht="14.25" thickBot="1">
      <c r="A215" s="1856" t="s">
        <v>1411</v>
      </c>
      <c r="B215" s="1860" t="s">
        <v>2155</v>
      </c>
      <c r="C215" s="1861">
        <v>0.15</v>
      </c>
      <c r="D215" s="1861">
        <v>0.15</v>
      </c>
      <c r="E215" s="1861">
        <v>0.15</v>
      </c>
      <c r="F215" s="1862">
        <v>0.15</v>
      </c>
    </row>
    <row r="216" spans="1:6" ht="14.25" thickBot="1">
      <c r="A216" s="1856" t="s">
        <v>1411</v>
      </c>
      <c r="B216" s="1860" t="s">
        <v>1181</v>
      </c>
      <c r="C216" s="1861">
        <v>0.14699999999999999</v>
      </c>
      <c r="D216" s="1861">
        <v>0.14699999999999999</v>
      </c>
      <c r="E216" s="1861">
        <v>0.15</v>
      </c>
      <c r="F216" s="1862">
        <v>0.14000000000000001</v>
      </c>
    </row>
    <row r="217" spans="1:6" ht="14.25" thickBot="1">
      <c r="A217" s="1856" t="s">
        <v>1411</v>
      </c>
      <c r="B217" s="1860" t="s">
        <v>1191</v>
      </c>
      <c r="C217" s="1861">
        <v>0.15</v>
      </c>
      <c r="D217" s="1861">
        <v>0.15</v>
      </c>
      <c r="E217" s="1861">
        <v>0.15</v>
      </c>
      <c r="F217" s="1862">
        <v>0.15</v>
      </c>
    </row>
    <row r="218" spans="1:6" ht="14.25" thickBot="1">
      <c r="A218" s="1856" t="s">
        <v>1411</v>
      </c>
      <c r="B218" s="1860" t="s">
        <v>2156</v>
      </c>
      <c r="C218" s="1861">
        <v>0.15</v>
      </c>
      <c r="D218" s="1861">
        <v>0.15</v>
      </c>
      <c r="E218" s="1861">
        <v>0.15</v>
      </c>
      <c r="F218" s="1862">
        <v>0.15</v>
      </c>
    </row>
    <row r="219" spans="1:6" ht="14.25" thickBot="1">
      <c r="A219" s="1856" t="s">
        <v>1411</v>
      </c>
      <c r="B219" s="1860" t="s">
        <v>1211</v>
      </c>
      <c r="C219" s="1861">
        <v>0.15</v>
      </c>
      <c r="D219" s="1861">
        <v>0.15</v>
      </c>
      <c r="E219" s="1861">
        <v>0.15</v>
      </c>
      <c r="F219" s="1862">
        <v>0.14799999999999999</v>
      </c>
    </row>
    <row r="220" spans="1:6" ht="14.25" thickBot="1">
      <c r="A220" s="1856" t="s">
        <v>1411</v>
      </c>
      <c r="B220" s="1860" t="s">
        <v>2157</v>
      </c>
      <c r="C220" s="1861">
        <v>0.15</v>
      </c>
      <c r="D220" s="1861">
        <v>0.15</v>
      </c>
      <c r="E220" s="1861">
        <v>0.15</v>
      </c>
      <c r="F220" s="1862">
        <v>0.15</v>
      </c>
    </row>
    <row r="221" spans="1:6" ht="14.25" thickBot="1">
      <c r="A221" s="1856" t="s">
        <v>1411</v>
      </c>
      <c r="B221" s="1860" t="s">
        <v>1231</v>
      </c>
      <c r="C221" s="1861"/>
      <c r="D221" s="1870"/>
      <c r="E221" s="1870"/>
      <c r="F221" s="1862">
        <v>0.14799999999999999</v>
      </c>
    </row>
    <row r="222" spans="1:6" ht="14.25" thickBot="1">
      <c r="A222" s="1856" t="s">
        <v>1411</v>
      </c>
      <c r="B222" s="1860" t="s">
        <v>1241</v>
      </c>
      <c r="C222" s="1861"/>
      <c r="D222" s="1870"/>
      <c r="E222" s="1870"/>
      <c r="F222" s="1862">
        <v>0.1</v>
      </c>
    </row>
    <row r="223" spans="1:6" ht="14.25" thickBot="1">
      <c r="A223" s="1856" t="s">
        <v>1411</v>
      </c>
      <c r="B223" s="1860" t="s">
        <v>1251</v>
      </c>
      <c r="C223" s="1861"/>
      <c r="D223" s="1870"/>
      <c r="E223" s="1870"/>
      <c r="F223" s="1862">
        <v>0.15</v>
      </c>
    </row>
    <row r="224" spans="1:6" ht="14.25" thickBot="1">
      <c r="A224" s="1856" t="s">
        <v>1411</v>
      </c>
      <c r="B224" s="1860" t="s">
        <v>1261</v>
      </c>
      <c r="C224" s="1861"/>
      <c r="D224" s="1870"/>
      <c r="E224" s="1870"/>
      <c r="F224" s="1862">
        <v>0.15</v>
      </c>
    </row>
    <row r="225" spans="1:6" ht="14.25" thickBot="1">
      <c r="A225" s="1856" t="s">
        <v>1411</v>
      </c>
      <c r="B225" s="1860" t="s">
        <v>2158</v>
      </c>
      <c r="C225" s="1861">
        <v>0.15</v>
      </c>
      <c r="D225" s="1861">
        <v>0.15</v>
      </c>
      <c r="E225" s="1861">
        <v>0.15</v>
      </c>
      <c r="F225" s="1862">
        <v>0.15</v>
      </c>
    </row>
    <row r="226" spans="1:6" ht="14.25" thickBot="1">
      <c r="A226" s="1856" t="s">
        <v>1411</v>
      </c>
      <c r="B226" s="1860" t="s">
        <v>1279</v>
      </c>
      <c r="C226" s="1861">
        <v>0.15</v>
      </c>
      <c r="D226" s="1861">
        <v>0.15</v>
      </c>
      <c r="E226" s="1861">
        <v>0.15</v>
      </c>
      <c r="F226" s="1862">
        <v>0.14799999999999999</v>
      </c>
    </row>
    <row r="227" spans="1:6" ht="14.25" thickBot="1">
      <c r="A227" s="1856" t="s">
        <v>1411</v>
      </c>
      <c r="B227" s="1860" t="s">
        <v>2159</v>
      </c>
      <c r="C227" s="1861">
        <v>0.15</v>
      </c>
      <c r="D227" s="1861">
        <v>0.15</v>
      </c>
      <c r="E227" s="1861">
        <v>0.15</v>
      </c>
      <c r="F227" s="1862">
        <v>0.15</v>
      </c>
    </row>
    <row r="228" spans="1:6" ht="14.25" thickBot="1">
      <c r="A228" s="1856" t="s">
        <v>1411</v>
      </c>
      <c r="B228" s="1860" t="s">
        <v>1294</v>
      </c>
      <c r="C228" s="1861">
        <v>0.15</v>
      </c>
      <c r="D228" s="1861">
        <v>0.15</v>
      </c>
      <c r="E228" s="1861">
        <v>0.15</v>
      </c>
      <c r="F228" s="1862">
        <v>0.15</v>
      </c>
    </row>
    <row r="229" spans="1:6" ht="14.25" thickBot="1">
      <c r="A229" s="1856" t="s">
        <v>1411</v>
      </c>
      <c r="B229" s="1860" t="s">
        <v>1301</v>
      </c>
      <c r="C229" s="1861">
        <v>0.15</v>
      </c>
      <c r="D229" s="1861">
        <v>0.15</v>
      </c>
      <c r="E229" s="1861">
        <v>0.15</v>
      </c>
      <c r="F229" s="1869"/>
    </row>
    <row r="230" spans="1:6" ht="14.25" thickBot="1">
      <c r="A230" s="1856" t="s">
        <v>1411</v>
      </c>
      <c r="B230" s="1860" t="s">
        <v>1308</v>
      </c>
      <c r="C230" s="1861">
        <v>0.14499999999999999</v>
      </c>
      <c r="D230" s="1861">
        <v>0.14499999999999999</v>
      </c>
      <c r="E230" s="1861">
        <v>0.14399999999999999</v>
      </c>
      <c r="F230" s="1869"/>
    </row>
    <row r="231" spans="1:6" ht="14.25" thickBot="1">
      <c r="A231" s="1856" t="s">
        <v>1411</v>
      </c>
      <c r="B231" s="1860" t="s">
        <v>2160</v>
      </c>
      <c r="C231" s="1861">
        <v>0.128</v>
      </c>
      <c r="D231" s="1861">
        <v>0.125</v>
      </c>
      <c r="E231" s="1861">
        <v>0.13200000000000001</v>
      </c>
      <c r="F231" s="1869"/>
    </row>
    <row r="232" spans="1:6" ht="14.25" thickBot="1">
      <c r="A232" s="1856" t="s">
        <v>1411</v>
      </c>
      <c r="B232" s="1860" t="s">
        <v>2161</v>
      </c>
      <c r="C232" s="1861">
        <v>0.14499999999999999</v>
      </c>
      <c r="D232" s="1861">
        <v>0.14399999999999999</v>
      </c>
      <c r="E232" s="1861">
        <v>0.14599999999999999</v>
      </c>
      <c r="F232" s="1862">
        <v>0.13800000000000001</v>
      </c>
    </row>
    <row r="233" spans="1:6" ht="14.25" thickBot="1">
      <c r="A233" s="1856" t="s">
        <v>1411</v>
      </c>
      <c r="B233" s="1860" t="s">
        <v>2162</v>
      </c>
      <c r="C233" s="1861">
        <v>0.14499999999999999</v>
      </c>
      <c r="D233" s="1861">
        <v>0.14299999999999999</v>
      </c>
      <c r="E233" s="1861">
        <v>0.14199999999999999</v>
      </c>
      <c r="F233" s="1869"/>
    </row>
    <row r="234" spans="1:6" ht="14.25" thickBot="1">
      <c r="A234" s="1856" t="s">
        <v>1411</v>
      </c>
      <c r="B234" s="1860" t="s">
        <v>2163</v>
      </c>
      <c r="C234" s="1861">
        <v>0.14000000000000001</v>
      </c>
      <c r="D234" s="1861">
        <v>0.14000000000000001</v>
      </c>
      <c r="E234" s="1861">
        <v>0.14399999999999999</v>
      </c>
      <c r="F234" s="1869"/>
    </row>
    <row r="235" spans="1:6" ht="14.25" thickBot="1">
      <c r="A235" s="1856" t="s">
        <v>1411</v>
      </c>
      <c r="B235" s="1860" t="s">
        <v>2164</v>
      </c>
      <c r="C235" s="1861">
        <v>0.14099999999999999</v>
      </c>
      <c r="D235" s="1861">
        <v>0.14199999999999999</v>
      </c>
      <c r="E235" s="1861">
        <v>0.14499999999999999</v>
      </c>
      <c r="F235" s="1862">
        <v>0.15</v>
      </c>
    </row>
    <row r="236" spans="1:6" ht="14.25" thickBot="1">
      <c r="A236" s="1856" t="s">
        <v>1411</v>
      </c>
      <c r="B236" s="1860" t="s">
        <v>1343</v>
      </c>
      <c r="C236" s="1870"/>
      <c r="D236" s="1870"/>
      <c r="E236" s="1870"/>
      <c r="F236" s="1862">
        <v>0.14299999999999999</v>
      </c>
    </row>
    <row r="237" spans="1:6" ht="24.75" thickBot="1">
      <c r="A237" s="1856" t="s">
        <v>1411</v>
      </c>
      <c r="B237" s="1860" t="s">
        <v>2165</v>
      </c>
      <c r="C237" s="1870"/>
      <c r="D237" s="1870"/>
      <c r="E237" s="1870"/>
      <c r="F237" s="1862">
        <v>0.05</v>
      </c>
    </row>
    <row r="238" spans="1:6" ht="24.75" thickBot="1">
      <c r="A238" s="1856" t="s">
        <v>1411</v>
      </c>
      <c r="B238" s="1860" t="s">
        <v>2166</v>
      </c>
      <c r="C238" s="1870"/>
      <c r="D238" s="1870"/>
      <c r="E238" s="1870"/>
      <c r="F238" s="1862">
        <v>0.05</v>
      </c>
    </row>
    <row r="239" spans="1:6" ht="24.75" thickBot="1">
      <c r="A239" s="1856" t="s">
        <v>1411</v>
      </c>
      <c r="B239" s="1860" t="s">
        <v>2167</v>
      </c>
      <c r="C239" s="1870"/>
      <c r="D239" s="1870"/>
      <c r="E239" s="1870"/>
      <c r="F239" s="1862">
        <v>0.05</v>
      </c>
    </row>
    <row r="240" spans="1:6" ht="24.75" thickBot="1">
      <c r="A240" s="1856" t="s">
        <v>1411</v>
      </c>
      <c r="B240" s="1860" t="s">
        <v>2168</v>
      </c>
      <c r="C240" s="1870"/>
      <c r="D240" s="1870"/>
      <c r="E240" s="1870"/>
      <c r="F240" s="1862">
        <v>0.05</v>
      </c>
    </row>
    <row r="241" spans="1:6" ht="24.75" thickBot="1">
      <c r="A241" s="1856" t="s">
        <v>1411</v>
      </c>
      <c r="B241" s="1860" t="s">
        <v>2169</v>
      </c>
      <c r="C241" s="1870"/>
      <c r="D241" s="1870"/>
      <c r="E241" s="1870"/>
      <c r="F241" s="1862">
        <v>0.05</v>
      </c>
    </row>
    <row r="242" spans="1:6" ht="24.75" thickBot="1">
      <c r="A242" s="1856" t="s">
        <v>1411</v>
      </c>
      <c r="B242" s="1860" t="s">
        <v>2170</v>
      </c>
      <c r="C242" s="1870"/>
      <c r="D242" s="1870"/>
      <c r="E242" s="1870"/>
      <c r="F242" s="1862">
        <v>0.05</v>
      </c>
    </row>
    <row r="243" spans="1:6" ht="24.75" thickBot="1">
      <c r="A243" s="1856" t="s">
        <v>1411</v>
      </c>
      <c r="B243" s="1860" t="s">
        <v>2171</v>
      </c>
      <c r="C243" s="1870"/>
      <c r="D243" s="1870"/>
      <c r="E243" s="1870"/>
      <c r="F243" s="1862">
        <v>0.05</v>
      </c>
    </row>
    <row r="244" spans="1:6" ht="24.75" thickBot="1">
      <c r="A244" s="1864" t="s">
        <v>1411</v>
      </c>
      <c r="B244" s="1871" t="s">
        <v>2172</v>
      </c>
      <c r="C244" s="1867"/>
      <c r="D244" s="1867"/>
      <c r="E244" s="1867"/>
      <c r="F244" s="1872">
        <v>0.05</v>
      </c>
    </row>
    <row r="245" spans="1:6" ht="14.25" thickBot="1">
      <c r="A245" s="1856" t="s">
        <v>1413</v>
      </c>
      <c r="B245" s="1857" t="s">
        <v>2173</v>
      </c>
      <c r="C245" s="1858">
        <v>0.15</v>
      </c>
      <c r="D245" s="1858">
        <v>0.15</v>
      </c>
      <c r="E245" s="1858">
        <v>0.15</v>
      </c>
      <c r="F245" s="1859">
        <v>0.14299999999999999</v>
      </c>
    </row>
    <row r="246" spans="1:6" ht="14.25" thickBot="1">
      <c r="A246" s="1856" t="s">
        <v>1413</v>
      </c>
      <c r="B246" s="1860" t="s">
        <v>1076</v>
      </c>
      <c r="C246" s="1861">
        <v>0.15</v>
      </c>
      <c r="D246" s="1861">
        <v>0.15</v>
      </c>
      <c r="E246" s="1861">
        <v>0.15</v>
      </c>
      <c r="F246" s="1862">
        <v>0.114</v>
      </c>
    </row>
    <row r="247" spans="1:6" ht="14.25" thickBot="1">
      <c r="A247" s="1856" t="s">
        <v>1413</v>
      </c>
      <c r="B247" s="1860" t="s">
        <v>2174</v>
      </c>
      <c r="C247" s="1861">
        <v>0.15</v>
      </c>
      <c r="D247" s="1861">
        <v>0.15</v>
      </c>
      <c r="E247" s="1861">
        <v>0.15</v>
      </c>
      <c r="F247" s="1862">
        <v>0.15</v>
      </c>
    </row>
    <row r="248" spans="1:6" ht="14.25" thickBot="1">
      <c r="A248" s="1856" t="s">
        <v>1413</v>
      </c>
      <c r="B248" s="1860" t="s">
        <v>2175</v>
      </c>
      <c r="C248" s="1861">
        <v>0.15</v>
      </c>
      <c r="D248" s="1861">
        <v>0.15</v>
      </c>
      <c r="E248" s="1861">
        <v>0.15</v>
      </c>
      <c r="F248" s="1862">
        <v>0.14000000000000001</v>
      </c>
    </row>
    <row r="249" spans="1:6" ht="14.25" thickBot="1">
      <c r="A249" s="1856" t="s">
        <v>1413</v>
      </c>
      <c r="B249" s="1860" t="s">
        <v>2176</v>
      </c>
      <c r="C249" s="1861">
        <v>0.15</v>
      </c>
      <c r="D249" s="1861">
        <v>0.14899999999999999</v>
      </c>
      <c r="E249" s="1861">
        <v>0.15</v>
      </c>
      <c r="F249" s="1862">
        <v>0.1</v>
      </c>
    </row>
    <row r="250" spans="1:6" ht="14.25" thickBot="1">
      <c r="A250" s="1856" t="s">
        <v>1413</v>
      </c>
      <c r="B250" s="1860" t="s">
        <v>2177</v>
      </c>
      <c r="C250" s="1861">
        <v>0.15</v>
      </c>
      <c r="D250" s="1861">
        <v>0.15</v>
      </c>
      <c r="E250" s="1861">
        <v>0.15</v>
      </c>
      <c r="F250" s="1862">
        <v>0.14399999999999999</v>
      </c>
    </row>
    <row r="251" spans="1:6" ht="14.25" thickBot="1">
      <c r="A251" s="1856" t="s">
        <v>1413</v>
      </c>
      <c r="B251" s="1860" t="s">
        <v>1139</v>
      </c>
      <c r="C251" s="1861">
        <v>0.15</v>
      </c>
      <c r="D251" s="1861">
        <v>0.15</v>
      </c>
      <c r="E251" s="1861">
        <v>0.15</v>
      </c>
      <c r="F251" s="1862">
        <v>0.14299999999999999</v>
      </c>
    </row>
    <row r="252" spans="1:6" ht="14.25" thickBot="1">
      <c r="A252" s="1856" t="s">
        <v>1413</v>
      </c>
      <c r="B252" s="1860" t="s">
        <v>1150</v>
      </c>
      <c r="C252" s="1861">
        <v>0.15</v>
      </c>
      <c r="D252" s="1861">
        <v>0.15</v>
      </c>
      <c r="E252" s="1861">
        <v>0.15</v>
      </c>
      <c r="F252" s="1862">
        <v>0.1</v>
      </c>
    </row>
    <row r="253" spans="1:6" ht="14.25" thickBot="1">
      <c r="A253" s="1856" t="s">
        <v>1413</v>
      </c>
      <c r="B253" s="1860" t="s">
        <v>1162</v>
      </c>
      <c r="C253" s="1861">
        <v>0.15</v>
      </c>
      <c r="D253" s="1861">
        <v>0.15</v>
      </c>
      <c r="E253" s="1861">
        <v>0.15</v>
      </c>
      <c r="F253" s="1862">
        <v>0.1</v>
      </c>
    </row>
    <row r="254" spans="1:6" ht="14.25" thickBot="1">
      <c r="A254" s="1856" t="s">
        <v>1413</v>
      </c>
      <c r="B254" s="1860" t="s">
        <v>1172</v>
      </c>
      <c r="C254" s="1870"/>
      <c r="D254" s="1870"/>
      <c r="E254" s="1870"/>
      <c r="F254" s="1862">
        <v>0.15</v>
      </c>
    </row>
    <row r="255" spans="1:6" ht="14.25" thickBot="1">
      <c r="A255" s="1856" t="s">
        <v>1413</v>
      </c>
      <c r="B255" s="1860" t="s">
        <v>1182</v>
      </c>
      <c r="C255" s="1870"/>
      <c r="D255" s="1870"/>
      <c r="E255" s="1870"/>
      <c r="F255" s="1862">
        <v>0.14299999999999999</v>
      </c>
    </row>
    <row r="256" spans="1:6" ht="14.25" thickBot="1">
      <c r="A256" s="1856" t="s">
        <v>1413</v>
      </c>
      <c r="B256" s="1860" t="s">
        <v>2178</v>
      </c>
      <c r="C256" s="1861">
        <v>0.14599999999999999</v>
      </c>
      <c r="D256" s="1861">
        <v>0.14699999999999999</v>
      </c>
      <c r="E256" s="1861">
        <v>0.15</v>
      </c>
      <c r="F256" s="1862">
        <v>0.13200000000000001</v>
      </c>
    </row>
    <row r="257" spans="1:6" ht="14.25" thickBot="1">
      <c r="A257" s="1856" t="s">
        <v>1413</v>
      </c>
      <c r="B257" s="1860" t="s">
        <v>1202</v>
      </c>
      <c r="C257" s="1861">
        <v>0.15</v>
      </c>
      <c r="D257" s="1861">
        <v>0.15</v>
      </c>
      <c r="E257" s="1861">
        <v>0.15</v>
      </c>
      <c r="F257" s="1862">
        <v>0.13900000000000001</v>
      </c>
    </row>
    <row r="258" spans="1:6" ht="14.25" thickBot="1">
      <c r="A258" s="1856" t="s">
        <v>1413</v>
      </c>
      <c r="B258" s="1860" t="s">
        <v>1212</v>
      </c>
      <c r="C258" s="1861">
        <v>0.15</v>
      </c>
      <c r="D258" s="1861">
        <v>0.15</v>
      </c>
      <c r="E258" s="1861">
        <v>0.15</v>
      </c>
      <c r="F258" s="1862">
        <v>0.13</v>
      </c>
    </row>
    <row r="259" spans="1:6" ht="14.25" thickBot="1">
      <c r="A259" s="1856" t="s">
        <v>1413</v>
      </c>
      <c r="B259" s="1860" t="s">
        <v>2179</v>
      </c>
      <c r="C259" s="1861">
        <v>0.14799999999999999</v>
      </c>
      <c r="D259" s="1861">
        <v>0.14899999999999999</v>
      </c>
      <c r="E259" s="1861">
        <v>0.15</v>
      </c>
      <c r="F259" s="1862">
        <v>0.13700000000000001</v>
      </c>
    </row>
    <row r="260" spans="1:6" ht="14.25" thickBot="1">
      <c r="A260" s="1856" t="s">
        <v>1413</v>
      </c>
      <c r="B260" s="1860" t="s">
        <v>1232</v>
      </c>
      <c r="C260" s="1861">
        <v>0.15</v>
      </c>
      <c r="D260" s="1861">
        <v>0.15</v>
      </c>
      <c r="E260" s="1861">
        <v>0.15</v>
      </c>
      <c r="F260" s="1862">
        <v>0.14199999999999999</v>
      </c>
    </row>
    <row r="261" spans="1:6" ht="14.25" thickBot="1">
      <c r="A261" s="1856" t="s">
        <v>1413</v>
      </c>
      <c r="B261" s="1860" t="s">
        <v>1242</v>
      </c>
      <c r="C261" s="1861">
        <v>0.15</v>
      </c>
      <c r="D261" s="1861">
        <v>0.15</v>
      </c>
      <c r="E261" s="1861">
        <v>0.14899999999999999</v>
      </c>
      <c r="F261" s="1862">
        <v>0.14799999999999999</v>
      </c>
    </row>
    <row r="262" spans="1:6" ht="14.25" thickBot="1">
      <c r="A262" s="1856" t="s">
        <v>1413</v>
      </c>
      <c r="B262" s="1860" t="s">
        <v>1252</v>
      </c>
      <c r="C262" s="1861">
        <v>0.15</v>
      </c>
      <c r="D262" s="1861">
        <v>0.15</v>
      </c>
      <c r="E262" s="1861">
        <v>0.15</v>
      </c>
      <c r="F262" s="1869"/>
    </row>
    <row r="263" spans="1:6" ht="14.25" thickBot="1">
      <c r="A263" s="1856" t="s">
        <v>1413</v>
      </c>
      <c r="B263" s="1860" t="s">
        <v>2180</v>
      </c>
      <c r="C263" s="1861">
        <v>0.14899999999999999</v>
      </c>
      <c r="D263" s="1861">
        <v>0.14899999999999999</v>
      </c>
      <c r="E263" s="1861">
        <v>0.15</v>
      </c>
      <c r="F263" s="1862">
        <v>0.13</v>
      </c>
    </row>
    <row r="264" spans="1:6" ht="14.25" thickBot="1">
      <c r="A264" s="1856" t="s">
        <v>1413</v>
      </c>
      <c r="B264" s="1860" t="s">
        <v>1271</v>
      </c>
      <c r="C264" s="1861">
        <v>0.14799999999999999</v>
      </c>
      <c r="D264" s="1861">
        <v>0.14699999999999999</v>
      </c>
      <c r="E264" s="1861">
        <v>0.15</v>
      </c>
      <c r="F264" s="1862">
        <v>7.8E-2</v>
      </c>
    </row>
    <row r="265" spans="1:6" ht="14.25" thickBot="1">
      <c r="A265" s="1856" t="s">
        <v>1413</v>
      </c>
      <c r="B265" s="1860" t="s">
        <v>1280</v>
      </c>
      <c r="C265" s="1861">
        <v>0.15</v>
      </c>
      <c r="D265" s="1861">
        <v>0.15</v>
      </c>
      <c r="E265" s="1861">
        <v>0.15</v>
      </c>
      <c r="F265" s="1862">
        <v>7.3999999999999996E-2</v>
      </c>
    </row>
    <row r="266" spans="1:6" ht="14.25" thickBot="1">
      <c r="A266" s="1856" t="s">
        <v>1413</v>
      </c>
      <c r="B266" s="1860" t="s">
        <v>1288</v>
      </c>
      <c r="C266" s="1861">
        <v>0.14699999999999999</v>
      </c>
      <c r="D266" s="1861">
        <v>0.14699999999999999</v>
      </c>
      <c r="E266" s="1861">
        <v>0.15</v>
      </c>
      <c r="F266" s="1862">
        <v>0.14299999999999999</v>
      </c>
    </row>
    <row r="267" spans="1:6" ht="14.25" thickBot="1">
      <c r="A267" s="1856" t="s">
        <v>1413</v>
      </c>
      <c r="B267" s="1860" t="s">
        <v>1295</v>
      </c>
      <c r="C267" s="1861">
        <v>0.14199999999999999</v>
      </c>
      <c r="D267" s="1861">
        <v>0.14299999999999999</v>
      </c>
      <c r="E267" s="1861">
        <v>0.15</v>
      </c>
      <c r="F267" s="1869"/>
    </row>
    <row r="268" spans="1:6" ht="14.25" thickBot="1">
      <c r="A268" s="1856" t="s">
        <v>1413</v>
      </c>
      <c r="B268" s="1860" t="s">
        <v>2181</v>
      </c>
      <c r="C268" s="1861">
        <v>0.15</v>
      </c>
      <c r="D268" s="1861">
        <v>0.15</v>
      </c>
      <c r="E268" s="1861">
        <v>0.15</v>
      </c>
      <c r="F268" s="1862">
        <v>0.13</v>
      </c>
    </row>
    <row r="269" spans="1:6" ht="14.25" thickBot="1">
      <c r="A269" s="1856" t="s">
        <v>1413</v>
      </c>
      <c r="B269" s="1860" t="s">
        <v>1309</v>
      </c>
      <c r="C269" s="1861">
        <v>0.15</v>
      </c>
      <c r="D269" s="1861">
        <v>0.15</v>
      </c>
      <c r="E269" s="1861">
        <v>0.15</v>
      </c>
      <c r="F269" s="1862">
        <v>0.14299999999999999</v>
      </c>
    </row>
    <row r="270" spans="1:6" ht="14.25" thickBot="1">
      <c r="A270" s="1856" t="s">
        <v>1413</v>
      </c>
      <c r="B270" s="1860" t="s">
        <v>1316</v>
      </c>
      <c r="C270" s="1861">
        <v>0.14499999999999999</v>
      </c>
      <c r="D270" s="1861">
        <v>0.14499999999999999</v>
      </c>
      <c r="E270" s="1861">
        <v>0.15</v>
      </c>
      <c r="F270" s="1862">
        <v>0.14699999999999999</v>
      </c>
    </row>
    <row r="271" spans="1:6" ht="14.25" thickBot="1">
      <c r="A271" s="1856" t="s">
        <v>1413</v>
      </c>
      <c r="B271" s="1860" t="s">
        <v>1323</v>
      </c>
      <c r="C271" s="1861">
        <v>0.15</v>
      </c>
      <c r="D271" s="1861">
        <v>0.15</v>
      </c>
      <c r="E271" s="1861">
        <v>0.15</v>
      </c>
      <c r="F271" s="1862">
        <v>0.13800000000000001</v>
      </c>
    </row>
    <row r="272" spans="1:6" ht="14.25" thickBot="1">
      <c r="A272" s="1856" t="s">
        <v>1413</v>
      </c>
      <c r="B272" s="1860" t="s">
        <v>1330</v>
      </c>
      <c r="C272" s="1870"/>
      <c r="D272" s="1870"/>
      <c r="E272" s="1870"/>
      <c r="F272" s="1862">
        <v>0.14000000000000001</v>
      </c>
    </row>
    <row r="273" spans="1:6" ht="14.25" thickBot="1">
      <c r="A273" s="1856" t="s">
        <v>1413</v>
      </c>
      <c r="B273" s="1860" t="s">
        <v>2182</v>
      </c>
      <c r="C273" s="1861">
        <v>0.14199999999999999</v>
      </c>
      <c r="D273" s="1861">
        <v>0.14299999999999999</v>
      </c>
      <c r="E273" s="1861">
        <v>0.15</v>
      </c>
      <c r="F273" s="1862">
        <v>0.1</v>
      </c>
    </row>
    <row r="274" spans="1:6" ht="14.25" thickBot="1">
      <c r="A274" s="1856" t="s">
        <v>1413</v>
      </c>
      <c r="B274" s="1860" t="s">
        <v>2183</v>
      </c>
      <c r="C274" s="1861">
        <v>0.14799999999999999</v>
      </c>
      <c r="D274" s="1861">
        <v>0.14799999999999999</v>
      </c>
      <c r="E274" s="1861">
        <v>0.15</v>
      </c>
      <c r="F274" s="1862">
        <v>6.7000000000000004E-2</v>
      </c>
    </row>
    <row r="275" spans="1:6" ht="14.25" thickBot="1">
      <c r="A275" s="1856" t="s">
        <v>1413</v>
      </c>
      <c r="B275" s="1860" t="s">
        <v>2184</v>
      </c>
      <c r="C275" s="1861">
        <v>0.15</v>
      </c>
      <c r="D275" s="1861">
        <v>0.15</v>
      </c>
      <c r="E275" s="1861">
        <v>0.15</v>
      </c>
      <c r="F275" s="1862">
        <v>0.15</v>
      </c>
    </row>
    <row r="276" spans="1:6" ht="14.25" thickBot="1">
      <c r="A276" s="1856" t="s">
        <v>1413</v>
      </c>
      <c r="B276" s="1860" t="s">
        <v>2185</v>
      </c>
      <c r="C276" s="1861">
        <v>0.14499999999999999</v>
      </c>
      <c r="D276" s="1861">
        <v>0.14299999999999999</v>
      </c>
      <c r="E276" s="1861">
        <v>0.15</v>
      </c>
      <c r="F276" s="1862">
        <v>5.8999999999999997E-2</v>
      </c>
    </row>
    <row r="277" spans="1:6" ht="14.25" thickBot="1">
      <c r="A277" s="1856" t="s">
        <v>1413</v>
      </c>
      <c r="B277" s="1860" t="s">
        <v>2186</v>
      </c>
      <c r="C277" s="1861">
        <v>0.15</v>
      </c>
      <c r="D277" s="1861">
        <v>0.15</v>
      </c>
      <c r="E277" s="1861">
        <v>0.15</v>
      </c>
      <c r="F277" s="1862">
        <v>0.121</v>
      </c>
    </row>
    <row r="278" spans="1:6" ht="14.25" thickBot="1">
      <c r="A278" s="1856" t="s">
        <v>1413</v>
      </c>
      <c r="B278" s="1860" t="s">
        <v>2187</v>
      </c>
      <c r="C278" s="1861">
        <v>0.15</v>
      </c>
      <c r="D278" s="1861">
        <v>0.15</v>
      </c>
      <c r="E278" s="1861">
        <v>0.15</v>
      </c>
      <c r="F278" s="1862">
        <v>0.13800000000000001</v>
      </c>
    </row>
    <row r="279" spans="1:6" ht="24.75" thickBot="1">
      <c r="A279" s="1856" t="s">
        <v>1413</v>
      </c>
      <c r="B279" s="1860" t="s">
        <v>2188</v>
      </c>
      <c r="C279" s="1870"/>
      <c r="D279" s="1870"/>
      <c r="E279" s="1870"/>
      <c r="F279" s="1862">
        <v>0.05</v>
      </c>
    </row>
    <row r="280" spans="1:6" ht="24.75" thickBot="1">
      <c r="A280" s="1856" t="s">
        <v>1413</v>
      </c>
      <c r="B280" s="1860" t="s">
        <v>2189</v>
      </c>
      <c r="C280" s="1870"/>
      <c r="D280" s="1870"/>
      <c r="E280" s="1870"/>
      <c r="F280" s="1862">
        <v>0.05</v>
      </c>
    </row>
    <row r="281" spans="1:6" ht="24.75" thickBot="1">
      <c r="A281" s="1856" t="s">
        <v>1413</v>
      </c>
      <c r="B281" s="1860" t="s">
        <v>2190</v>
      </c>
      <c r="C281" s="1870"/>
      <c r="D281" s="1870"/>
      <c r="E281" s="1870"/>
      <c r="F281" s="1862">
        <v>0.05</v>
      </c>
    </row>
    <row r="282" spans="1:6" ht="24.75" thickBot="1">
      <c r="A282" s="1856" t="s">
        <v>1413</v>
      </c>
      <c r="B282" s="1860" t="s">
        <v>2191</v>
      </c>
      <c r="C282" s="1870"/>
      <c r="D282" s="1870"/>
      <c r="E282" s="1870"/>
      <c r="F282" s="1862">
        <v>0.05</v>
      </c>
    </row>
    <row r="283" spans="1:6" ht="24.75" thickBot="1">
      <c r="A283" s="1856" t="s">
        <v>1413</v>
      </c>
      <c r="B283" s="1860" t="s">
        <v>2192</v>
      </c>
      <c r="C283" s="1870"/>
      <c r="D283" s="1870"/>
      <c r="E283" s="1870"/>
      <c r="F283" s="1862">
        <v>0.05</v>
      </c>
    </row>
    <row r="284" spans="1:6" ht="24.75" thickBot="1">
      <c r="A284" s="1856" t="s">
        <v>1413</v>
      </c>
      <c r="B284" s="1860" t="s">
        <v>2193</v>
      </c>
      <c r="C284" s="1870"/>
      <c r="D284" s="1870"/>
      <c r="E284" s="1870"/>
      <c r="F284" s="1862">
        <v>0.05</v>
      </c>
    </row>
    <row r="285" spans="1:6" ht="24.75" thickBot="1">
      <c r="A285" s="1856" t="s">
        <v>1413</v>
      </c>
      <c r="B285" s="1860" t="s">
        <v>2194</v>
      </c>
      <c r="C285" s="1870"/>
      <c r="D285" s="1870"/>
      <c r="E285" s="1870"/>
      <c r="F285" s="1862">
        <v>0.05</v>
      </c>
    </row>
    <row r="286" spans="1:6" ht="24.75" thickBot="1">
      <c r="A286" s="1856" t="s">
        <v>1413</v>
      </c>
      <c r="B286" s="1860" t="s">
        <v>2195</v>
      </c>
      <c r="C286" s="1870"/>
      <c r="D286" s="1870"/>
      <c r="E286" s="1870"/>
      <c r="F286" s="1862">
        <v>0.05</v>
      </c>
    </row>
    <row r="287" spans="1:6" ht="24.75" thickBot="1">
      <c r="A287" s="1856" t="s">
        <v>1413</v>
      </c>
      <c r="B287" s="1860" t="s">
        <v>2196</v>
      </c>
      <c r="C287" s="1870"/>
      <c r="D287" s="1870"/>
      <c r="E287" s="1870"/>
      <c r="F287" s="1862">
        <v>0.05</v>
      </c>
    </row>
    <row r="288" spans="1:6" ht="24.75" thickBot="1">
      <c r="A288" s="1856" t="s">
        <v>1413</v>
      </c>
      <c r="B288" s="1860" t="s">
        <v>2197</v>
      </c>
      <c r="C288" s="1870"/>
      <c r="D288" s="1870"/>
      <c r="E288" s="1870"/>
      <c r="F288" s="1862">
        <v>0.05</v>
      </c>
    </row>
    <row r="289" spans="1:6" ht="24.75" thickBot="1">
      <c r="A289" s="1864" t="s">
        <v>1413</v>
      </c>
      <c r="B289" s="1871" t="s">
        <v>2198</v>
      </c>
      <c r="C289" s="1867"/>
      <c r="D289" s="1867"/>
      <c r="E289" s="1867"/>
      <c r="F289" s="1872">
        <v>0.05</v>
      </c>
    </row>
    <row r="290" spans="1:6" ht="14.25" thickBot="1">
      <c r="A290" s="1856" t="s">
        <v>1417</v>
      </c>
      <c r="B290" s="1857" t="s">
        <v>2199</v>
      </c>
      <c r="C290" s="1858">
        <v>0.15</v>
      </c>
      <c r="D290" s="1858">
        <v>0.15</v>
      </c>
      <c r="E290" s="1858">
        <v>0.15</v>
      </c>
      <c r="F290" s="1880"/>
    </row>
    <row r="291" spans="1:6" ht="14.25" thickBot="1">
      <c r="A291" s="1856" t="s">
        <v>1417</v>
      </c>
      <c r="B291" s="1860" t="s">
        <v>1077</v>
      </c>
      <c r="C291" s="1861">
        <v>0.15</v>
      </c>
      <c r="D291" s="1861">
        <v>0.15</v>
      </c>
      <c r="E291" s="1861">
        <v>0.15</v>
      </c>
      <c r="F291" s="1869"/>
    </row>
    <row r="292" spans="1:6" ht="14.25" thickBot="1">
      <c r="A292" s="1856" t="s">
        <v>1417</v>
      </c>
      <c r="B292" s="1860" t="s">
        <v>2200</v>
      </c>
      <c r="C292" s="1861">
        <v>0.15</v>
      </c>
      <c r="D292" s="1861">
        <v>0.15</v>
      </c>
      <c r="E292" s="1861">
        <v>0.15</v>
      </c>
      <c r="F292" s="1862">
        <v>0.14699999999999999</v>
      </c>
    </row>
    <row r="293" spans="1:6" ht="14.25" thickBot="1">
      <c r="A293" s="1856" t="s">
        <v>1417</v>
      </c>
      <c r="B293" s="1860" t="s">
        <v>2201</v>
      </c>
      <c r="C293" s="1870"/>
      <c r="D293" s="1870"/>
      <c r="E293" s="1870"/>
      <c r="F293" s="1862">
        <v>0.1</v>
      </c>
    </row>
    <row r="294" spans="1:6" ht="14.25" thickBot="1">
      <c r="A294" s="1856" t="s">
        <v>1417</v>
      </c>
      <c r="B294" s="1860" t="s">
        <v>2202</v>
      </c>
      <c r="C294" s="1861">
        <v>0.15</v>
      </c>
      <c r="D294" s="1861">
        <v>0.15</v>
      </c>
      <c r="E294" s="1861">
        <v>0.15</v>
      </c>
      <c r="F294" s="1862">
        <v>0.15</v>
      </c>
    </row>
    <row r="295" spans="1:6" ht="14.25" thickBot="1">
      <c r="A295" s="1856" t="s">
        <v>1417</v>
      </c>
      <c r="B295" s="1860" t="s">
        <v>1118</v>
      </c>
      <c r="C295" s="1861">
        <v>0.15</v>
      </c>
      <c r="D295" s="1861">
        <v>0.15</v>
      </c>
      <c r="E295" s="1861">
        <v>0.15</v>
      </c>
      <c r="F295" s="1862">
        <v>0.15</v>
      </c>
    </row>
    <row r="296" spans="1:6" ht="14.25" thickBot="1">
      <c r="A296" s="1856" t="s">
        <v>1417</v>
      </c>
      <c r="B296" s="1860" t="s">
        <v>2203</v>
      </c>
      <c r="C296" s="1861">
        <v>0.15</v>
      </c>
      <c r="D296" s="1861">
        <v>0.15</v>
      </c>
      <c r="E296" s="1861">
        <v>0.15</v>
      </c>
      <c r="F296" s="1862">
        <v>0.15</v>
      </c>
    </row>
    <row r="297" spans="1:6" ht="14.25" thickBot="1">
      <c r="A297" s="1856" t="s">
        <v>1417</v>
      </c>
      <c r="B297" s="1860" t="s">
        <v>2204</v>
      </c>
      <c r="C297" s="1861">
        <v>0.14799999999999999</v>
      </c>
      <c r="D297" s="1861">
        <v>0.14899999999999999</v>
      </c>
      <c r="E297" s="1861">
        <v>0.15</v>
      </c>
      <c r="F297" s="1862">
        <v>0.13700000000000001</v>
      </c>
    </row>
    <row r="298" spans="1:6" ht="14.25" thickBot="1">
      <c r="A298" s="1856" t="s">
        <v>1417</v>
      </c>
      <c r="B298" s="1860" t="s">
        <v>1151</v>
      </c>
      <c r="C298" s="1861">
        <v>0.13400000000000001</v>
      </c>
      <c r="D298" s="1861">
        <v>0.13400000000000001</v>
      </c>
      <c r="E298" s="1861">
        <v>0.14499999999999999</v>
      </c>
      <c r="F298" s="1862">
        <v>0.14799999999999999</v>
      </c>
    </row>
    <row r="299" spans="1:6" ht="14.25" thickBot="1">
      <c r="A299" s="1856" t="s">
        <v>1417</v>
      </c>
      <c r="B299" s="1860" t="s">
        <v>1163</v>
      </c>
      <c r="C299" s="1861">
        <v>0.15</v>
      </c>
      <c r="D299" s="1861">
        <v>0.15</v>
      </c>
      <c r="E299" s="1861">
        <v>0.15</v>
      </c>
      <c r="F299" s="1869"/>
    </row>
    <row r="300" spans="1:6" ht="14.25" thickBot="1">
      <c r="A300" s="1856" t="s">
        <v>1417</v>
      </c>
      <c r="B300" s="1860" t="s">
        <v>2205</v>
      </c>
      <c r="C300" s="1861">
        <v>0.15</v>
      </c>
      <c r="D300" s="1861">
        <v>0.15</v>
      </c>
      <c r="E300" s="1861">
        <v>0.15</v>
      </c>
      <c r="F300" s="1862">
        <v>0.15</v>
      </c>
    </row>
    <row r="301" spans="1:6" ht="14.25" thickBot="1">
      <c r="A301" s="1856" t="s">
        <v>1417</v>
      </c>
      <c r="B301" s="1860" t="s">
        <v>1183</v>
      </c>
      <c r="C301" s="1861">
        <v>0.15</v>
      </c>
      <c r="D301" s="1861">
        <v>0.15</v>
      </c>
      <c r="E301" s="1861">
        <v>0.15</v>
      </c>
      <c r="F301" s="1869"/>
    </row>
    <row r="302" spans="1:6" ht="14.25" thickBot="1">
      <c r="A302" s="1856" t="s">
        <v>1417</v>
      </c>
      <c r="B302" s="1860" t="s">
        <v>2206</v>
      </c>
      <c r="C302" s="1861">
        <v>0.15</v>
      </c>
      <c r="D302" s="1861">
        <v>0.15</v>
      </c>
      <c r="E302" s="1861">
        <v>0.15</v>
      </c>
      <c r="F302" s="1862">
        <v>0.15</v>
      </c>
    </row>
    <row r="303" spans="1:6" ht="14.25" thickBot="1">
      <c r="A303" s="1856" t="s">
        <v>1417</v>
      </c>
      <c r="B303" s="1860" t="s">
        <v>1203</v>
      </c>
      <c r="C303" s="1861">
        <v>0.15</v>
      </c>
      <c r="D303" s="1861">
        <v>0.15</v>
      </c>
      <c r="E303" s="1861">
        <v>0.15</v>
      </c>
      <c r="F303" s="1862">
        <v>0.15</v>
      </c>
    </row>
    <row r="304" spans="1:6" ht="14.25" thickBot="1">
      <c r="A304" s="1856" t="s">
        <v>1417</v>
      </c>
      <c r="B304" s="1860" t="s">
        <v>1213</v>
      </c>
      <c r="C304" s="1861">
        <v>0.15</v>
      </c>
      <c r="D304" s="1861">
        <v>0.15</v>
      </c>
      <c r="E304" s="1861">
        <v>0.15</v>
      </c>
      <c r="F304" s="1869"/>
    </row>
    <row r="305" spans="1:6" ht="14.25" thickBot="1">
      <c r="A305" s="1856" t="s">
        <v>1417</v>
      </c>
      <c r="B305" s="1860" t="s">
        <v>2207</v>
      </c>
      <c r="C305" s="1861">
        <v>0.15</v>
      </c>
      <c r="D305" s="1861">
        <v>0.15</v>
      </c>
      <c r="E305" s="1861">
        <v>0.15</v>
      </c>
      <c r="F305" s="1862">
        <v>0.14000000000000001</v>
      </c>
    </row>
    <row r="306" spans="1:6" ht="14.25" thickBot="1">
      <c r="A306" s="1856" t="s">
        <v>1417</v>
      </c>
      <c r="B306" s="1860" t="s">
        <v>1233</v>
      </c>
      <c r="C306" s="1861">
        <v>0.15</v>
      </c>
      <c r="D306" s="1861">
        <v>0.15</v>
      </c>
      <c r="E306" s="1861">
        <v>0.15</v>
      </c>
      <c r="F306" s="1869"/>
    </row>
    <row r="307" spans="1:6" ht="14.25" thickBot="1">
      <c r="A307" s="1856" t="s">
        <v>1417</v>
      </c>
      <c r="B307" s="1860" t="s">
        <v>2208</v>
      </c>
      <c r="C307" s="1861">
        <v>0.15</v>
      </c>
      <c r="D307" s="1861">
        <v>0.15</v>
      </c>
      <c r="E307" s="1861">
        <v>0.15</v>
      </c>
      <c r="F307" s="1862">
        <v>0.14299999999999999</v>
      </c>
    </row>
    <row r="308" spans="1:6" ht="14.25" thickBot="1">
      <c r="A308" s="1856" t="s">
        <v>1417</v>
      </c>
      <c r="B308" s="1860" t="s">
        <v>1253</v>
      </c>
      <c r="C308" s="1861">
        <v>0.15</v>
      </c>
      <c r="D308" s="1861">
        <v>0.15</v>
      </c>
      <c r="E308" s="1861">
        <v>0.15</v>
      </c>
      <c r="F308" s="1862">
        <v>0.15</v>
      </c>
    </row>
    <row r="309" spans="1:6" ht="14.25" thickBot="1">
      <c r="A309" s="1856" t="s">
        <v>1417</v>
      </c>
      <c r="B309" s="1860" t="s">
        <v>1263</v>
      </c>
      <c r="C309" s="1861">
        <v>0.15</v>
      </c>
      <c r="D309" s="1861">
        <v>0.15</v>
      </c>
      <c r="E309" s="1861">
        <v>0.15</v>
      </c>
      <c r="F309" s="1869"/>
    </row>
    <row r="310" spans="1:6" ht="14.25" thickBot="1">
      <c r="A310" s="1856" t="s">
        <v>1417</v>
      </c>
      <c r="B310" s="1860" t="s">
        <v>2209</v>
      </c>
      <c r="C310" s="1861">
        <v>0.15</v>
      </c>
      <c r="D310" s="1861">
        <v>0.15</v>
      </c>
      <c r="E310" s="1861">
        <v>0.15</v>
      </c>
      <c r="F310" s="1862">
        <v>0.13700000000000001</v>
      </c>
    </row>
    <row r="311" spans="1:6" ht="14.25" thickBot="1">
      <c r="A311" s="1856" t="s">
        <v>1417</v>
      </c>
      <c r="B311" s="1860" t="s">
        <v>2210</v>
      </c>
      <c r="C311" s="1861">
        <v>0.15</v>
      </c>
      <c r="D311" s="1861">
        <v>0.15</v>
      </c>
      <c r="E311" s="1861">
        <v>0.15</v>
      </c>
      <c r="F311" s="1862">
        <v>0.15</v>
      </c>
    </row>
    <row r="312" spans="1:6" ht="14.25" thickBot="1">
      <c r="A312" s="1856" t="s">
        <v>1417</v>
      </c>
      <c r="B312" s="1860" t="s">
        <v>1289</v>
      </c>
      <c r="C312" s="1861">
        <v>0.15</v>
      </c>
      <c r="D312" s="1861">
        <v>0.15</v>
      </c>
      <c r="E312" s="1861">
        <v>0.15</v>
      </c>
      <c r="F312" s="1862">
        <v>0.1</v>
      </c>
    </row>
    <row r="313" spans="1:6" ht="14.25" thickBot="1">
      <c r="A313" s="1856" t="s">
        <v>1417</v>
      </c>
      <c r="B313" s="1860" t="s">
        <v>2211</v>
      </c>
      <c r="C313" s="1861">
        <v>0.15</v>
      </c>
      <c r="D313" s="1861">
        <v>0.15</v>
      </c>
      <c r="E313" s="1861">
        <v>0.15</v>
      </c>
      <c r="F313" s="1862">
        <v>0.15</v>
      </c>
    </row>
    <row r="314" spans="1:6" ht="24.75" thickBot="1">
      <c r="A314" s="1856" t="s">
        <v>1417</v>
      </c>
      <c r="B314" s="1860" t="s">
        <v>2212</v>
      </c>
      <c r="C314" s="1870"/>
      <c r="D314" s="1870"/>
      <c r="E314" s="1870"/>
      <c r="F314" s="1862">
        <v>0.05</v>
      </c>
    </row>
    <row r="315" spans="1:6" ht="24.75" thickBot="1">
      <c r="A315" s="1856" t="s">
        <v>1417</v>
      </c>
      <c r="B315" s="1860" t="s">
        <v>2213</v>
      </c>
      <c r="C315" s="1870"/>
      <c r="D315" s="1870"/>
      <c r="E315" s="1870"/>
      <c r="F315" s="1862">
        <v>0.05</v>
      </c>
    </row>
    <row r="316" spans="1:6" ht="24.75" thickBot="1">
      <c r="A316" s="1864" t="s">
        <v>1417</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1105</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1174</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1194</v>
      </c>
      <c r="C328" s="1861">
        <v>0.15</v>
      </c>
      <c r="D328" s="1861">
        <v>0.15</v>
      </c>
      <c r="E328" s="1861">
        <v>0.15</v>
      </c>
      <c r="F328" s="1862">
        <v>0.14099999999999999</v>
      </c>
    </row>
    <row r="329" spans="1:6" ht="14.25" thickBot="1">
      <c r="A329" s="1856" t="s">
        <v>2215</v>
      </c>
      <c r="B329" s="1860" t="s">
        <v>1204</v>
      </c>
      <c r="C329" s="1861">
        <v>0.15</v>
      </c>
      <c r="D329" s="1861">
        <v>0.15</v>
      </c>
      <c r="E329" s="1861">
        <v>0.15</v>
      </c>
      <c r="F329" s="1862">
        <v>0.15</v>
      </c>
    </row>
    <row r="330" spans="1:6" ht="14.25" thickBot="1">
      <c r="A330" s="1856" t="s">
        <v>2215</v>
      </c>
      <c r="B330" s="1860" t="s">
        <v>1214</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1234</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1254</v>
      </c>
      <c r="C334" s="1861">
        <v>0.15</v>
      </c>
      <c r="D334" s="1861">
        <v>0.15</v>
      </c>
      <c r="E334" s="1861">
        <v>0.15</v>
      </c>
      <c r="F334" s="1862">
        <v>0.15</v>
      </c>
    </row>
    <row r="335" spans="1:6" ht="14.25" thickBot="1">
      <c r="A335" s="1856" t="s">
        <v>2215</v>
      </c>
      <c r="B335" s="1860" t="s">
        <v>1264</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1282</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2945</v>
      </c>
      <c r="B1" s="3104"/>
      <c r="C1" s="3104"/>
      <c r="D1" s="3104"/>
      <c r="E1" s="3104"/>
      <c r="F1" s="3104"/>
    </row>
    <row r="2" spans="1:6" ht="14.25">
      <c r="A2" s="3105" t="s">
        <v>2940</v>
      </c>
      <c r="B2" s="3106" t="e">
        <f ca="1">SUMIF(B7:B14,"&lt;&gt;#ref!",B7:B14)</f>
        <v>#DIV/0!</v>
      </c>
      <c r="C2" s="3105" t="s">
        <v>2941</v>
      </c>
      <c r="D2" s="3104"/>
      <c r="E2" s="3104"/>
      <c r="F2" s="3104"/>
    </row>
    <row r="3" spans="1:6" ht="14.25">
      <c r="A3" s="3105" t="s">
        <v>2974</v>
      </c>
      <c r="B3" s="3106" t="e">
        <f ca="1">ROUND(B2*10000/E3,0)</f>
        <v>#DIV/0!</v>
      </c>
      <c r="C3" s="3105" t="s">
        <v>2077</v>
      </c>
      <c r="D3" s="3105" t="s">
        <v>2942</v>
      </c>
      <c r="E3" s="3106">
        <f ca="1">SUMIF(E7:E14,"&lt;&gt;#ref!",E7:E14)</f>
        <v>0</v>
      </c>
      <c r="F3" s="3104"/>
    </row>
    <row r="4" spans="1:6" ht="14.25">
      <c r="A4" s="3105" t="s">
        <v>2949</v>
      </c>
      <c r="B4" s="3106" t="e">
        <f ca="1">ROUND(B2*10000/E4,0)</f>
        <v>#DIV/0!</v>
      </c>
      <c r="C4" s="3105" t="s">
        <v>2077</v>
      </c>
      <c r="D4" s="3105" t="s">
        <v>2950</v>
      </c>
      <c r="E4" s="3106">
        <f ca="1">SUMIF(F7:F14,"&lt;&gt;#ref!",F7:F14)</f>
        <v>0</v>
      </c>
      <c r="F4" s="3104"/>
    </row>
    <row r="5" spans="1:6" ht="14.25">
      <c r="A5" s="3107"/>
      <c r="B5" s="1882"/>
      <c r="C5" s="1882"/>
      <c r="D5" s="1882"/>
      <c r="E5" s="1882"/>
      <c r="F5" s="3104"/>
    </row>
    <row r="6" spans="1:6" ht="28.5">
      <c r="A6" s="3108" t="s">
        <v>2946</v>
      </c>
      <c r="B6" s="3105" t="s">
        <v>2943</v>
      </c>
      <c r="C6" s="3106"/>
      <c r="D6" s="1882"/>
      <c r="E6" s="3105" t="s">
        <v>2944</v>
      </c>
      <c r="F6" s="3105" t="s">
        <v>2948</v>
      </c>
    </row>
    <row r="7" spans="1:6" ht="14.25">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2941</v>
      </c>
      <c r="D9" s="1882"/>
      <c r="E9" s="3110" t="e">
        <f t="shared" ca="1" si="1"/>
        <v>#REF!</v>
      </c>
      <c r="F9" s="3110" t="e">
        <f t="shared" ca="1" si="2"/>
        <v>#REF!</v>
      </c>
    </row>
    <row r="10" spans="1:6" ht="14.25">
      <c r="A10" s="260"/>
      <c r="B10" s="3109" t="e">
        <f t="shared" ca="1" si="0"/>
        <v>#REF!</v>
      </c>
      <c r="C10" s="3105" t="s">
        <v>2941</v>
      </c>
      <c r="D10" s="1882"/>
      <c r="E10" s="3110" t="e">
        <f t="shared" ca="1" si="1"/>
        <v>#REF!</v>
      </c>
      <c r="F10" s="3110" t="e">
        <f t="shared" ca="1" si="2"/>
        <v>#REF!</v>
      </c>
    </row>
    <row r="11" spans="1:6" ht="14.25">
      <c r="A11" s="260"/>
      <c r="B11" s="3109" t="e">
        <f t="shared" ca="1" si="0"/>
        <v>#REF!</v>
      </c>
      <c r="C11" s="3105" t="s">
        <v>2941</v>
      </c>
      <c r="D11" s="1882"/>
      <c r="E11" s="3110" t="e">
        <f t="shared" ca="1" si="1"/>
        <v>#REF!</v>
      </c>
      <c r="F11" s="3110" t="e">
        <f t="shared" ca="1" si="2"/>
        <v>#REF!</v>
      </c>
    </row>
    <row r="12" spans="1:6" ht="14.25">
      <c r="A12" s="260"/>
      <c r="B12" s="3109" t="e">
        <f t="shared" ca="1" si="0"/>
        <v>#REF!</v>
      </c>
      <c r="C12" s="3105" t="s">
        <v>2941</v>
      </c>
      <c r="D12" s="1882"/>
      <c r="E12" s="3110" t="e">
        <f t="shared" ca="1" si="1"/>
        <v>#REF!</v>
      </c>
      <c r="F12" s="3110" t="e">
        <f t="shared" ca="1" si="2"/>
        <v>#REF!</v>
      </c>
    </row>
    <row r="13" spans="1:6" ht="14.25">
      <c r="A13" s="260"/>
      <c r="B13" s="3109" t="e">
        <f t="shared" ca="1" si="0"/>
        <v>#REF!</v>
      </c>
      <c r="C13" s="3105" t="s">
        <v>2941</v>
      </c>
      <c r="D13" s="1882"/>
      <c r="E13" s="3110" t="e">
        <f t="shared" ca="1" si="1"/>
        <v>#REF!</v>
      </c>
      <c r="F13" s="3110" t="e">
        <f t="shared" ca="1" si="2"/>
        <v>#REF!</v>
      </c>
    </row>
    <row r="14" spans="1:6" ht="14.25">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423" t="s">
        <v>2459</v>
      </c>
      <c r="C8" s="1826">
        <f ca="1">ROUND(F8*F10*F9*(1-F11)/10000,0)</f>
        <v>0</v>
      </c>
      <c r="D8" s="1823" t="s">
        <v>2530</v>
      </c>
      <c r="E8" s="61" t="s">
        <v>634</v>
      </c>
      <c r="F8" s="785">
        <f ca="1">INDIRECT("'数据-取费表'!u"&amp;$G$1)</f>
        <v>0</v>
      </c>
      <c r="G8" s="1593"/>
      <c r="H8" s="2502" t="s">
        <v>1822</v>
      </c>
      <c r="I8" s="3423" t="s">
        <v>2459</v>
      </c>
      <c r="J8" s="783">
        <f ca="1">ROUND(M8*M10*M9*(1-M11)/10000,0)</f>
        <v>0</v>
      </c>
      <c r="K8" s="341" t="s">
        <v>2530</v>
      </c>
      <c r="L8" s="784" t="s">
        <v>1736</v>
      </c>
      <c r="M8" s="785">
        <f ca="1">INDIRECT("'数据-取费表'!z"&amp;$G$1)</f>
        <v>0</v>
      </c>
    </row>
    <row r="9" spans="1:25" ht="18" customHeight="1">
      <c r="A9" s="2498"/>
      <c r="B9" s="3424"/>
      <c r="C9" s="1827"/>
      <c r="D9" s="1824"/>
      <c r="E9" s="61" t="s">
        <v>635</v>
      </c>
      <c r="F9" s="785">
        <f ca="1">IF(INDIRECT("'数据-取费表'!ah"&amp;$G$1)="",INDIRECT("'数据-取费表'!k"&amp;$G$1),INDIRECT("'数据-取费表'!ah"&amp;$G$1))</f>
        <v>0</v>
      </c>
      <c r="G9" s="1593"/>
      <c r="H9" s="2487"/>
      <c r="I9" s="3424"/>
      <c r="J9" s="788"/>
      <c r="K9" s="789"/>
      <c r="L9" s="784" t="s">
        <v>1737</v>
      </c>
      <c r="M9" s="785">
        <f ca="1">F9</f>
        <v>0</v>
      </c>
    </row>
    <row r="10" spans="1:25" ht="18" customHeight="1">
      <c r="A10" s="2491"/>
      <c r="B10" s="3425"/>
      <c r="C10" s="1827"/>
      <c r="D10" s="1824"/>
      <c r="E10" s="61" t="s">
        <v>636</v>
      </c>
      <c r="F10" s="785">
        <f ca="1">INDIRECT("'数据-取费表'!ai"&amp;$G$1)</f>
        <v>0</v>
      </c>
      <c r="G10" s="1593"/>
      <c r="H10" s="2487"/>
      <c r="I10" s="3425"/>
      <c r="J10" s="788"/>
      <c r="K10" s="789"/>
      <c r="L10" s="784" t="s">
        <v>1738</v>
      </c>
      <c r="M10" s="785">
        <f ca="1">INDIRECT("'数据-取费表'!ai"&amp;$G$1)</f>
        <v>0</v>
      </c>
    </row>
    <row r="11" spans="1:25" ht="18" customHeight="1">
      <c r="A11" s="786"/>
      <c r="B11" s="3426"/>
      <c r="C11" s="1827"/>
      <c r="D11" s="1824"/>
      <c r="E11" s="61" t="s">
        <v>637</v>
      </c>
      <c r="F11" s="794">
        <f ca="1">INDIRECT("'数据-取费表'!w"&amp;$G$1)</f>
        <v>0</v>
      </c>
      <c r="G11" s="1593"/>
      <c r="H11" s="2503"/>
      <c r="I11" s="3425"/>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3.5000000000000003E-2</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2.5000000000000001E-2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2.3999999999999998E-3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61"/>
      <c r="J36" s="2079"/>
      <c r="K36" s="2080"/>
      <c r="L36" s="2079"/>
      <c r="M36" s="2079"/>
    </row>
    <row r="37" spans="1:18" ht="18" customHeight="1">
      <c r="A37" s="815"/>
      <c r="B37" s="793"/>
      <c r="C37" s="69"/>
      <c r="D37" s="816"/>
      <c r="E37" s="784" t="s">
        <v>671</v>
      </c>
      <c r="F37" s="785">
        <f ca="1">INDIRECT("'数据-取费表'!r"&amp;$G$1)</f>
        <v>0</v>
      </c>
      <c r="G37" s="2062"/>
      <c r="H37" s="2065"/>
      <c r="I37" s="3461"/>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29.25" thickBot="1">
      <c r="A54" s="2096"/>
      <c r="I54" s="3152" t="s">
        <v>2975</v>
      </c>
      <c r="J54" s="3155">
        <f ca="1">IF(M48="住宅",MAX(J52,L49-'数据-取费表'!B20),MIN(J52,L49-'数据-取费表'!B20))</f>
        <v>-4</v>
      </c>
      <c r="K54" s="3462"/>
      <c r="L54" s="3463"/>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5"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3.5"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29.25"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29.25"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29.25"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5.75"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20.25" thickBot="1">
      <c r="A62" s="2096"/>
      <c r="B62" s="2097"/>
      <c r="C62" s="2097"/>
      <c r="K62" s="2086"/>
      <c r="O62" s="2399" t="s">
        <v>2383</v>
      </c>
      <c r="P62" s="2397" t="s">
        <v>2391</v>
      </c>
      <c r="Q62" s="2398">
        <f ca="1">L59</f>
        <v>0</v>
      </c>
      <c r="R62" s="2401" t="s">
        <v>2392</v>
      </c>
    </row>
    <row r="63" spans="1:18" s="2059" customFormat="1" ht="20.25"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5.75"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5" thickBot="1">
      <c r="A65" s="2096"/>
      <c r="B65" s="2097"/>
      <c r="C65" s="2097"/>
      <c r="I65" s="3172" t="s">
        <v>2368</v>
      </c>
      <c r="J65" s="3173">
        <v>50</v>
      </c>
      <c r="K65" s="3173">
        <v>35</v>
      </c>
      <c r="L65" s="3173">
        <v>60</v>
      </c>
      <c r="M65" s="846">
        <v>0</v>
      </c>
      <c r="O65" s="2402" t="s">
        <v>2412</v>
      </c>
      <c r="P65" s="1593"/>
      <c r="Q65" s="1605"/>
      <c r="R65" s="1593"/>
    </row>
    <row r="66" spans="1:18" s="2059" customFormat="1" ht="15.75"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5.75" thickBot="1">
      <c r="A67" s="2096"/>
      <c r="B67" s="2097"/>
      <c r="C67" s="2097"/>
      <c r="K67" s="2086"/>
      <c r="O67" s="2396" t="s">
        <v>2376</v>
      </c>
      <c r="P67" s="2397" t="s">
        <v>2402</v>
      </c>
      <c r="Q67" s="2398">
        <f ca="1">C41+J31</f>
        <v>0</v>
      </c>
      <c r="R67" s="2397" t="s">
        <v>2377</v>
      </c>
    </row>
    <row r="68" spans="1:18" s="2059" customFormat="1" ht="20.25" thickBot="1">
      <c r="A68" s="2096"/>
      <c r="B68" s="2097"/>
      <c r="C68" s="2097"/>
      <c r="K68" s="2086"/>
      <c r="O68" s="2396" t="s">
        <v>2378</v>
      </c>
      <c r="P68" s="2397" t="s">
        <v>2409</v>
      </c>
      <c r="Q68" s="2398" t="e">
        <f ca="1">L61</f>
        <v>#DIV/0!</v>
      </c>
      <c r="R68" s="2401" t="s">
        <v>2411</v>
      </c>
    </row>
    <row r="69" spans="1:18" s="2059" customFormat="1" ht="21.75" thickBot="1">
      <c r="A69" s="2096"/>
      <c r="B69" s="2097"/>
      <c r="C69" s="2097"/>
      <c r="K69" s="2086"/>
      <c r="O69" s="2399" t="s">
        <v>2380</v>
      </c>
      <c r="P69" s="2397" t="s">
        <v>2410</v>
      </c>
      <c r="Q69" s="2403">
        <f ca="1">L52</f>
        <v>0</v>
      </c>
      <c r="R69" s="2404" t="s">
        <v>2413</v>
      </c>
    </row>
    <row r="70" spans="1:18" s="2059" customFormat="1" ht="20.25" thickBot="1">
      <c r="A70" s="2096"/>
      <c r="B70" s="2097"/>
      <c r="C70" s="2097"/>
      <c r="K70" s="2086"/>
      <c r="O70" s="2399" t="s">
        <v>2381</v>
      </c>
      <c r="P70" s="2405" t="s">
        <v>2395</v>
      </c>
      <c r="Q70" s="2398">
        <f ca="1">ROUND(Q71-Q72*Q73,0)</f>
        <v>0</v>
      </c>
      <c r="R70" s="2401"/>
    </row>
    <row r="71" spans="1:18" s="2059" customFormat="1" ht="15.75" thickBot="1">
      <c r="A71" s="2096"/>
      <c r="B71" s="2097"/>
      <c r="C71" s="2097"/>
      <c r="K71" s="2086"/>
      <c r="O71" s="2399" t="s">
        <v>2396</v>
      </c>
      <c r="P71" s="2405" t="s">
        <v>2397</v>
      </c>
      <c r="Q71" s="2398">
        <f ca="1">C42</f>
        <v>0</v>
      </c>
      <c r="R71" s="2397" t="s">
        <v>2377</v>
      </c>
    </row>
    <row r="72" spans="1:18" s="2059" customFormat="1" ht="15.75" thickBot="1">
      <c r="A72" s="2096"/>
      <c r="B72" s="2097"/>
      <c r="C72" s="2097"/>
      <c r="K72" s="2086"/>
      <c r="O72" s="2399" t="s">
        <v>2398</v>
      </c>
      <c r="P72" s="2405" t="s">
        <v>2399</v>
      </c>
      <c r="Q72" s="2398">
        <f ca="1">C15</f>
        <v>0</v>
      </c>
      <c r="R72" s="2397" t="s">
        <v>2377</v>
      </c>
    </row>
    <row r="73" spans="1:18" s="2059" customFormat="1" ht="15.75" thickBot="1">
      <c r="A73" s="2096"/>
      <c r="B73" s="2097"/>
      <c r="C73" s="2097"/>
      <c r="K73" s="2086"/>
      <c r="O73" s="2399" t="s">
        <v>2400</v>
      </c>
      <c r="P73" s="2405" t="s">
        <v>2401</v>
      </c>
      <c r="Q73" s="2400">
        <f ca="1">F43</f>
        <v>0</v>
      </c>
      <c r="R73" s="2401"/>
    </row>
    <row r="74" spans="1:18" s="2059" customFormat="1" ht="15.75" thickBot="1">
      <c r="A74" s="2096"/>
      <c r="B74" s="2097"/>
      <c r="C74" s="2097"/>
      <c r="K74" s="2086"/>
      <c r="O74" s="2399" t="s">
        <v>2383</v>
      </c>
      <c r="P74" s="2397" t="s">
        <v>2390</v>
      </c>
      <c r="Q74" s="2400">
        <f>L53</f>
        <v>0</v>
      </c>
      <c r="R74" s="2401"/>
    </row>
    <row r="75" spans="1:18" s="2059" customFormat="1" ht="20.25" thickBot="1">
      <c r="A75" s="2096"/>
      <c r="B75" s="2097"/>
      <c r="C75" s="2097"/>
      <c r="K75" s="2086"/>
      <c r="O75" s="2399" t="s">
        <v>2385</v>
      </c>
      <c r="P75" s="2397" t="s">
        <v>2391</v>
      </c>
      <c r="Q75" s="2398">
        <f ca="1">L59</f>
        <v>0</v>
      </c>
      <c r="R75" s="2401" t="s">
        <v>2392</v>
      </c>
    </row>
    <row r="76" spans="1:18" s="2059" customFormat="1" ht="20.25" thickBot="1">
      <c r="A76" s="2096"/>
      <c r="B76" s="2097"/>
      <c r="C76" s="2097"/>
      <c r="K76" s="2086"/>
      <c r="O76" s="2399" t="s">
        <v>2414</v>
      </c>
      <c r="P76" s="2397" t="s">
        <v>2393</v>
      </c>
      <c r="Q76" s="2398">
        <f ca="1">L60</f>
        <v>0</v>
      </c>
      <c r="R76" s="2401" t="s">
        <v>2394</v>
      </c>
    </row>
    <row r="77" spans="1:18" s="2059" customFormat="1" ht="15.75"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56.25">
      <c r="A7" s="1796" t="s">
        <v>2743</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2937</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92" t="s">
        <v>2073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本次估价对象为出让国有建设用地使用权，《国有土地使用证》[高国用（2013）第781号]证载土地终止日期为商业2045年2月25日。截至估价期日，出让国有建设用地使用权剩余土地使用年限为商业用地27.98年。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ColWidth="9"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66" t="s">
        <v>2572</v>
      </c>
      <c r="C1" s="3466"/>
      <c r="D1" s="3466"/>
      <c r="E1" s="3466"/>
      <c r="F1" s="3466"/>
      <c r="G1" s="3465" t="s">
        <v>2573</v>
      </c>
      <c r="H1" s="3465"/>
      <c r="I1" s="3465"/>
      <c r="J1" s="3465"/>
      <c r="K1" s="3465"/>
      <c r="L1" s="3465"/>
      <c r="N1" s="3465" t="s">
        <v>2574</v>
      </c>
      <c r="O1" s="3465"/>
      <c r="P1" s="3465"/>
      <c r="Q1" s="3465"/>
      <c r="R1" s="2652"/>
      <c r="S1" s="3465" t="s">
        <v>2575</v>
      </c>
      <c r="T1" s="3465"/>
      <c r="U1" s="3465"/>
      <c r="V1" s="3465"/>
      <c r="X1" s="3464" t="s">
        <v>2635</v>
      </c>
      <c r="Y1" s="3465"/>
      <c r="Z1" s="3465"/>
      <c r="AA1" s="3465"/>
      <c r="AB1" s="3465"/>
      <c r="AD1" s="3464" t="s">
        <v>2639</v>
      </c>
      <c r="AE1" s="3465"/>
      <c r="AF1" s="3465"/>
      <c r="AG1" s="3465"/>
      <c r="AH1" s="3465"/>
    </row>
    <row r="2" spans="1:34" s="2754" customFormat="1" ht="14.2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25">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73">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68"/>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68"/>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69"/>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965</v>
      </c>
      <c r="B16" s="2659">
        <v>333</v>
      </c>
      <c r="C16" s="2659">
        <v>277</v>
      </c>
      <c r="D16" s="2659">
        <f t="shared" si="45"/>
        <v>277</v>
      </c>
      <c r="E16" s="2659">
        <v>459</v>
      </c>
      <c r="F16" s="2660">
        <v>249</v>
      </c>
      <c r="G16" s="3467">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68"/>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68"/>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69"/>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961</v>
      </c>
      <c r="B20" s="2681">
        <v>318</v>
      </c>
      <c r="C20" s="2681">
        <v>268</v>
      </c>
      <c r="D20" s="2681">
        <f t="shared" si="45"/>
        <v>268</v>
      </c>
      <c r="E20" s="2681">
        <v>437</v>
      </c>
      <c r="F20" s="2682">
        <v>237</v>
      </c>
      <c r="G20" s="3467">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68"/>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68"/>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69"/>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2579</v>
      </c>
      <c r="B24" s="2659">
        <v>299</v>
      </c>
      <c r="C24" s="2659">
        <v>252</v>
      </c>
      <c r="D24" s="2659">
        <f t="shared" si="45"/>
        <v>252</v>
      </c>
      <c r="E24" s="2659">
        <v>409</v>
      </c>
      <c r="F24" s="2660">
        <v>227</v>
      </c>
      <c r="G24" s="3470">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1"/>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71"/>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72"/>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2583</v>
      </c>
      <c r="B28" s="2697">
        <v>278</v>
      </c>
      <c r="C28" s="2697">
        <v>234</v>
      </c>
      <c r="D28" s="2697">
        <f t="shared" si="45"/>
        <v>234</v>
      </c>
      <c r="E28" s="2697">
        <v>379</v>
      </c>
      <c r="F28" s="2698">
        <v>220</v>
      </c>
      <c r="G28" s="3467">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68"/>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68"/>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2586</v>
      </c>
      <c r="B31" s="2667">
        <f>B30/(1+N30)</f>
        <v>275.19025476197027</v>
      </c>
      <c r="C31" s="2699">
        <v>232</v>
      </c>
      <c r="D31" s="2699">
        <f t="shared" si="45"/>
        <v>232</v>
      </c>
      <c r="E31" s="2667">
        <f t="shared" si="56"/>
        <v>375.65990977608692</v>
      </c>
      <c r="F31" s="2667">
        <f t="shared" si="56"/>
        <v>214.12518283971252</v>
      </c>
      <c r="G31" s="3469"/>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2587</v>
      </c>
      <c r="B32" s="2659">
        <v>275</v>
      </c>
      <c r="C32" s="2659">
        <v>232</v>
      </c>
      <c r="D32" s="2659">
        <f t="shared" si="45"/>
        <v>232</v>
      </c>
      <c r="E32" s="2659">
        <v>376</v>
      </c>
      <c r="F32" s="2660">
        <v>213</v>
      </c>
      <c r="G32" s="3467">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68">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68">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69">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2591</v>
      </c>
      <c r="B36" s="2659">
        <v>269</v>
      </c>
      <c r="C36" s="2659">
        <v>221</v>
      </c>
      <c r="D36" s="2659">
        <f t="shared" si="45"/>
        <v>221</v>
      </c>
      <c r="E36" s="2659">
        <v>373</v>
      </c>
      <c r="F36" s="2660">
        <v>196</v>
      </c>
      <c r="G36" s="3467">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68">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68">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69">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2595</v>
      </c>
      <c r="B40" s="2659">
        <v>220</v>
      </c>
      <c r="C40" s="2659">
        <v>187</v>
      </c>
      <c r="D40" s="2659">
        <f t="shared" si="45"/>
        <v>187</v>
      </c>
      <c r="E40" s="2659">
        <v>301</v>
      </c>
      <c r="F40" s="2660">
        <v>168</v>
      </c>
      <c r="G40" s="3467">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68">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68">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69">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2599</v>
      </c>
      <c r="B44" s="2697">
        <v>214</v>
      </c>
      <c r="C44" s="2697">
        <v>188</v>
      </c>
      <c r="D44" s="2697">
        <f t="shared" si="45"/>
        <v>188</v>
      </c>
      <c r="E44" s="2697">
        <v>289</v>
      </c>
      <c r="F44" s="2698">
        <v>166</v>
      </c>
      <c r="G44" s="3467">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68">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68">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69">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2603</v>
      </c>
      <c r="B48" s="2659">
        <v>188</v>
      </c>
      <c r="C48" s="2659">
        <v>165</v>
      </c>
      <c r="D48" s="2659">
        <f t="shared" si="45"/>
        <v>165</v>
      </c>
      <c r="E48" s="2659">
        <v>254</v>
      </c>
      <c r="F48" s="2660">
        <v>148</v>
      </c>
      <c r="G48" s="3467">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68">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68">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69">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2607</v>
      </c>
      <c r="B52" s="2681">
        <v>159</v>
      </c>
      <c r="C52" s="2681">
        <v>141</v>
      </c>
      <c r="D52" s="2681">
        <f t="shared" si="45"/>
        <v>141</v>
      </c>
      <c r="E52" s="2681">
        <v>195</v>
      </c>
      <c r="F52" s="2682">
        <v>122</v>
      </c>
      <c r="G52" s="3467">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68">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68">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69">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2611</v>
      </c>
      <c r="B56" s="2681">
        <v>138</v>
      </c>
      <c r="C56" s="2681">
        <v>131</v>
      </c>
      <c r="D56" s="2681">
        <f t="shared" si="45"/>
        <v>131</v>
      </c>
      <c r="E56" s="2681">
        <v>155</v>
      </c>
      <c r="F56" s="2682">
        <v>114</v>
      </c>
      <c r="G56" s="3467">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68">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68">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69">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2615</v>
      </c>
      <c r="B60" s="2697">
        <v>121</v>
      </c>
      <c r="C60" s="2697">
        <v>122</v>
      </c>
      <c r="D60" s="2697">
        <f t="shared" si="45"/>
        <v>122</v>
      </c>
      <c r="E60" s="2697">
        <v>124</v>
      </c>
      <c r="F60" s="2698">
        <v>107</v>
      </c>
      <c r="G60" s="3467">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68">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68">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69">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2619</v>
      </c>
      <c r="B64" s="2718">
        <v>111</v>
      </c>
      <c r="C64" s="2718">
        <v>114</v>
      </c>
      <c r="D64" s="2718">
        <f t="shared" si="45"/>
        <v>114</v>
      </c>
      <c r="E64" s="2718">
        <v>108</v>
      </c>
      <c r="F64" s="2719">
        <v>104</v>
      </c>
      <c r="G64" s="3467">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68">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68">
        <v>2003</v>
      </c>
      <c r="H66" s="2658">
        <v>2</v>
      </c>
      <c r="I66" s="2720"/>
      <c r="J66" s="2720"/>
      <c r="K66" s="2720"/>
      <c r="L66" s="2720"/>
      <c r="X66" s="2712"/>
      <c r="Y66" s="2712"/>
      <c r="Z66" s="2712"/>
    </row>
    <row r="67" spans="1:26" ht="13.5" thickBot="1">
      <c r="A67" s="2653" t="s">
        <v>2622</v>
      </c>
      <c r="B67" s="2722">
        <f t="shared" si="81"/>
        <v>107.25</v>
      </c>
      <c r="C67" s="2722">
        <f t="shared" si="81"/>
        <v>108.75</v>
      </c>
      <c r="D67" s="2722">
        <f t="shared" si="45"/>
        <v>108.75</v>
      </c>
      <c r="E67" s="2722">
        <f t="shared" si="82"/>
        <v>105.75</v>
      </c>
      <c r="F67" s="2722">
        <f t="shared" si="82"/>
        <v>102.5</v>
      </c>
      <c r="G67" s="3469">
        <v>2003</v>
      </c>
      <c r="H67" s="2723">
        <v>1</v>
      </c>
      <c r="I67" s="2720"/>
      <c r="J67" s="2720"/>
      <c r="K67" s="2720"/>
      <c r="L67" s="2720"/>
      <c r="S67" s="2662"/>
      <c r="T67" s="2663"/>
      <c r="U67" s="2663"/>
      <c r="X67" s="2712"/>
      <c r="Y67" s="2712"/>
      <c r="Z67" s="2712"/>
    </row>
    <row r="68" spans="1:26" ht="13.5" thickBot="1">
      <c r="A68" s="2653" t="s">
        <v>2623</v>
      </c>
      <c r="B68" s="2724">
        <v>106</v>
      </c>
      <c r="C68" s="2724">
        <v>107</v>
      </c>
      <c r="D68" s="2724">
        <f t="shared" si="45"/>
        <v>107</v>
      </c>
      <c r="E68" s="2724">
        <v>105</v>
      </c>
      <c r="F68" s="2725">
        <v>102</v>
      </c>
      <c r="G68" s="3467">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68">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68">
        <v>2002</v>
      </c>
      <c r="H70" s="2658">
        <v>2</v>
      </c>
      <c r="I70" s="2720"/>
      <c r="J70" s="2720"/>
      <c r="K70" s="2720"/>
      <c r="L70" s="2720"/>
      <c r="X70" s="2712"/>
      <c r="Y70" s="2712"/>
      <c r="Z70" s="2712"/>
    </row>
    <row r="71" spans="1:26" s="2689" customFormat="1" ht="13.5" thickBot="1">
      <c r="A71" s="2685" t="s">
        <v>2626</v>
      </c>
      <c r="B71" s="2726">
        <f t="shared" si="83"/>
        <v>103</v>
      </c>
      <c r="C71" s="2726">
        <f t="shared" si="83"/>
        <v>104</v>
      </c>
      <c r="D71" s="2726">
        <f t="shared" si="45"/>
        <v>104</v>
      </c>
      <c r="E71" s="2726">
        <f t="shared" si="84"/>
        <v>103.5</v>
      </c>
      <c r="F71" s="2726">
        <f t="shared" si="84"/>
        <v>100.5</v>
      </c>
      <c r="G71" s="3469">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5"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90" t="s">
        <v>2467</v>
      </c>
      <c r="B1" s="3491"/>
      <c r="C1" s="3492"/>
      <c r="D1" s="3493">
        <f>SUM(I10,I15,I20,I21,I23)</f>
        <v>0</v>
      </c>
      <c r="E1" s="3493"/>
      <c r="F1" s="3493"/>
      <c r="G1" s="3493"/>
      <c r="H1" s="3493"/>
      <c r="I1" s="3494"/>
    </row>
    <row r="2" spans="1:9">
      <c r="A2" s="3480" t="s">
        <v>2468</v>
      </c>
      <c r="B2" s="3481" t="s">
        <v>2469</v>
      </c>
      <c r="C2" s="3481"/>
      <c r="D2" s="2505" t="s">
        <v>2470</v>
      </c>
      <c r="E2" s="2505" t="s">
        <v>2471</v>
      </c>
      <c r="F2" s="2505" t="s">
        <v>2472</v>
      </c>
      <c r="G2" s="2505" t="s">
        <v>2473</v>
      </c>
      <c r="H2" s="2505" t="s">
        <v>2474</v>
      </c>
      <c r="I2" s="2506" t="s">
        <v>2475</v>
      </c>
    </row>
    <row r="3" spans="1:9">
      <c r="A3" s="3480"/>
      <c r="B3" s="3481" t="s">
        <v>2476</v>
      </c>
      <c r="C3" s="3481"/>
      <c r="D3" s="2507"/>
      <c r="E3" s="2505"/>
      <c r="F3" s="2508"/>
      <c r="G3" s="2508"/>
      <c r="H3" s="2509"/>
      <c r="I3" s="2510">
        <f>ROUND(D3*E3*F3*G3*H3/10000,0)</f>
        <v>0</v>
      </c>
    </row>
    <row r="4" spans="1:9">
      <c r="A4" s="3480"/>
      <c r="B4" s="3481" t="s">
        <v>2477</v>
      </c>
      <c r="C4" s="3481"/>
      <c r="D4" s="2507"/>
      <c r="E4" s="2505"/>
      <c r="F4" s="2508"/>
      <c r="G4" s="2508"/>
      <c r="H4" s="2509"/>
      <c r="I4" s="2510">
        <f t="shared" ref="I4:I9" si="0">ROUND(D4*E4*F4*G4*H4/10000,0)</f>
        <v>0</v>
      </c>
    </row>
    <row r="5" spans="1:9">
      <c r="A5" s="3480"/>
      <c r="B5" s="3481" t="s">
        <v>2478</v>
      </c>
      <c r="C5" s="3481"/>
      <c r="D5" s="2507"/>
      <c r="E5" s="2505"/>
      <c r="F5" s="2508"/>
      <c r="G5" s="2508"/>
      <c r="H5" s="2509"/>
      <c r="I5" s="2510">
        <f t="shared" si="0"/>
        <v>0</v>
      </c>
    </row>
    <row r="6" spans="1:9">
      <c r="A6" s="3480"/>
      <c r="B6" s="3481" t="s">
        <v>2479</v>
      </c>
      <c r="C6" s="3481"/>
      <c r="D6" s="2507"/>
      <c r="E6" s="2505"/>
      <c r="F6" s="2508"/>
      <c r="G6" s="2508"/>
      <c r="H6" s="2509"/>
      <c r="I6" s="2510">
        <f t="shared" si="0"/>
        <v>0</v>
      </c>
    </row>
    <row r="7" spans="1:9">
      <c r="A7" s="3480"/>
      <c r="B7" s="3481" t="s">
        <v>2480</v>
      </c>
      <c r="C7" s="3481"/>
      <c r="D7" s="2507"/>
      <c r="E7" s="2505"/>
      <c r="F7" s="2508"/>
      <c r="G7" s="2508"/>
      <c r="H7" s="2509"/>
      <c r="I7" s="2510">
        <f t="shared" si="0"/>
        <v>0</v>
      </c>
    </row>
    <row r="8" spans="1:9">
      <c r="A8" s="3480"/>
      <c r="B8" s="3481" t="s">
        <v>2481</v>
      </c>
      <c r="C8" s="3481"/>
      <c r="D8" s="2507"/>
      <c r="E8" s="2505"/>
      <c r="F8" s="2508"/>
      <c r="G8" s="2508"/>
      <c r="H8" s="2509"/>
      <c r="I8" s="2510">
        <f t="shared" si="0"/>
        <v>0</v>
      </c>
    </row>
    <row r="9" spans="1:9">
      <c r="A9" s="3480"/>
      <c r="B9" s="3481" t="s">
        <v>2482</v>
      </c>
      <c r="C9" s="3481"/>
      <c r="D9" s="2507"/>
      <c r="E9" s="2505"/>
      <c r="F9" s="2508"/>
      <c r="G9" s="2508"/>
      <c r="H9" s="2509"/>
      <c r="I9" s="2510">
        <f t="shared" si="0"/>
        <v>0</v>
      </c>
    </row>
    <row r="10" spans="1:9">
      <c r="A10" s="3480"/>
      <c r="B10" s="3482" t="s">
        <v>2483</v>
      </c>
      <c r="C10" s="3482"/>
      <c r="D10" s="2511">
        <v>527</v>
      </c>
      <c r="E10" s="2511" t="e">
        <f>ROUND(D1*10000/D10/H9,0)</f>
        <v>#DIV/0!</v>
      </c>
      <c r="F10" s="2512"/>
      <c r="G10" s="2512"/>
      <c r="H10" s="2513"/>
      <c r="I10" s="2514">
        <f>SUM(I3:I9)</f>
        <v>0</v>
      </c>
    </row>
    <row r="11" spans="1:9" ht="14.25">
      <c r="A11" s="3480" t="s">
        <v>2484</v>
      </c>
      <c r="B11" s="3481" t="s">
        <v>2485</v>
      </c>
      <c r="C11" s="3481"/>
      <c r="D11" s="2507" t="s">
        <v>2486</v>
      </c>
      <c r="E11" s="2507" t="s">
        <v>2487</v>
      </c>
      <c r="F11" s="2508" t="s">
        <v>2488</v>
      </c>
      <c r="G11" s="2508" t="s">
        <v>2489</v>
      </c>
      <c r="H11" s="2515" t="s">
        <v>2490</v>
      </c>
      <c r="I11" s="2506" t="s">
        <v>2491</v>
      </c>
    </row>
    <row r="12" spans="1:9">
      <c r="A12" s="3480"/>
      <c r="B12" s="3481" t="s">
        <v>2492</v>
      </c>
      <c r="C12" s="3481"/>
      <c r="D12" s="2507"/>
      <c r="E12" s="2507"/>
      <c r="F12" s="2508"/>
      <c r="G12" s="2509"/>
      <c r="H12" s="2516"/>
      <c r="I12" s="2506">
        <f>ROUND(D12*E12*F12*G12/10000,0)</f>
        <v>0</v>
      </c>
    </row>
    <row r="13" spans="1:9">
      <c r="A13" s="3480"/>
      <c r="B13" s="3481" t="s">
        <v>2493</v>
      </c>
      <c r="C13" s="3481"/>
      <c r="D13" s="2507"/>
      <c r="E13" s="2507"/>
      <c r="F13" s="2508"/>
      <c r="G13" s="2509"/>
      <c r="H13" s="2516"/>
      <c r="I13" s="2506">
        <f>ROUND(D13*E13*F13*G13/10000,0)</f>
        <v>0</v>
      </c>
    </row>
    <row r="14" spans="1:9">
      <c r="A14" s="3480"/>
      <c r="B14" s="3481" t="s">
        <v>2494</v>
      </c>
      <c r="C14" s="3481"/>
      <c r="D14" s="2507"/>
      <c r="E14" s="2507"/>
      <c r="F14" s="2508"/>
      <c r="G14" s="2509"/>
      <c r="H14" s="2516"/>
      <c r="I14" s="2506">
        <f>ROUND(D14*E14*F14*G14/10000,0)</f>
        <v>0</v>
      </c>
    </row>
    <row r="15" spans="1:9">
      <c r="A15" s="3480"/>
      <c r="B15" s="3482" t="s">
        <v>2483</v>
      </c>
      <c r="C15" s="3482"/>
      <c r="D15" s="2511"/>
      <c r="E15" s="2511">
        <f>SUM(E12:E14)</f>
        <v>0</v>
      </c>
      <c r="F15" s="2512"/>
      <c r="G15" s="2509"/>
      <c r="H15" s="2516"/>
      <c r="I15" s="2517">
        <f>SUM(I12:I14)</f>
        <v>0</v>
      </c>
    </row>
    <row r="16" spans="1:9" ht="24">
      <c r="A16" s="3480" t="s">
        <v>2495</v>
      </c>
      <c r="B16" s="3481" t="s">
        <v>2496</v>
      </c>
      <c r="C16" s="3481"/>
      <c r="D16" s="2507" t="s">
        <v>2497</v>
      </c>
      <c r="E16" s="2518" t="s">
        <v>2498</v>
      </c>
      <c r="F16" s="2508" t="s">
        <v>2499</v>
      </c>
      <c r="G16" s="2509" t="s">
        <v>2489</v>
      </c>
      <c r="H16" s="2515" t="s">
        <v>2490</v>
      </c>
      <c r="I16" s="2506" t="s">
        <v>2491</v>
      </c>
    </row>
    <row r="17" spans="1:9" ht="14.25">
      <c r="A17" s="3480"/>
      <c r="B17" s="3481" t="s">
        <v>2500</v>
      </c>
      <c r="C17" s="3481"/>
      <c r="D17" s="2507"/>
      <c r="E17" s="2507"/>
      <c r="F17" s="2508"/>
      <c r="G17" s="2509"/>
      <c r="H17" s="2519"/>
      <c r="I17" s="2520">
        <f>ROUND(D17*E17*F17*G17/10000,0)</f>
        <v>0</v>
      </c>
    </row>
    <row r="18" spans="1:9" ht="14.25">
      <c r="A18" s="3480"/>
      <c r="B18" s="3481" t="s">
        <v>2501</v>
      </c>
      <c r="C18" s="3481"/>
      <c r="D18" s="2507"/>
      <c r="E18" s="2507"/>
      <c r="F18" s="2508"/>
      <c r="G18" s="2509"/>
      <c r="H18" s="2519"/>
      <c r="I18" s="2520">
        <f>ROUND(D18*E18*F18*G18/10000,0)</f>
        <v>0</v>
      </c>
    </row>
    <row r="19" spans="1:9" ht="14.25">
      <c r="A19" s="3480"/>
      <c r="B19" s="3481" t="s">
        <v>2502</v>
      </c>
      <c r="C19" s="3481"/>
      <c r="D19" s="2507"/>
      <c r="E19" s="2507"/>
      <c r="F19" s="2508"/>
      <c r="G19" s="2509"/>
      <c r="H19" s="2519"/>
      <c r="I19" s="2520">
        <f>ROUND(D19*E19*F19*G19/10000,0)</f>
        <v>0</v>
      </c>
    </row>
    <row r="20" spans="1:9">
      <c r="A20" s="3480"/>
      <c r="B20" s="3482" t="s">
        <v>2483</v>
      </c>
      <c r="C20" s="3482"/>
      <c r="D20" s="2511">
        <f>SUM(D17:D19)</f>
        <v>0</v>
      </c>
      <c r="E20" s="2511"/>
      <c r="F20" s="2512"/>
      <c r="G20" s="2509"/>
      <c r="H20" s="2516"/>
      <c r="I20" s="2517">
        <f>SUM(I17:I19)</f>
        <v>0</v>
      </c>
    </row>
    <row r="21" spans="1:9">
      <c r="A21" s="3480" t="s">
        <v>2503</v>
      </c>
      <c r="B21" s="3483"/>
      <c r="C21" s="3483"/>
      <c r="D21" s="3483"/>
      <c r="E21" s="3483"/>
      <c r="F21" s="3483"/>
      <c r="G21" s="3483"/>
      <c r="H21" s="2521">
        <v>0.1</v>
      </c>
      <c r="I21" s="2514">
        <f>ROUND(I10*H21,0)</f>
        <v>0</v>
      </c>
    </row>
    <row r="22" spans="1:9" ht="14.25">
      <c r="A22" s="3484" t="s">
        <v>2504</v>
      </c>
      <c r="B22" s="3485"/>
      <c r="C22" s="3486"/>
      <c r="D22" s="2522" t="s">
        <v>2505</v>
      </c>
      <c r="E22" s="2522" t="s">
        <v>2506</v>
      </c>
      <c r="F22" s="2523" t="s">
        <v>2507</v>
      </c>
      <c r="G22" s="2523" t="s">
        <v>2508</v>
      </c>
      <c r="H22" s="2515" t="s">
        <v>2509</v>
      </c>
      <c r="I22" s="2506" t="s">
        <v>2510</v>
      </c>
    </row>
    <row r="23" spans="1:9" ht="14.25" thickBot="1">
      <c r="A23" s="3487"/>
      <c r="B23" s="3488"/>
      <c r="C23" s="3489"/>
      <c r="D23" s="2524"/>
      <c r="E23" s="2524"/>
      <c r="F23" s="2524"/>
      <c r="G23" s="2525"/>
      <c r="H23" s="2526"/>
      <c r="I23" s="2527">
        <f>ROUND(E23*D23*F23*(1-G23)/10000,0)</f>
        <v>0</v>
      </c>
    </row>
    <row r="26" spans="1:9">
      <c r="A26" s="2528" t="s">
        <v>2511</v>
      </c>
      <c r="B26" s="2528"/>
      <c r="C26" s="2528"/>
      <c r="D26" s="2528"/>
      <c r="E26" s="3477">
        <f>C27-C30-C31-C32</f>
        <v>0</v>
      </c>
      <c r="F26" s="3477"/>
      <c r="G26" s="3477"/>
      <c r="H26" s="3042" t="s">
        <v>2839</v>
      </c>
    </row>
    <row r="27" spans="1:9">
      <c r="A27" s="2529">
        <v>1</v>
      </c>
      <c r="B27" s="2530" t="s">
        <v>2512</v>
      </c>
      <c r="C27" s="2530"/>
      <c r="D27" s="2530"/>
      <c r="E27" s="3478"/>
      <c r="F27" s="3478"/>
      <c r="G27" s="3478"/>
    </row>
    <row r="28" spans="1:9">
      <c r="A28" s="2531" t="s">
        <v>2513</v>
      </c>
      <c r="B28" s="2530" t="s">
        <v>2514</v>
      </c>
      <c r="C28" s="2530"/>
      <c r="D28" s="2530"/>
      <c r="E28" s="3478"/>
      <c r="F28" s="3478"/>
      <c r="G28" s="3478"/>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79"/>
      <c r="F32" s="3479"/>
      <c r="G32" s="3479"/>
    </row>
    <row r="33" spans="1:7" hidden="1">
      <c r="A33" s="3474" t="s">
        <v>2522</v>
      </c>
      <c r="B33" s="3475"/>
      <c r="C33" s="3475"/>
      <c r="D33" s="3476"/>
      <c r="E33" s="3477"/>
      <c r="F33" s="3477"/>
      <c r="G33" s="3477"/>
    </row>
    <row r="34" spans="1:7" hidden="1">
      <c r="A34" s="2533">
        <v>1</v>
      </c>
      <c r="B34" s="2530" t="s">
        <v>2523</v>
      </c>
      <c r="C34" s="2530"/>
      <c r="D34" s="2530"/>
      <c r="E34" s="3478"/>
      <c r="F34" s="3478"/>
      <c r="G34" s="3478"/>
    </row>
    <row r="35" spans="1:7" hidden="1">
      <c r="A35" s="2533">
        <v>2</v>
      </c>
      <c r="B35" s="2530" t="s">
        <v>2524</v>
      </c>
      <c r="C35" s="2530"/>
      <c r="D35" s="2530"/>
      <c r="E35" s="3478"/>
      <c r="F35" s="3478"/>
      <c r="G35" s="3478"/>
    </row>
    <row r="36" spans="1:7" hidden="1">
      <c r="A36" s="2533">
        <v>3</v>
      </c>
      <c r="B36" s="2530" t="s">
        <v>2525</v>
      </c>
      <c r="C36" s="2530"/>
      <c r="D36" s="2530"/>
      <c r="E36" s="3478"/>
      <c r="F36" s="3478"/>
      <c r="G36" s="3478"/>
    </row>
    <row r="37" spans="1:7" hidden="1">
      <c r="A37" s="2533">
        <v>4</v>
      </c>
      <c r="B37" s="2530" t="s">
        <v>2526</v>
      </c>
      <c r="C37" s="2530"/>
      <c r="D37" s="2530"/>
      <c r="E37" s="3478"/>
      <c r="F37" s="3478"/>
      <c r="G37" s="3478"/>
    </row>
    <row r="38" spans="1:7" hidden="1">
      <c r="A38" s="3474" t="s">
        <v>2527</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1146665.0899999999</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8600</v>
      </c>
      <c r="D13" s="758">
        <f>'数据-汇总表'!E6</f>
        <v>1146665.0899999999</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0.12</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0.71699999999999997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518</v>
      </c>
      <c r="B4" s="513"/>
      <c r="C4" s="3383" t="s">
        <v>519</v>
      </c>
      <c r="D4" s="3384"/>
      <c r="E4" s="3432" t="s">
        <v>520</v>
      </c>
      <c r="F4" s="3433"/>
      <c r="G4" s="3383" t="s">
        <v>521</v>
      </c>
      <c r="H4" s="3384"/>
      <c r="I4" s="3383" t="s">
        <v>522</v>
      </c>
      <c r="J4" s="3384"/>
      <c r="K4" s="853"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380" t="s">
        <v>521</v>
      </c>
      <c r="AC4" s="3380" t="s">
        <v>522</v>
      </c>
    </row>
    <row r="5" spans="1:29" ht="15">
      <c r="A5" s="515"/>
      <c r="B5" s="516"/>
      <c r="C5" s="3395" t="s">
        <v>2923</v>
      </c>
      <c r="D5" s="3396"/>
      <c r="E5" s="3434" t="s">
        <v>2924</v>
      </c>
      <c r="F5" s="3435"/>
      <c r="G5" s="3395" t="s">
        <v>2925</v>
      </c>
      <c r="H5" s="3396"/>
      <c r="I5" s="3395" t="s">
        <v>2926</v>
      </c>
      <c r="J5" s="3396"/>
      <c r="K5" s="85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85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4" t="s">
        <v>527</v>
      </c>
      <c r="Q7" s="3405"/>
      <c r="R7" s="1569" t="s">
        <v>13</v>
      </c>
      <c r="S7" s="1570">
        <f t="shared" ref="S7:S15" si="0">F7</f>
        <v>0</v>
      </c>
      <c r="T7" s="1569" t="s">
        <v>13</v>
      </c>
      <c r="U7" s="1570">
        <f t="shared" ref="U7:U15" si="1">H7</f>
        <v>0</v>
      </c>
      <c r="V7" s="1569" t="s">
        <v>13</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4" t="s">
        <v>530</v>
      </c>
      <c r="Q8" s="3406"/>
      <c r="R8" s="1569" t="s">
        <v>13</v>
      </c>
      <c r="S8" s="1570">
        <f t="shared" si="0"/>
        <v>0</v>
      </c>
      <c r="T8" s="1569" t="s">
        <v>13</v>
      </c>
      <c r="U8" s="1570">
        <f t="shared" si="1"/>
        <v>0</v>
      </c>
      <c r="V8" s="1569" t="s">
        <v>13</v>
      </c>
      <c r="W8" s="1570">
        <f t="shared" si="2"/>
        <v>0</v>
      </c>
      <c r="X8" s="1571"/>
      <c r="Y8" s="3404" t="s">
        <v>530</v>
      </c>
      <c r="Z8" s="340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7"/>
      <c r="Q11" s="1151" t="str">
        <f t="shared" si="6"/>
        <v>容积率</v>
      </c>
      <c r="R11" s="1569" t="s">
        <v>11</v>
      </c>
      <c r="S11" s="1570" t="e">
        <f t="shared" si="0"/>
        <v>#N/A</v>
      </c>
      <c r="T11" s="1569" t="s">
        <v>11</v>
      </c>
      <c r="U11" s="1570" t="e">
        <f t="shared" si="1"/>
        <v>#N/A</v>
      </c>
      <c r="V11" s="1569" t="s">
        <v>11</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7"/>
      <c r="Q12" s="1151">
        <f t="shared" si="6"/>
        <v>111</v>
      </c>
      <c r="R12" s="1569" t="s">
        <v>11</v>
      </c>
      <c r="S12" s="1570">
        <f t="shared" si="0"/>
        <v>100</v>
      </c>
      <c r="T12" s="1569" t="s">
        <v>11</v>
      </c>
      <c r="U12" s="1570">
        <f t="shared" si="1"/>
        <v>100</v>
      </c>
      <c r="V12" s="1569" t="s">
        <v>11</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7"/>
      <c r="Q13" s="1151">
        <f t="shared" si="6"/>
        <v>111</v>
      </c>
      <c r="R13" s="1569" t="s">
        <v>11</v>
      </c>
      <c r="S13" s="1570">
        <f t="shared" si="0"/>
        <v>100</v>
      </c>
      <c r="T13" s="1569" t="s">
        <v>11</v>
      </c>
      <c r="U13" s="1570">
        <f t="shared" si="1"/>
        <v>100</v>
      </c>
      <c r="V13" s="1569" t="s">
        <v>11</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7"/>
      <c r="Q14" s="1151">
        <f t="shared" si="6"/>
        <v>111</v>
      </c>
      <c r="R14" s="1569" t="s">
        <v>11</v>
      </c>
      <c r="S14" s="1570">
        <f t="shared" si="0"/>
        <v>100</v>
      </c>
      <c r="T14" s="1569" t="s">
        <v>11</v>
      </c>
      <c r="U14" s="1570">
        <f t="shared" si="1"/>
        <v>100</v>
      </c>
      <c r="V14" s="1569" t="s">
        <v>11</v>
      </c>
      <c r="W14" s="1570">
        <f t="shared" si="2"/>
        <v>100</v>
      </c>
      <c r="X14" s="1571"/>
      <c r="Y14" s="3353"/>
      <c r="Z14" s="1150">
        <f t="shared" si="7"/>
        <v>111</v>
      </c>
      <c r="AA14" s="1572">
        <f t="shared" si="3"/>
        <v>1</v>
      </c>
      <c r="AB14" s="1572">
        <f t="shared" si="4"/>
        <v>1</v>
      </c>
      <c r="AC14" s="1572">
        <f t="shared" si="5"/>
        <v>1</v>
      </c>
    </row>
    <row r="15" spans="1:29" ht="99.75">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08" t="s">
        <v>537</v>
      </c>
      <c r="Q15" s="1573" t="str">
        <f t="shared" si="6"/>
        <v>居住社区成熟度</v>
      </c>
      <c r="R15" s="1574" t="s">
        <v>11</v>
      </c>
      <c r="S15" s="1575">
        <f t="shared" si="0"/>
        <v>100</v>
      </c>
      <c r="T15" s="1574" t="s">
        <v>11</v>
      </c>
      <c r="U15" s="1575">
        <f t="shared" si="1"/>
        <v>100</v>
      </c>
      <c r="V15" s="1574" t="s">
        <v>11</v>
      </c>
      <c r="W15" s="1575">
        <f t="shared" si="2"/>
        <v>100</v>
      </c>
      <c r="X15" s="1568"/>
      <c r="Y15" s="3408"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09"/>
      <c r="Q17" s="1573" t="str">
        <f>B17</f>
        <v>交通便捷度</v>
      </c>
      <c r="R17" s="1574" t="s">
        <v>11</v>
      </c>
      <c r="S17" s="1575">
        <f>F17</f>
        <v>100</v>
      </c>
      <c r="T17" s="1574" t="s">
        <v>11</v>
      </c>
      <c r="U17" s="1575">
        <f>H17</f>
        <v>100</v>
      </c>
      <c r="V17" s="1574" t="s">
        <v>11</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09"/>
      <c r="Q19" s="1573" t="str">
        <f>B19</f>
        <v>公共配套设施</v>
      </c>
      <c r="R19" s="1574" t="s">
        <v>11</v>
      </c>
      <c r="S19" s="1575">
        <f>F19</f>
        <v>100</v>
      </c>
      <c r="T19" s="1574" t="s">
        <v>11</v>
      </c>
      <c r="U19" s="1575">
        <f>H19</f>
        <v>100</v>
      </c>
      <c r="V19" s="1574" t="s">
        <v>11</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09"/>
      <c r="Q21" s="2577" t="str">
        <f>B21</f>
        <v>基础设施水平</v>
      </c>
      <c r="R21" s="1574" t="s">
        <v>11</v>
      </c>
      <c r="S21" s="1575">
        <f>F21</f>
        <v>100</v>
      </c>
      <c r="T21" s="1574" t="s">
        <v>11</v>
      </c>
      <c r="U21" s="1575">
        <f>H21</f>
        <v>100</v>
      </c>
      <c r="V21" s="1574" t="s">
        <v>11</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09"/>
      <c r="Q23" s="1573" t="str">
        <f>B23</f>
        <v>自然及人文环境</v>
      </c>
      <c r="R23" s="1574" t="s">
        <v>11</v>
      </c>
      <c r="S23" s="1575">
        <f>F23</f>
        <v>100</v>
      </c>
      <c r="T23" s="1574" t="s">
        <v>11</v>
      </c>
      <c r="U23" s="1575">
        <f>H23</f>
        <v>100</v>
      </c>
      <c r="V23" s="1574" t="s">
        <v>11</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3" t="str">
        <f t="shared" ref="Q25:Q46" si="11">B25</f>
        <v>楼层-1</v>
      </c>
      <c r="R25" s="1574" t="s">
        <v>11</v>
      </c>
      <c r="S25" s="1575">
        <f>F25</f>
        <v>100</v>
      </c>
      <c r="T25" s="1574" t="s">
        <v>11</v>
      </c>
      <c r="U25" s="1575">
        <f>H25</f>
        <v>100</v>
      </c>
      <c r="V25" s="1574" t="s">
        <v>11</v>
      </c>
      <c r="W25" s="1575">
        <f>J25</f>
        <v>100</v>
      </c>
      <c r="X25" s="1568"/>
      <c r="Y25" s="3409"/>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3" t="str">
        <f t="shared" si="11"/>
        <v>朝向</v>
      </c>
      <c r="R26" s="1574" t="s">
        <v>11</v>
      </c>
      <c r="S26" s="1575">
        <f>F26</f>
        <v>100</v>
      </c>
      <c r="T26" s="1574" t="s">
        <v>11</v>
      </c>
      <c r="U26" s="1575">
        <f>H26</f>
        <v>100</v>
      </c>
      <c r="V26" s="1574" t="s">
        <v>11</v>
      </c>
      <c r="W26" s="1575">
        <f>J26</f>
        <v>100</v>
      </c>
      <c r="X26" s="1568"/>
      <c r="Y26" s="3409"/>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9"/>
      <c r="Q27" s="1151" t="str">
        <f t="shared" si="11"/>
        <v>道路级别</v>
      </c>
      <c r="R27" s="1569" t="s">
        <v>11</v>
      </c>
      <c r="S27" s="1570">
        <f>F27</f>
        <v>100</v>
      </c>
      <c r="T27" s="1569" t="s">
        <v>11</v>
      </c>
      <c r="U27" s="1570">
        <f>H27</f>
        <v>100</v>
      </c>
      <c r="V27" s="1569" t="s">
        <v>11</v>
      </c>
      <c r="W27" s="1570">
        <f>J27</f>
        <v>100</v>
      </c>
      <c r="X27" s="1571"/>
      <c r="Y27" s="340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3">
        <f t="shared" si="11"/>
        <v>111</v>
      </c>
      <c r="R29" s="1574" t="s">
        <v>11</v>
      </c>
      <c r="S29" s="1575">
        <f t="shared" si="12"/>
        <v>100</v>
      </c>
      <c r="T29" s="1574" t="s">
        <v>11</v>
      </c>
      <c r="U29" s="1575">
        <f t="shared" si="13"/>
        <v>100</v>
      </c>
      <c r="V29" s="1574" t="s">
        <v>11</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3">
        <f t="shared" si="11"/>
        <v>111</v>
      </c>
      <c r="R30" s="1574" t="s">
        <v>11</v>
      </c>
      <c r="S30" s="1575">
        <f t="shared" si="12"/>
        <v>100</v>
      </c>
      <c r="T30" s="1574" t="s">
        <v>11</v>
      </c>
      <c r="U30" s="1575">
        <f t="shared" si="13"/>
        <v>100</v>
      </c>
      <c r="V30" s="1574" t="s">
        <v>11</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3">
        <f t="shared" si="11"/>
        <v>111</v>
      </c>
      <c r="R31" s="1574" t="s">
        <v>11</v>
      </c>
      <c r="S31" s="1575">
        <f t="shared" si="12"/>
        <v>100</v>
      </c>
      <c r="T31" s="1574" t="s">
        <v>11</v>
      </c>
      <c r="U31" s="1575">
        <f t="shared" si="13"/>
        <v>100</v>
      </c>
      <c r="V31" s="1574" t="s">
        <v>11</v>
      </c>
      <c r="W31" s="1575">
        <f t="shared" si="14"/>
        <v>100</v>
      </c>
      <c r="X31" s="1568"/>
      <c r="Y31" s="3409"/>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4" t="s">
        <v>547</v>
      </c>
      <c r="Q32" s="1573" t="str">
        <f t="shared" si="11"/>
        <v>建筑类型</v>
      </c>
      <c r="R32" s="1574" t="s">
        <v>11</v>
      </c>
      <c r="S32" s="1575">
        <f t="shared" si="12"/>
        <v>100</v>
      </c>
      <c r="T32" s="1574" t="s">
        <v>11</v>
      </c>
      <c r="U32" s="1575">
        <f t="shared" si="13"/>
        <v>100</v>
      </c>
      <c r="V32" s="1574" t="s">
        <v>11</v>
      </c>
      <c r="W32" s="1575">
        <f t="shared" si="14"/>
        <v>100</v>
      </c>
      <c r="X32" s="1568"/>
      <c r="Y32" s="3415"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5"/>
      <c r="Q33" s="1606" t="str">
        <f t="shared" si="11"/>
        <v>项目建筑规模</v>
      </c>
      <c r="R33" s="1578" t="s">
        <v>11</v>
      </c>
      <c r="S33" s="1579" t="e">
        <f t="shared" si="12"/>
        <v>#N/A</v>
      </c>
      <c r="T33" s="1578" t="s">
        <v>11</v>
      </c>
      <c r="U33" s="1579" t="e">
        <f t="shared" si="13"/>
        <v>#N/A</v>
      </c>
      <c r="V33" s="1578" t="s">
        <v>11</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5"/>
      <c r="Q34" s="1573" t="str">
        <f t="shared" si="11"/>
        <v>建筑结构</v>
      </c>
      <c r="R34" s="1574" t="s">
        <v>11</v>
      </c>
      <c r="S34" s="1575">
        <f t="shared" si="12"/>
        <v>100</v>
      </c>
      <c r="T34" s="1574" t="s">
        <v>11</v>
      </c>
      <c r="U34" s="1575">
        <f t="shared" si="13"/>
        <v>100</v>
      </c>
      <c r="V34" s="1574" t="s">
        <v>11</v>
      </c>
      <c r="W34" s="1575">
        <f t="shared" si="14"/>
        <v>100</v>
      </c>
      <c r="X34" s="1568"/>
      <c r="Y34" s="3415"/>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5"/>
      <c r="Q35" s="1573" t="str">
        <f t="shared" si="11"/>
        <v>建筑品质</v>
      </c>
      <c r="R35" s="1574" t="s">
        <v>11</v>
      </c>
      <c r="S35" s="1575">
        <f t="shared" si="12"/>
        <v>100</v>
      </c>
      <c r="T35" s="1574" t="s">
        <v>11</v>
      </c>
      <c r="U35" s="1575">
        <f t="shared" si="13"/>
        <v>100</v>
      </c>
      <c r="V35" s="1574" t="s">
        <v>11</v>
      </c>
      <c r="W35" s="1575">
        <f t="shared" si="14"/>
        <v>100</v>
      </c>
      <c r="X35" s="1568"/>
      <c r="Y35" s="3415"/>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5"/>
      <c r="Q36" s="1573" t="str">
        <f t="shared" si="11"/>
        <v>公共部分装修</v>
      </c>
      <c r="R36" s="1574" t="s">
        <v>11</v>
      </c>
      <c r="S36" s="1575">
        <f t="shared" si="12"/>
        <v>100</v>
      </c>
      <c r="T36" s="1574" t="s">
        <v>11</v>
      </c>
      <c r="U36" s="1575">
        <f t="shared" si="13"/>
        <v>100</v>
      </c>
      <c r="V36" s="1574" t="s">
        <v>11</v>
      </c>
      <c r="W36" s="1575">
        <f t="shared" si="14"/>
        <v>100</v>
      </c>
      <c r="X36" s="1568"/>
      <c r="Y36" s="3415"/>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5"/>
      <c r="Q37" s="1151" t="str">
        <f t="shared" si="11"/>
        <v>成新度</v>
      </c>
      <c r="R37" s="1569" t="s">
        <v>11</v>
      </c>
      <c r="S37" s="1570" t="e">
        <f t="shared" si="12"/>
        <v>#N/A</v>
      </c>
      <c r="T37" s="1569" t="s">
        <v>11</v>
      </c>
      <c r="U37" s="1570" t="e">
        <f t="shared" si="13"/>
        <v>#N/A</v>
      </c>
      <c r="V37" s="1569" t="s">
        <v>11</v>
      </c>
      <c r="W37" s="1570" t="e">
        <f t="shared" si="14"/>
        <v>#N/A</v>
      </c>
      <c r="X37" s="1571"/>
      <c r="Y37" s="3415"/>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5" t="s">
        <v>547</v>
      </c>
      <c r="Q38" s="1573" t="str">
        <f t="shared" si="11"/>
        <v>物业管理</v>
      </c>
      <c r="R38" s="1574" t="s">
        <v>11</v>
      </c>
      <c r="S38" s="1575">
        <f t="shared" si="12"/>
        <v>100</v>
      </c>
      <c r="T38" s="1574" t="s">
        <v>11</v>
      </c>
      <c r="U38" s="1575">
        <f t="shared" si="13"/>
        <v>100</v>
      </c>
      <c r="V38" s="1574" t="s">
        <v>11</v>
      </c>
      <c r="W38" s="1575">
        <f t="shared" si="14"/>
        <v>100</v>
      </c>
      <c r="X38" s="1568"/>
      <c r="Y38" s="3415"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5"/>
      <c r="Q39" s="1573" t="str">
        <f t="shared" si="11"/>
        <v>市政基础设施</v>
      </c>
      <c r="R39" s="1574" t="s">
        <v>11</v>
      </c>
      <c r="S39" s="1575">
        <f t="shared" si="12"/>
        <v>100</v>
      </c>
      <c r="T39" s="1574" t="s">
        <v>11</v>
      </c>
      <c r="U39" s="1575">
        <f t="shared" si="13"/>
        <v>100</v>
      </c>
      <c r="V39" s="1574" t="s">
        <v>11</v>
      </c>
      <c r="W39" s="1575">
        <f t="shared" si="14"/>
        <v>100</v>
      </c>
      <c r="X39" s="1568"/>
      <c r="Y39" s="3415"/>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5"/>
      <c r="Q40" s="1573" t="str">
        <f t="shared" si="11"/>
        <v>房型</v>
      </c>
      <c r="R40" s="1574" t="s">
        <v>11</v>
      </c>
      <c r="S40" s="1575">
        <f t="shared" si="12"/>
        <v>100</v>
      </c>
      <c r="T40" s="1574" t="s">
        <v>11</v>
      </c>
      <c r="U40" s="1575">
        <f t="shared" si="13"/>
        <v>100</v>
      </c>
      <c r="V40" s="1574" t="s">
        <v>11</v>
      </c>
      <c r="W40" s="1575">
        <f t="shared" si="14"/>
        <v>100</v>
      </c>
      <c r="X40" s="1568"/>
      <c r="Y40" s="3415"/>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5"/>
      <c r="Q41" s="1606" t="str">
        <f t="shared" si="11"/>
        <v>单套/主力户型建筑面积</v>
      </c>
      <c r="R41" s="1578" t="s">
        <v>11</v>
      </c>
      <c r="S41" s="1579">
        <f t="shared" si="12"/>
        <v>100</v>
      </c>
      <c r="T41" s="1578" t="s">
        <v>11</v>
      </c>
      <c r="U41" s="1579">
        <f t="shared" si="13"/>
        <v>100</v>
      </c>
      <c r="V41" s="1578" t="s">
        <v>11</v>
      </c>
      <c r="W41" s="1579">
        <f t="shared" si="14"/>
        <v>100</v>
      </c>
      <c r="X41" s="1580"/>
      <c r="Y41" s="3415"/>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5"/>
      <c r="Q42" s="1573" t="str">
        <f t="shared" si="11"/>
        <v>内部装修</v>
      </c>
      <c r="R42" s="1574" t="s">
        <v>11</v>
      </c>
      <c r="S42" s="1575">
        <f t="shared" si="12"/>
        <v>100</v>
      </c>
      <c r="T42" s="1574" t="s">
        <v>11</v>
      </c>
      <c r="U42" s="1575">
        <f t="shared" si="13"/>
        <v>100</v>
      </c>
      <c r="V42" s="1574" t="s">
        <v>11</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5"/>
      <c r="Q43" s="1573" t="str">
        <f t="shared" si="11"/>
        <v>内部装修维护情况</v>
      </c>
      <c r="R43" s="1574" t="s">
        <v>11</v>
      </c>
      <c r="S43" s="1575">
        <f t="shared" si="12"/>
        <v>100</v>
      </c>
      <c r="T43" s="1574" t="s">
        <v>11</v>
      </c>
      <c r="U43" s="1575">
        <f t="shared" si="13"/>
        <v>100</v>
      </c>
      <c r="V43" s="1574" t="s">
        <v>11</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5"/>
      <c r="Q44" s="1151">
        <f t="shared" si="11"/>
        <v>111</v>
      </c>
      <c r="R44" s="1569" t="s">
        <v>11</v>
      </c>
      <c r="S44" s="1570">
        <f t="shared" si="12"/>
        <v>100</v>
      </c>
      <c r="T44" s="1569" t="s">
        <v>11</v>
      </c>
      <c r="U44" s="1570">
        <f t="shared" si="13"/>
        <v>100</v>
      </c>
      <c r="V44" s="1569" t="s">
        <v>11</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5"/>
      <c r="Q45" s="1573">
        <f t="shared" si="11"/>
        <v>111</v>
      </c>
      <c r="R45" s="1574" t="s">
        <v>11</v>
      </c>
      <c r="S45" s="1575">
        <f t="shared" si="12"/>
        <v>100</v>
      </c>
      <c r="T45" s="1574" t="s">
        <v>11</v>
      </c>
      <c r="U45" s="1575">
        <f t="shared" si="13"/>
        <v>100</v>
      </c>
      <c r="V45" s="1574" t="s">
        <v>11</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9</v>
      </c>
      <c r="D47" s="2626"/>
      <c r="E47" s="2627"/>
      <c r="F47" s="2628"/>
      <c r="G47" s="2629"/>
      <c r="H47" s="2630"/>
      <c r="I47" s="2627"/>
      <c r="J47" s="2630"/>
      <c r="K47" s="1607"/>
      <c r="L47" s="2144"/>
      <c r="M47" s="2145"/>
      <c r="N47" s="2134"/>
      <c r="O47" s="2145"/>
      <c r="P47" s="3407" t="str">
        <f>A47</f>
        <v>成交单价（元/平方米）</v>
      </c>
      <c r="Q47" s="3407"/>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407" t="str">
        <f>A48</f>
        <v>比较价格（元/平方米）</v>
      </c>
      <c r="Q48" s="3407"/>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09"/>
      <c r="L49" s="2144"/>
      <c r="M49" s="2145"/>
      <c r="N49" s="2145"/>
      <c r="O49" s="2145"/>
      <c r="P49" s="3411" t="str">
        <f>A49</f>
        <v>估价对象XX用房的比较价格（楼面单价，元/平方米）</v>
      </c>
      <c r="Q49" s="3412"/>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2"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518</v>
      </c>
      <c r="B4" s="513"/>
      <c r="C4" s="3383" t="s">
        <v>519</v>
      </c>
      <c r="D4" s="3384"/>
      <c r="E4" s="3432" t="s">
        <v>520</v>
      </c>
      <c r="F4" s="3433"/>
      <c r="G4" s="3383" t="s">
        <v>521</v>
      </c>
      <c r="H4" s="3384"/>
      <c r="I4" s="3383" t="s">
        <v>522</v>
      </c>
      <c r="J4" s="3384"/>
      <c r="K4" s="514"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403"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403"/>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403"/>
      <c r="AC6" s="3382"/>
    </row>
    <row r="7" spans="1:29" s="1220" customFormat="1" ht="15.75" thickBot="1">
      <c r="A7" s="2910"/>
      <c r="B7" s="2917" t="s">
        <v>526</v>
      </c>
      <c r="C7" s="519">
        <f>'数据-取费表'!B2</f>
        <v>43578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4"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8" t="s">
        <v>537</v>
      </c>
      <c r="Q15" s="1573" t="str">
        <f t="shared" si="6"/>
        <v>商业繁华度</v>
      </c>
      <c r="R15" s="1574" t="s">
        <v>8</v>
      </c>
      <c r="S15" s="1575">
        <f t="shared" si="0"/>
        <v>100</v>
      </c>
      <c r="T15" s="1574" t="s">
        <v>8</v>
      </c>
      <c r="U15" s="1575">
        <f t="shared" si="1"/>
        <v>100</v>
      </c>
      <c r="V15" s="1574" t="s">
        <v>8</v>
      </c>
      <c r="W15" s="1575">
        <f t="shared" si="2"/>
        <v>100</v>
      </c>
      <c r="X15" s="1568"/>
      <c r="Y15" s="3408"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9"/>
      <c r="Q23" s="1573" t="str">
        <f>B23</f>
        <v>自然及人文环境</v>
      </c>
      <c r="R23" s="1574" t="s">
        <v>8</v>
      </c>
      <c r="S23" s="1575">
        <f>F23</f>
        <v>100</v>
      </c>
      <c r="T23" s="1574" t="s">
        <v>8</v>
      </c>
      <c r="U23" s="1575">
        <f>H23</f>
        <v>100</v>
      </c>
      <c r="V23" s="1574" t="s">
        <v>8</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3" t="str">
        <f t="shared" ref="Q25:Q46" si="11">B25</f>
        <v>临街状况</v>
      </c>
      <c r="R25" s="1574" t="s">
        <v>8</v>
      </c>
      <c r="S25" s="1575">
        <f>F25</f>
        <v>100</v>
      </c>
      <c r="T25" s="1574" t="s">
        <v>8</v>
      </c>
      <c r="U25" s="1575">
        <f>H25</f>
        <v>100</v>
      </c>
      <c r="V25" s="1574" t="s">
        <v>8</v>
      </c>
      <c r="W25" s="1575">
        <f>J25</f>
        <v>100</v>
      </c>
      <c r="X25" s="1568"/>
      <c r="Y25" s="3409"/>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3" t="str">
        <f t="shared" si="11"/>
        <v>平面位置/可视性</v>
      </c>
      <c r="R26" s="1574" t="s">
        <v>8</v>
      </c>
      <c r="S26" s="1575">
        <f>F26</f>
        <v>100</v>
      </c>
      <c r="T26" s="1574" t="s">
        <v>8</v>
      </c>
      <c r="U26" s="1575">
        <f>H26</f>
        <v>100</v>
      </c>
      <c r="V26" s="1574" t="s">
        <v>8</v>
      </c>
      <c r="W26" s="1575">
        <f>J26</f>
        <v>100</v>
      </c>
      <c r="X26" s="1568"/>
      <c r="Y26" s="3409"/>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9"/>
      <c r="Q27" s="1151" t="str">
        <f t="shared" si="11"/>
        <v>人流量</v>
      </c>
      <c r="R27" s="1569" t="s">
        <v>8</v>
      </c>
      <c r="S27" s="1570">
        <f>F27</f>
        <v>100</v>
      </c>
      <c r="T27" s="1569" t="s">
        <v>8</v>
      </c>
      <c r="U27" s="1570">
        <f>H27</f>
        <v>100</v>
      </c>
      <c r="V27" s="1569" t="s">
        <v>8</v>
      </c>
      <c r="W27" s="1570">
        <f>J27</f>
        <v>100</v>
      </c>
      <c r="X27" s="1571"/>
      <c r="Y27" s="3409"/>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3">
        <f t="shared" si="11"/>
        <v>111</v>
      </c>
      <c r="R29" s="1574" t="s">
        <v>8</v>
      </c>
      <c r="S29" s="1575">
        <f t="shared" si="12"/>
        <v>100</v>
      </c>
      <c r="T29" s="1574" t="s">
        <v>8</v>
      </c>
      <c r="U29" s="1575">
        <f t="shared" si="13"/>
        <v>100</v>
      </c>
      <c r="V29" s="1574" t="s">
        <v>8</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4" t="s">
        <v>547</v>
      </c>
      <c r="Q32" s="1573" t="str">
        <f t="shared" si="11"/>
        <v>商业类型</v>
      </c>
      <c r="R32" s="1574" t="s">
        <v>8</v>
      </c>
      <c r="S32" s="1575">
        <f t="shared" si="12"/>
        <v>100</v>
      </c>
      <c r="T32" s="1574" t="s">
        <v>8</v>
      </c>
      <c r="U32" s="1575">
        <f t="shared" si="13"/>
        <v>100</v>
      </c>
      <c r="V32" s="1574" t="s">
        <v>8</v>
      </c>
      <c r="W32" s="1575">
        <f t="shared" si="14"/>
        <v>100</v>
      </c>
      <c r="X32" s="1568"/>
      <c r="Y32" s="3415"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5"/>
      <c r="Q33" s="1606" t="str">
        <f t="shared" si="11"/>
        <v>项目建筑规模</v>
      </c>
      <c r="R33" s="1578" t="s">
        <v>8</v>
      </c>
      <c r="S33" s="1579" t="e">
        <f t="shared" si="12"/>
        <v>#N/A</v>
      </c>
      <c r="T33" s="1578" t="s">
        <v>8</v>
      </c>
      <c r="U33" s="1579" t="e">
        <f t="shared" si="13"/>
        <v>#N/A</v>
      </c>
      <c r="V33" s="1578" t="s">
        <v>8</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5"/>
      <c r="Q34" s="1573" t="str">
        <f t="shared" si="11"/>
        <v>建筑结构</v>
      </c>
      <c r="R34" s="1574" t="s">
        <v>8</v>
      </c>
      <c r="S34" s="1575">
        <f t="shared" si="12"/>
        <v>100</v>
      </c>
      <c r="T34" s="1574" t="s">
        <v>8</v>
      </c>
      <c r="U34" s="1575">
        <f t="shared" si="13"/>
        <v>100</v>
      </c>
      <c r="V34" s="1574" t="s">
        <v>8</v>
      </c>
      <c r="W34" s="1575">
        <f t="shared" si="14"/>
        <v>100</v>
      </c>
      <c r="X34" s="1568"/>
      <c r="Y34" s="3415"/>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5"/>
      <c r="Q35" s="1573" t="str">
        <f t="shared" si="11"/>
        <v>公共部分装修</v>
      </c>
      <c r="R35" s="1574" t="s">
        <v>8</v>
      </c>
      <c r="S35" s="1575">
        <f t="shared" si="12"/>
        <v>100</v>
      </c>
      <c r="T35" s="1574" t="s">
        <v>8</v>
      </c>
      <c r="U35" s="1575">
        <f t="shared" si="13"/>
        <v>100</v>
      </c>
      <c r="V35" s="1574" t="s">
        <v>8</v>
      </c>
      <c r="W35" s="1575">
        <f t="shared" si="14"/>
        <v>100</v>
      </c>
      <c r="X35" s="1568"/>
      <c r="Y35" s="3415"/>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5"/>
      <c r="Q36" s="1573" t="str">
        <f t="shared" si="11"/>
        <v>成新度</v>
      </c>
      <c r="R36" s="1574" t="s">
        <v>8</v>
      </c>
      <c r="S36" s="1575" t="e">
        <f t="shared" si="12"/>
        <v>#N/A</v>
      </c>
      <c r="T36" s="1574" t="s">
        <v>8</v>
      </c>
      <c r="U36" s="1575" t="e">
        <f t="shared" si="13"/>
        <v>#N/A</v>
      </c>
      <c r="V36" s="1574" t="s">
        <v>8</v>
      </c>
      <c r="W36" s="1575" t="e">
        <f t="shared" si="14"/>
        <v>#N/A</v>
      </c>
      <c r="X36" s="1568"/>
      <c r="Y36" s="3415"/>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5"/>
      <c r="Q37" s="1151" t="str">
        <f t="shared" si="11"/>
        <v>市政基础设施</v>
      </c>
      <c r="R37" s="1569" t="s">
        <v>8</v>
      </c>
      <c r="S37" s="1570">
        <f t="shared" si="12"/>
        <v>100</v>
      </c>
      <c r="T37" s="1569" t="s">
        <v>8</v>
      </c>
      <c r="U37" s="1570">
        <f t="shared" si="13"/>
        <v>100</v>
      </c>
      <c r="V37" s="1569" t="s">
        <v>8</v>
      </c>
      <c r="W37" s="1570">
        <f t="shared" si="14"/>
        <v>100</v>
      </c>
      <c r="X37" s="1571"/>
      <c r="Y37" s="3415"/>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5" t="s">
        <v>763</v>
      </c>
      <c r="Q38" s="1573" t="str">
        <f t="shared" si="11"/>
        <v>业态</v>
      </c>
      <c r="R38" s="1574" t="s">
        <v>8</v>
      </c>
      <c r="S38" s="1575">
        <f t="shared" si="12"/>
        <v>100</v>
      </c>
      <c r="T38" s="1574" t="s">
        <v>8</v>
      </c>
      <c r="U38" s="1575">
        <f t="shared" si="13"/>
        <v>100</v>
      </c>
      <c r="V38" s="1574" t="s">
        <v>8</v>
      </c>
      <c r="W38" s="1575">
        <f t="shared" si="14"/>
        <v>100</v>
      </c>
      <c r="X38" s="1568"/>
      <c r="Y38" s="3415"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c r="Q39" s="1573" t="str">
        <f t="shared" si="11"/>
        <v>层高</v>
      </c>
      <c r="R39" s="1574" t="s">
        <v>8</v>
      </c>
      <c r="S39" s="1575">
        <f t="shared" si="12"/>
        <v>100</v>
      </c>
      <c r="T39" s="1574" t="s">
        <v>8</v>
      </c>
      <c r="U39" s="1575">
        <f t="shared" si="13"/>
        <v>100</v>
      </c>
      <c r="V39" s="1574" t="s">
        <v>8</v>
      </c>
      <c r="W39" s="1575">
        <f t="shared" si="14"/>
        <v>100</v>
      </c>
      <c r="X39" s="1568"/>
      <c r="Y39" s="3415"/>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5"/>
      <c r="Q40" s="1573" t="str">
        <f t="shared" si="11"/>
        <v>单套建筑面积</v>
      </c>
      <c r="R40" s="1574" t="s">
        <v>8</v>
      </c>
      <c r="S40" s="1575">
        <f t="shared" si="12"/>
        <v>100</v>
      </c>
      <c r="T40" s="1574" t="s">
        <v>8</v>
      </c>
      <c r="U40" s="1575">
        <f t="shared" si="13"/>
        <v>100</v>
      </c>
      <c r="V40" s="1574" t="s">
        <v>8</v>
      </c>
      <c r="W40" s="1575">
        <f t="shared" si="14"/>
        <v>100</v>
      </c>
      <c r="X40" s="1568"/>
      <c r="Y40" s="3415"/>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5"/>
      <c r="Q41" s="1606" t="str">
        <f t="shared" si="11"/>
        <v>进深比</v>
      </c>
      <c r="R41" s="1578" t="s">
        <v>8</v>
      </c>
      <c r="S41" s="1579">
        <f t="shared" si="12"/>
        <v>100</v>
      </c>
      <c r="T41" s="1578" t="s">
        <v>8</v>
      </c>
      <c r="U41" s="1579">
        <f t="shared" si="13"/>
        <v>100</v>
      </c>
      <c r="V41" s="1578" t="s">
        <v>8</v>
      </c>
      <c r="W41" s="1579">
        <f t="shared" si="14"/>
        <v>100</v>
      </c>
      <c r="X41" s="1580"/>
      <c r="Y41" s="3415"/>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5"/>
      <c r="Q42" s="1573" t="str">
        <f t="shared" si="11"/>
        <v>内部装修</v>
      </c>
      <c r="R42" s="1574" t="s">
        <v>8</v>
      </c>
      <c r="S42" s="1575">
        <f t="shared" si="12"/>
        <v>100</v>
      </c>
      <c r="T42" s="1574" t="s">
        <v>8</v>
      </c>
      <c r="U42" s="1575">
        <f t="shared" si="13"/>
        <v>100</v>
      </c>
      <c r="V42" s="1574" t="s">
        <v>8</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5"/>
      <c r="Q43" s="1573" t="str">
        <f t="shared" si="11"/>
        <v>内部装修维护情况</v>
      </c>
      <c r="R43" s="1574" t="s">
        <v>8</v>
      </c>
      <c r="S43" s="1575">
        <f t="shared" si="12"/>
        <v>100</v>
      </c>
      <c r="T43" s="1574" t="s">
        <v>8</v>
      </c>
      <c r="U43" s="1575">
        <f t="shared" si="13"/>
        <v>100</v>
      </c>
      <c r="V43" s="1574" t="s">
        <v>8</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5"/>
      <c r="Q44" s="1151">
        <f t="shared" si="11"/>
        <v>111</v>
      </c>
      <c r="R44" s="1569" t="s">
        <v>8</v>
      </c>
      <c r="S44" s="1570">
        <f t="shared" si="12"/>
        <v>100</v>
      </c>
      <c r="T44" s="1569" t="s">
        <v>8</v>
      </c>
      <c r="U44" s="1570">
        <f t="shared" si="13"/>
        <v>100</v>
      </c>
      <c r="V44" s="1569" t="s">
        <v>8</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5"/>
      <c r="Q45" s="1573">
        <f t="shared" si="11"/>
        <v>111</v>
      </c>
      <c r="R45" s="1574" t="s">
        <v>8</v>
      </c>
      <c r="S45" s="1575">
        <f t="shared" si="12"/>
        <v>100</v>
      </c>
      <c r="T45" s="1574" t="s">
        <v>8</v>
      </c>
      <c r="U45" s="1575">
        <f t="shared" si="13"/>
        <v>100</v>
      </c>
      <c r="V45" s="1574" t="s">
        <v>8</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1</v>
      </c>
      <c r="D47" s="2626"/>
      <c r="E47" s="2627"/>
      <c r="F47" s="2628"/>
      <c r="G47" s="2629"/>
      <c r="H47" s="2630"/>
      <c r="I47" s="2627"/>
      <c r="J47" s="2630"/>
      <c r="K47" s="1612"/>
      <c r="L47" s="2144"/>
      <c r="M47" s="2145"/>
      <c r="N47" s="2134"/>
      <c r="O47" s="2145"/>
      <c r="P47" s="3407" t="str">
        <f>A47</f>
        <v>成交单价（元/平方米）</v>
      </c>
      <c r="Q47" s="3407"/>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407" t="str">
        <f>A48</f>
        <v>比较价格（元/平方米）</v>
      </c>
      <c r="Q48" s="3407"/>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14"/>
      <c r="L49" s="2144"/>
      <c r="M49" s="2145"/>
      <c r="N49" s="2134"/>
      <c r="O49" s="2145"/>
      <c r="P49" s="3411" t="str">
        <f>A49</f>
        <v>估价对象XX用房的比较价格（楼面单价，元/平方米）</v>
      </c>
      <c r="Q49" s="3412"/>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0"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518</v>
      </c>
      <c r="B4" s="513"/>
      <c r="C4" s="3383" t="s">
        <v>519</v>
      </c>
      <c r="D4" s="3384"/>
      <c r="E4" s="3432" t="s">
        <v>520</v>
      </c>
      <c r="F4" s="3433"/>
      <c r="G4" s="3383" t="s">
        <v>521</v>
      </c>
      <c r="H4" s="3384"/>
      <c r="I4" s="3383" t="s">
        <v>522</v>
      </c>
      <c r="J4" s="3384"/>
      <c r="K4" s="514" t="s">
        <v>523</v>
      </c>
      <c r="L4" s="2133"/>
      <c r="M4" s="2134"/>
      <c r="N4" s="2134"/>
      <c r="O4" s="2134"/>
      <c r="P4" s="3498" t="s">
        <v>524</v>
      </c>
      <c r="Q4" s="3386"/>
      <c r="R4" s="3391" t="s">
        <v>520</v>
      </c>
      <c r="S4" s="3392"/>
      <c r="T4" s="3391" t="s">
        <v>521</v>
      </c>
      <c r="U4" s="3392"/>
      <c r="V4" s="3403" t="s">
        <v>522</v>
      </c>
      <c r="W4" s="3403"/>
      <c r="X4" s="1568"/>
      <c r="Y4" s="3391" t="s">
        <v>524</v>
      </c>
      <c r="Z4" s="3392"/>
      <c r="AA4" s="3380" t="s">
        <v>520</v>
      </c>
      <c r="AB4" s="3380"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499"/>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500"/>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5"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5" t="s">
        <v>530</v>
      </c>
      <c r="Q8" s="3406"/>
      <c r="R8" s="1569" t="s">
        <v>8</v>
      </c>
      <c r="S8" s="1570">
        <f t="shared" si="0"/>
        <v>0</v>
      </c>
      <c r="T8" s="1569" t="s">
        <v>8</v>
      </c>
      <c r="U8" s="1570">
        <f t="shared" si="1"/>
        <v>0</v>
      </c>
      <c r="V8" s="1569" t="s">
        <v>8</v>
      </c>
      <c r="W8" s="1570">
        <f t="shared" si="2"/>
        <v>0</v>
      </c>
      <c r="X8" s="1571"/>
      <c r="Y8" s="3404" t="s">
        <v>530</v>
      </c>
      <c r="Z8" s="3406"/>
      <c r="AA8" s="1572" t="e">
        <f t="shared" ref="AA8:AA47" si="3">D8/F8</f>
        <v>#DIV/0!</v>
      </c>
      <c r="AB8" s="1572" t="e">
        <f t="shared" ref="AB8:AB47" si="4">D8/H8</f>
        <v>#DIV/0!</v>
      </c>
      <c r="AC8" s="1572" t="e">
        <f t="shared" ref="AC8:AC47" si="5">D8/J8</f>
        <v>#DIV/0!</v>
      </c>
    </row>
    <row r="9" spans="1:29" s="1220" customFormat="1" ht="15">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8" t="s">
        <v>537</v>
      </c>
      <c r="Q15" s="1573" t="str">
        <f t="shared" si="6"/>
        <v>办公集聚程度</v>
      </c>
      <c r="R15" s="1574" t="s">
        <v>8</v>
      </c>
      <c r="S15" s="1575">
        <f t="shared" si="0"/>
        <v>100</v>
      </c>
      <c r="T15" s="1574" t="s">
        <v>8</v>
      </c>
      <c r="U15" s="1575">
        <f t="shared" si="1"/>
        <v>100</v>
      </c>
      <c r="V15" s="1574" t="s">
        <v>8</v>
      </c>
      <c r="W15" s="1575">
        <f t="shared" si="2"/>
        <v>100</v>
      </c>
      <c r="X15" s="1568"/>
      <c r="Y15" s="3408"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9"/>
      <c r="Q16" s="1573"/>
      <c r="R16" s="1574"/>
      <c r="S16" s="1575"/>
      <c r="T16" s="1574"/>
      <c r="U16" s="1575"/>
      <c r="V16" s="1574"/>
      <c r="W16" s="1575"/>
      <c r="X16" s="1568"/>
      <c r="Y16" s="340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9"/>
      <c r="Q18" s="1573"/>
      <c r="R18" s="1574"/>
      <c r="S18" s="1575"/>
      <c r="T18" s="1574"/>
      <c r="U18" s="1575"/>
      <c r="V18" s="1574"/>
      <c r="W18" s="1575"/>
      <c r="X18" s="1568"/>
      <c r="Y18" s="3409"/>
      <c r="Z18" s="1576"/>
      <c r="AA18" s="1577">
        <v>1</v>
      </c>
      <c r="AB18" s="1577">
        <v>1</v>
      </c>
      <c r="AC18" s="1577">
        <v>1</v>
      </c>
    </row>
    <row r="19" spans="1:29" ht="42.75">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9"/>
      <c r="Q20" s="1573"/>
      <c r="R20" s="1574"/>
      <c r="S20" s="1575"/>
      <c r="T20" s="1574"/>
      <c r="U20" s="1575"/>
      <c r="V20" s="1574"/>
      <c r="W20" s="1575"/>
      <c r="X20" s="1568"/>
      <c r="Y20" s="3409"/>
      <c r="Z20" s="1576"/>
      <c r="AA20" s="1577">
        <v>1</v>
      </c>
      <c r="AB20" s="1577">
        <v>1</v>
      </c>
      <c r="AC20" s="1577">
        <v>1</v>
      </c>
    </row>
    <row r="21" spans="1:29" ht="28.5">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409"/>
      <c r="Q22" s="2577"/>
      <c r="R22" s="1574"/>
      <c r="S22" s="1575"/>
      <c r="T22" s="1574"/>
      <c r="U22" s="1575"/>
      <c r="V22" s="1574"/>
      <c r="W22" s="1575"/>
      <c r="X22" s="2579"/>
      <c r="Y22" s="3409"/>
      <c r="Z22" s="2578"/>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9"/>
      <c r="Q24" s="1573"/>
      <c r="R24" s="1574"/>
      <c r="S24" s="1575"/>
      <c r="T24" s="1574"/>
      <c r="U24" s="1575"/>
      <c r="V24" s="1574"/>
      <c r="W24" s="1575"/>
      <c r="X24" s="1568"/>
      <c r="Y24" s="3409"/>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9"/>
      <c r="Q25" s="1573" t="str">
        <f>B25</f>
        <v>毗邻道路的类型与等级</v>
      </c>
      <c r="R25" s="1574" t="s">
        <v>8</v>
      </c>
      <c r="S25" s="1575">
        <f>F25</f>
        <v>100</v>
      </c>
      <c r="T25" s="1574" t="s">
        <v>8</v>
      </c>
      <c r="U25" s="1575">
        <f>H25</f>
        <v>100</v>
      </c>
      <c r="V25" s="1574" t="s">
        <v>8</v>
      </c>
      <c r="W25" s="1575">
        <f>J25</f>
        <v>100</v>
      </c>
      <c r="X25" s="1568"/>
      <c r="Y25" s="340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9"/>
      <c r="Q26" s="1573"/>
      <c r="R26" s="1574"/>
      <c r="S26" s="1575"/>
      <c r="T26" s="1574"/>
      <c r="U26" s="1575"/>
      <c r="V26" s="1574"/>
      <c r="W26" s="1575"/>
      <c r="X26" s="1568"/>
      <c r="Y26" s="3409"/>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3" t="str">
        <f t="shared" ref="Q27:Q47" si="11">B27</f>
        <v>楼层</v>
      </c>
      <c r="R27" s="1574" t="s">
        <v>8</v>
      </c>
      <c r="S27" s="1575">
        <f>F27</f>
        <v>100</v>
      </c>
      <c r="T27" s="1574" t="s">
        <v>8</v>
      </c>
      <c r="U27" s="1575">
        <f>H27</f>
        <v>100</v>
      </c>
      <c r="V27" s="1574" t="s">
        <v>8</v>
      </c>
      <c r="W27" s="1575">
        <f>J27</f>
        <v>100</v>
      </c>
      <c r="X27" s="1568"/>
      <c r="Y27" s="3409"/>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9"/>
      <c r="Q28" s="1151" t="str">
        <f t="shared" si="11"/>
        <v>朝向</v>
      </c>
      <c r="R28" s="1569" t="s">
        <v>8</v>
      </c>
      <c r="S28" s="1570">
        <f>F28</f>
        <v>100</v>
      </c>
      <c r="T28" s="1569" t="s">
        <v>8</v>
      </c>
      <c r="U28" s="1570">
        <f>H28</f>
        <v>100</v>
      </c>
      <c r="V28" s="1569" t="s">
        <v>8</v>
      </c>
      <c r="W28" s="1570">
        <f>J28</f>
        <v>100</v>
      </c>
      <c r="X28" s="1571"/>
      <c r="Y28" s="340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9"/>
      <c r="Q29" s="1573">
        <f t="shared" si="11"/>
        <v>111</v>
      </c>
      <c r="R29" s="1574" t="s">
        <v>8</v>
      </c>
      <c r="S29" s="1575">
        <f t="shared" ref="S29:S47" si="12">F29</f>
        <v>100</v>
      </c>
      <c r="T29" s="1574" t="s">
        <v>8</v>
      </c>
      <c r="U29" s="1575">
        <f t="shared" ref="U29:U47" si="13">H29</f>
        <v>100</v>
      </c>
      <c r="V29" s="1574" t="s">
        <v>8</v>
      </c>
      <c r="W29" s="1575">
        <f t="shared" ref="W29:W47" si="14">J29</f>
        <v>100</v>
      </c>
      <c r="X29" s="1568"/>
      <c r="Y29" s="340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9"/>
      <c r="Q32" s="1573">
        <f t="shared" si="11"/>
        <v>111</v>
      </c>
      <c r="R32" s="1574" t="s">
        <v>8</v>
      </c>
      <c r="S32" s="1575">
        <f t="shared" si="12"/>
        <v>100</v>
      </c>
      <c r="T32" s="1574" t="s">
        <v>8</v>
      </c>
      <c r="U32" s="1575">
        <f t="shared" si="13"/>
        <v>100</v>
      </c>
      <c r="V32" s="1574" t="s">
        <v>8</v>
      </c>
      <c r="W32" s="1575">
        <f t="shared" si="14"/>
        <v>100</v>
      </c>
      <c r="X32" s="1568"/>
      <c r="Y32" s="3409"/>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4" t="s">
        <v>547</v>
      </c>
      <c r="Q33" s="1573" t="str">
        <f t="shared" si="11"/>
        <v>建筑类型</v>
      </c>
      <c r="R33" s="1574" t="s">
        <v>8</v>
      </c>
      <c r="S33" s="1575">
        <f t="shared" si="12"/>
        <v>100</v>
      </c>
      <c r="T33" s="1574" t="s">
        <v>8</v>
      </c>
      <c r="U33" s="1575">
        <f t="shared" si="13"/>
        <v>100</v>
      </c>
      <c r="V33" s="1574" t="s">
        <v>8</v>
      </c>
      <c r="W33" s="1575">
        <f t="shared" si="14"/>
        <v>100</v>
      </c>
      <c r="X33" s="1568"/>
      <c r="Y33" s="3415"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5"/>
      <c r="Q34" s="1606" t="str">
        <f t="shared" si="11"/>
        <v>项目建筑规模</v>
      </c>
      <c r="R34" s="1578" t="s">
        <v>8</v>
      </c>
      <c r="S34" s="1579" t="e">
        <f t="shared" si="12"/>
        <v>#N/A</v>
      </c>
      <c r="T34" s="1578" t="s">
        <v>8</v>
      </c>
      <c r="U34" s="1579" t="e">
        <f t="shared" si="13"/>
        <v>#N/A</v>
      </c>
      <c r="V34" s="1578" t="s">
        <v>8</v>
      </c>
      <c r="W34" s="1579" t="e">
        <f t="shared" si="14"/>
        <v>#N/A</v>
      </c>
      <c r="X34" s="1580"/>
      <c r="Y34" s="3415"/>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5"/>
      <c r="Q35" s="1573" t="str">
        <f t="shared" si="11"/>
        <v>建筑结构</v>
      </c>
      <c r="R35" s="1574" t="s">
        <v>8</v>
      </c>
      <c r="S35" s="1575">
        <f t="shared" si="12"/>
        <v>100</v>
      </c>
      <c r="T35" s="1574" t="s">
        <v>8</v>
      </c>
      <c r="U35" s="1575">
        <f t="shared" si="13"/>
        <v>100</v>
      </c>
      <c r="V35" s="1574" t="s">
        <v>8</v>
      </c>
      <c r="W35" s="1575">
        <f t="shared" si="14"/>
        <v>100</v>
      </c>
      <c r="X35" s="1568"/>
      <c r="Y35" s="3415"/>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5"/>
      <c r="Q36" s="1573" t="str">
        <f t="shared" si="11"/>
        <v>公共部分装修</v>
      </c>
      <c r="R36" s="1574" t="s">
        <v>8</v>
      </c>
      <c r="S36" s="1575">
        <f t="shared" si="12"/>
        <v>100</v>
      </c>
      <c r="T36" s="1574" t="s">
        <v>8</v>
      </c>
      <c r="U36" s="1575">
        <f t="shared" si="13"/>
        <v>100</v>
      </c>
      <c r="V36" s="1574" t="s">
        <v>8</v>
      </c>
      <c r="W36" s="1575">
        <f t="shared" si="14"/>
        <v>100</v>
      </c>
      <c r="X36" s="1568"/>
      <c r="Y36" s="3415"/>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5"/>
      <c r="Q37" s="1573" t="str">
        <f t="shared" si="11"/>
        <v>成新度</v>
      </c>
      <c r="R37" s="1574" t="s">
        <v>8</v>
      </c>
      <c r="S37" s="1575" t="e">
        <f t="shared" si="12"/>
        <v>#N/A</v>
      </c>
      <c r="T37" s="1574" t="s">
        <v>8</v>
      </c>
      <c r="U37" s="1575" t="e">
        <f t="shared" si="13"/>
        <v>#N/A</v>
      </c>
      <c r="V37" s="1574" t="s">
        <v>8</v>
      </c>
      <c r="W37" s="1575" t="e">
        <f t="shared" si="14"/>
        <v>#N/A</v>
      </c>
      <c r="X37" s="1568"/>
      <c r="Y37" s="3415"/>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5"/>
      <c r="Q38" s="1151" t="str">
        <f t="shared" si="11"/>
        <v>写字楼等级</v>
      </c>
      <c r="R38" s="1569" t="s">
        <v>8</v>
      </c>
      <c r="S38" s="1570">
        <f t="shared" si="12"/>
        <v>100</v>
      </c>
      <c r="T38" s="1569" t="s">
        <v>8</v>
      </c>
      <c r="U38" s="1570">
        <f t="shared" si="13"/>
        <v>100</v>
      </c>
      <c r="V38" s="1569" t="s">
        <v>8</v>
      </c>
      <c r="W38" s="1570">
        <f t="shared" si="14"/>
        <v>100</v>
      </c>
      <c r="X38" s="1571"/>
      <c r="Y38" s="3415"/>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5" t="s">
        <v>547</v>
      </c>
      <c r="Q39" s="1573" t="str">
        <f t="shared" si="11"/>
        <v>物业管理</v>
      </c>
      <c r="R39" s="1574" t="s">
        <v>8</v>
      </c>
      <c r="S39" s="1575">
        <f t="shared" si="12"/>
        <v>100</v>
      </c>
      <c r="T39" s="1574" t="s">
        <v>8</v>
      </c>
      <c r="U39" s="1575">
        <f t="shared" si="13"/>
        <v>100</v>
      </c>
      <c r="V39" s="1574" t="s">
        <v>8</v>
      </c>
      <c r="W39" s="1575">
        <f t="shared" si="14"/>
        <v>100</v>
      </c>
      <c r="X39" s="1568"/>
      <c r="Y39" s="3415"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5"/>
      <c r="Q40" s="1573" t="str">
        <f t="shared" si="11"/>
        <v>市政基础设施</v>
      </c>
      <c r="R40" s="1574" t="s">
        <v>8</v>
      </c>
      <c r="S40" s="1575">
        <f t="shared" si="12"/>
        <v>100</v>
      </c>
      <c r="T40" s="1574" t="s">
        <v>8</v>
      </c>
      <c r="U40" s="1575">
        <f t="shared" si="13"/>
        <v>100</v>
      </c>
      <c r="V40" s="1574" t="s">
        <v>8</v>
      </c>
      <c r="W40" s="1575">
        <f t="shared" si="14"/>
        <v>100</v>
      </c>
      <c r="X40" s="1568"/>
      <c r="Y40" s="3415"/>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5"/>
      <c r="Q41" s="1573" t="str">
        <f t="shared" si="11"/>
        <v>层高</v>
      </c>
      <c r="R41" s="1574" t="s">
        <v>8</v>
      </c>
      <c r="S41" s="1575">
        <f t="shared" si="12"/>
        <v>100</v>
      </c>
      <c r="T41" s="1574" t="s">
        <v>8</v>
      </c>
      <c r="U41" s="1575">
        <f t="shared" si="13"/>
        <v>100</v>
      </c>
      <c r="V41" s="1574" t="s">
        <v>8</v>
      </c>
      <c r="W41" s="1575">
        <f t="shared" si="14"/>
        <v>100</v>
      </c>
      <c r="X41" s="1568"/>
      <c r="Y41" s="3415"/>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5"/>
      <c r="Q42" s="1606" t="str">
        <f t="shared" si="11"/>
        <v>单套建筑面积</v>
      </c>
      <c r="R42" s="1578" t="s">
        <v>8</v>
      </c>
      <c r="S42" s="1579">
        <f t="shared" si="12"/>
        <v>100</v>
      </c>
      <c r="T42" s="1578" t="s">
        <v>8</v>
      </c>
      <c r="U42" s="1579">
        <f t="shared" si="13"/>
        <v>100</v>
      </c>
      <c r="V42" s="1578" t="s">
        <v>8</v>
      </c>
      <c r="W42" s="1579">
        <f t="shared" si="14"/>
        <v>100</v>
      </c>
      <c r="X42" s="1580"/>
      <c r="Y42" s="3415"/>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5"/>
      <c r="Q43" s="1573" t="str">
        <f t="shared" si="11"/>
        <v>内部装修</v>
      </c>
      <c r="R43" s="1574" t="s">
        <v>8</v>
      </c>
      <c r="S43" s="1575">
        <f t="shared" si="12"/>
        <v>100</v>
      </c>
      <c r="T43" s="1574" t="s">
        <v>8</v>
      </c>
      <c r="U43" s="1575">
        <f t="shared" si="13"/>
        <v>100</v>
      </c>
      <c r="V43" s="1574" t="s">
        <v>8</v>
      </c>
      <c r="W43" s="1575">
        <f t="shared" si="14"/>
        <v>100</v>
      </c>
      <c r="X43" s="1568"/>
      <c r="Y43" s="3415"/>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5"/>
      <c r="Q44" s="1573" t="str">
        <f t="shared" si="11"/>
        <v>内部装修维护情况</v>
      </c>
      <c r="R44" s="1574" t="s">
        <v>8</v>
      </c>
      <c r="S44" s="1575">
        <f t="shared" si="12"/>
        <v>100</v>
      </c>
      <c r="T44" s="1574" t="s">
        <v>8</v>
      </c>
      <c r="U44" s="1575">
        <f t="shared" si="13"/>
        <v>100</v>
      </c>
      <c r="V44" s="1574" t="s">
        <v>8</v>
      </c>
      <c r="W44" s="1575">
        <f t="shared" si="14"/>
        <v>100</v>
      </c>
      <c r="X44" s="1568"/>
      <c r="Y44" s="341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5"/>
      <c r="Q45" s="1151">
        <f t="shared" si="11"/>
        <v>111</v>
      </c>
      <c r="R45" s="1569" t="s">
        <v>8</v>
      </c>
      <c r="S45" s="1570">
        <f t="shared" si="12"/>
        <v>100</v>
      </c>
      <c r="T45" s="1569" t="s">
        <v>8</v>
      </c>
      <c r="U45" s="1570">
        <f t="shared" si="13"/>
        <v>100</v>
      </c>
      <c r="V45" s="1569" t="s">
        <v>8</v>
      </c>
      <c r="W45" s="1570">
        <f t="shared" si="14"/>
        <v>100</v>
      </c>
      <c r="X45" s="1571"/>
      <c r="Y45" s="341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5"/>
      <c r="Q46" s="1573">
        <f t="shared" si="11"/>
        <v>111</v>
      </c>
      <c r="R46" s="1574" t="s">
        <v>8</v>
      </c>
      <c r="S46" s="1575">
        <f t="shared" si="12"/>
        <v>100</v>
      </c>
      <c r="T46" s="1574" t="s">
        <v>8</v>
      </c>
      <c r="U46" s="1575">
        <f t="shared" si="13"/>
        <v>100</v>
      </c>
      <c r="V46" s="1574" t="s">
        <v>8</v>
      </c>
      <c r="W46" s="1575">
        <f t="shared" si="14"/>
        <v>100</v>
      </c>
      <c r="X46" s="1568"/>
      <c r="Y46" s="341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733</v>
      </c>
      <c r="B48" s="887"/>
      <c r="C48" s="2625" t="s">
        <v>1</v>
      </c>
      <c r="D48" s="2626"/>
      <c r="E48" s="2627"/>
      <c r="F48" s="2628"/>
      <c r="G48" s="2629"/>
      <c r="H48" s="2630"/>
      <c r="I48" s="2627"/>
      <c r="J48" s="2630"/>
      <c r="K48" s="1612"/>
      <c r="L48" s="2144"/>
      <c r="M48" s="2134"/>
      <c r="N48" s="2134"/>
      <c r="O48" s="2134"/>
      <c r="P48" s="3412" t="str">
        <f>A48</f>
        <v>成交单价（元/平方米）</v>
      </c>
      <c r="Q48" s="3407"/>
      <c r="R48" s="3496">
        <f>E48</f>
        <v>0</v>
      </c>
      <c r="S48" s="3496"/>
      <c r="T48" s="3496">
        <f>G48</f>
        <v>0</v>
      </c>
      <c r="U48" s="3496"/>
      <c r="V48" s="3496">
        <f>I48</f>
        <v>0</v>
      </c>
      <c r="W48" s="3496"/>
      <c r="X48" s="1560"/>
      <c r="Y48" s="1582"/>
      <c r="Z48" s="1560"/>
      <c r="AA48" s="1560"/>
      <c r="AB48" s="1560"/>
      <c r="AC48" s="1560"/>
    </row>
    <row r="49" spans="1:29" ht="15.7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412" t="str">
        <f>A49</f>
        <v>比较价格（元/平方米）</v>
      </c>
      <c r="Q49" s="3407"/>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2929</v>
      </c>
      <c r="B50" s="622"/>
      <c r="C50" s="2634" t="e">
        <f>R50</f>
        <v>#DIV/0!</v>
      </c>
      <c r="D50" s="2634"/>
      <c r="E50" s="2634"/>
      <c r="F50" s="2634"/>
      <c r="G50" s="2634"/>
      <c r="H50" s="2634"/>
      <c r="I50" s="2634"/>
      <c r="J50" s="2634"/>
      <c r="K50" s="1614"/>
      <c r="L50" s="2144"/>
      <c r="M50" s="2134"/>
      <c r="N50" s="2134"/>
      <c r="O50" s="2134"/>
      <c r="P50" s="3501" t="str">
        <f>A50</f>
        <v>估价对象XX用房的比较价格（楼面单价，元/平方米）</v>
      </c>
      <c r="Q50" s="3412"/>
      <c r="R50" s="3495" t="e">
        <f>IF(F1="售价",ROUND(AVERAGE(R49:V49),0),ROUND(AVERAGE(R49:V49),1))</f>
        <v>#DIV/0!</v>
      </c>
      <c r="S50" s="3495"/>
      <c r="T50" s="3495"/>
      <c r="U50" s="3495"/>
      <c r="V50" s="3495"/>
      <c r="W50" s="349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526</v>
      </c>
      <c r="B59" s="646"/>
      <c r="C59" s="2800" t="str">
        <f>YEAR(C7)&amp;"-"&amp;MONTH(C7)</f>
        <v>2019-4</v>
      </c>
      <c r="D59" s="2802">
        <f>EDATE(C59,-1)</f>
        <v>43525</v>
      </c>
      <c r="E59" s="2802">
        <f t="shared" ref="E59:O59" si="16">EDATE(D59,-1)</f>
        <v>43497</v>
      </c>
      <c r="F59" s="2802">
        <f t="shared" si="16"/>
        <v>43466</v>
      </c>
      <c r="G59" s="2802">
        <f t="shared" si="16"/>
        <v>43435</v>
      </c>
      <c r="H59" s="2802">
        <f t="shared" si="16"/>
        <v>43405</v>
      </c>
      <c r="I59" s="2802">
        <f t="shared" si="16"/>
        <v>43374</v>
      </c>
      <c r="J59" s="2802">
        <f t="shared" si="16"/>
        <v>43344</v>
      </c>
      <c r="K59" s="2802">
        <f t="shared" si="16"/>
        <v>43313</v>
      </c>
      <c r="L59" s="2802">
        <f t="shared" si="16"/>
        <v>43282</v>
      </c>
      <c r="M59" s="2802">
        <f t="shared" si="16"/>
        <v>43252</v>
      </c>
      <c r="N59" s="2802">
        <f t="shared" si="16"/>
        <v>43221</v>
      </c>
      <c r="O59" s="2802">
        <f t="shared" si="16"/>
        <v>43191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518</v>
      </c>
      <c r="B4" s="513"/>
      <c r="C4" s="3383" t="s">
        <v>519</v>
      </c>
      <c r="D4" s="3384"/>
      <c r="E4" s="3432" t="s">
        <v>520</v>
      </c>
      <c r="F4" s="3433"/>
      <c r="G4" s="3383" t="s">
        <v>521</v>
      </c>
      <c r="H4" s="3384"/>
      <c r="I4" s="3383" t="s">
        <v>522</v>
      </c>
      <c r="J4" s="3384"/>
      <c r="K4" s="514"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381"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4"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40" si="3">D8/F8</f>
        <v>#DIV/0!</v>
      </c>
      <c r="AB8" s="1572" t="e">
        <f t="shared" ref="AB8:AB40" si="4">D8/H8</f>
        <v>#DIV/0!</v>
      </c>
      <c r="AC8" s="1572" t="e">
        <f t="shared" ref="AC8:AC40" si="5">D8/J8</f>
        <v>#DIV/0!</v>
      </c>
    </row>
    <row r="9" spans="1:29" s="1220" customFormat="1" ht="15">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57">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8" t="s">
        <v>537</v>
      </c>
      <c r="Q15" s="1573" t="str">
        <f t="shared" si="6"/>
        <v>产业集聚程度</v>
      </c>
      <c r="R15" s="1574" t="s">
        <v>8</v>
      </c>
      <c r="S15" s="1575">
        <f t="shared" si="0"/>
        <v>100</v>
      </c>
      <c r="T15" s="1574" t="s">
        <v>8</v>
      </c>
      <c r="U15" s="1575">
        <f t="shared" si="1"/>
        <v>100</v>
      </c>
      <c r="V15" s="1574" t="s">
        <v>8</v>
      </c>
      <c r="W15" s="1575">
        <f t="shared" si="2"/>
        <v>100</v>
      </c>
      <c r="X15" s="1568"/>
      <c r="Y15" s="3408"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3">
        <f>B25</f>
        <v>111</v>
      </c>
      <c r="R25" s="1574" t="s">
        <v>8</v>
      </c>
      <c r="S25" s="1575">
        <f>F25</f>
        <v>100</v>
      </c>
      <c r="T25" s="1574" t="s">
        <v>8</v>
      </c>
      <c r="U25" s="1575">
        <f>H25</f>
        <v>100</v>
      </c>
      <c r="V25" s="1574" t="s">
        <v>8</v>
      </c>
      <c r="W25" s="1575">
        <f>J25</f>
        <v>100</v>
      </c>
      <c r="X25" s="1568"/>
      <c r="Y25" s="340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3">
        <f t="shared" ref="Q26:Q40" si="11">B26</f>
        <v>111</v>
      </c>
      <c r="R26" s="1574" t="s">
        <v>8</v>
      </c>
      <c r="S26" s="1575">
        <f>F26</f>
        <v>100</v>
      </c>
      <c r="T26" s="1574" t="s">
        <v>8</v>
      </c>
      <c r="U26" s="1575">
        <f>H26</f>
        <v>100</v>
      </c>
      <c r="V26" s="1574" t="s">
        <v>8</v>
      </c>
      <c r="W26" s="1575">
        <f>J26</f>
        <v>100</v>
      </c>
      <c r="X26" s="1568"/>
      <c r="Y26" s="340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1">
        <f t="shared" si="11"/>
        <v>111</v>
      </c>
      <c r="R27" s="1569" t="s">
        <v>8</v>
      </c>
      <c r="S27" s="1570">
        <f>F27</f>
        <v>100</v>
      </c>
      <c r="T27" s="1569" t="s">
        <v>8</v>
      </c>
      <c r="U27" s="1570">
        <f>H27</f>
        <v>100</v>
      </c>
      <c r="V27" s="1569" t="s">
        <v>8</v>
      </c>
      <c r="W27" s="1570">
        <f>J27</f>
        <v>100</v>
      </c>
      <c r="X27" s="1571"/>
      <c r="Y27" s="340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9"/>
      <c r="Q28" s="1573">
        <f t="shared" si="11"/>
        <v>111</v>
      </c>
      <c r="R28" s="1574" t="s">
        <v>8</v>
      </c>
      <c r="S28" s="1575">
        <f t="shared" ref="S28:S40" si="12">F28</f>
        <v>100</v>
      </c>
      <c r="T28" s="1574" t="s">
        <v>8</v>
      </c>
      <c r="U28" s="1575">
        <f t="shared" ref="U28:U40" si="13">H28</f>
        <v>100</v>
      </c>
      <c r="V28" s="1574" t="s">
        <v>8</v>
      </c>
      <c r="W28" s="1575">
        <f t="shared" ref="W28:W40" si="14">J28</f>
        <v>100</v>
      </c>
      <c r="X28" s="1568"/>
      <c r="Y28" s="3409"/>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4" t="s">
        <v>547</v>
      </c>
      <c r="Q29" s="1573" t="str">
        <f t="shared" si="11"/>
        <v>建筑类型</v>
      </c>
      <c r="R29" s="1574" t="s">
        <v>8</v>
      </c>
      <c r="S29" s="1575">
        <f t="shared" si="12"/>
        <v>100</v>
      </c>
      <c r="T29" s="1574" t="s">
        <v>8</v>
      </c>
      <c r="U29" s="1575">
        <f t="shared" si="13"/>
        <v>100</v>
      </c>
      <c r="V29" s="1574" t="s">
        <v>8</v>
      </c>
      <c r="W29" s="1575">
        <f t="shared" si="14"/>
        <v>100</v>
      </c>
      <c r="X29" s="1568"/>
      <c r="Y29" s="3415"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5"/>
      <c r="Q30" s="1606" t="str">
        <f t="shared" si="11"/>
        <v>项目建筑规模</v>
      </c>
      <c r="R30" s="1578" t="s">
        <v>8</v>
      </c>
      <c r="S30" s="1579" t="e">
        <f t="shared" si="12"/>
        <v>#N/A</v>
      </c>
      <c r="T30" s="1578" t="s">
        <v>8</v>
      </c>
      <c r="U30" s="1579" t="e">
        <f t="shared" si="13"/>
        <v>#N/A</v>
      </c>
      <c r="V30" s="1578" t="s">
        <v>8</v>
      </c>
      <c r="W30" s="1579" t="e">
        <f t="shared" si="14"/>
        <v>#N/A</v>
      </c>
      <c r="X30" s="1580"/>
      <c r="Y30" s="3415"/>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5"/>
      <c r="Q31" s="1573" t="str">
        <f t="shared" si="11"/>
        <v>建筑结构</v>
      </c>
      <c r="R31" s="1574" t="s">
        <v>8</v>
      </c>
      <c r="S31" s="1575">
        <f t="shared" si="12"/>
        <v>100</v>
      </c>
      <c r="T31" s="1574" t="s">
        <v>8</v>
      </c>
      <c r="U31" s="1575">
        <f t="shared" si="13"/>
        <v>100</v>
      </c>
      <c r="V31" s="1574" t="s">
        <v>8</v>
      </c>
      <c r="W31" s="1575">
        <f t="shared" si="14"/>
        <v>100</v>
      </c>
      <c r="X31" s="1568"/>
      <c r="Y31" s="3415"/>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5"/>
      <c r="Q32" s="1573" t="str">
        <f t="shared" si="11"/>
        <v>公共部分装修</v>
      </c>
      <c r="R32" s="1574" t="s">
        <v>8</v>
      </c>
      <c r="S32" s="1575">
        <f t="shared" si="12"/>
        <v>100</v>
      </c>
      <c r="T32" s="1574" t="s">
        <v>8</v>
      </c>
      <c r="U32" s="1575">
        <f t="shared" si="13"/>
        <v>100</v>
      </c>
      <c r="V32" s="1574" t="s">
        <v>8</v>
      </c>
      <c r="W32" s="1575">
        <f t="shared" si="14"/>
        <v>100</v>
      </c>
      <c r="X32" s="1568"/>
      <c r="Y32" s="3415"/>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5"/>
      <c r="Q33" s="1573" t="str">
        <f t="shared" si="11"/>
        <v>成新度</v>
      </c>
      <c r="R33" s="1574" t="s">
        <v>8</v>
      </c>
      <c r="S33" s="1575" t="e">
        <f t="shared" si="12"/>
        <v>#N/A</v>
      </c>
      <c r="T33" s="1574" t="s">
        <v>8</v>
      </c>
      <c r="U33" s="1575" t="e">
        <f t="shared" si="13"/>
        <v>#N/A</v>
      </c>
      <c r="V33" s="1574" t="s">
        <v>8</v>
      </c>
      <c r="W33" s="1575" t="e">
        <f t="shared" si="14"/>
        <v>#N/A</v>
      </c>
      <c r="X33" s="1568"/>
      <c r="Y33" s="3415"/>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5"/>
      <c r="Q34" s="1151" t="str">
        <f t="shared" si="11"/>
        <v>物业管理</v>
      </c>
      <c r="R34" s="1569" t="s">
        <v>8</v>
      </c>
      <c r="S34" s="1570">
        <f t="shared" si="12"/>
        <v>100</v>
      </c>
      <c r="T34" s="1569" t="s">
        <v>8</v>
      </c>
      <c r="U34" s="1570">
        <f t="shared" si="13"/>
        <v>100</v>
      </c>
      <c r="V34" s="1569" t="s">
        <v>8</v>
      </c>
      <c r="W34" s="1570">
        <f t="shared" si="14"/>
        <v>100</v>
      </c>
      <c r="X34" s="1571"/>
      <c r="Y34" s="3415"/>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5" t="s">
        <v>547</v>
      </c>
      <c r="Q35" s="1573" t="str">
        <f t="shared" si="11"/>
        <v>市政基础设施</v>
      </c>
      <c r="R35" s="1574" t="s">
        <v>8</v>
      </c>
      <c r="S35" s="1575">
        <f t="shared" si="12"/>
        <v>100</v>
      </c>
      <c r="T35" s="1574" t="s">
        <v>8</v>
      </c>
      <c r="U35" s="1575">
        <f t="shared" si="13"/>
        <v>100</v>
      </c>
      <c r="V35" s="1574" t="s">
        <v>8</v>
      </c>
      <c r="W35" s="1575">
        <f t="shared" si="14"/>
        <v>100</v>
      </c>
      <c r="X35" s="1568"/>
      <c r="Y35" s="3415"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5"/>
      <c r="Q36" s="1573" t="str">
        <f t="shared" si="11"/>
        <v>内部装修</v>
      </c>
      <c r="R36" s="1574" t="s">
        <v>8</v>
      </c>
      <c r="S36" s="1575">
        <f t="shared" si="12"/>
        <v>100</v>
      </c>
      <c r="T36" s="1574" t="s">
        <v>8</v>
      </c>
      <c r="U36" s="1575">
        <f t="shared" si="13"/>
        <v>100</v>
      </c>
      <c r="V36" s="1574" t="s">
        <v>8</v>
      </c>
      <c r="W36" s="1575">
        <f t="shared" si="14"/>
        <v>100</v>
      </c>
      <c r="X36" s="1568"/>
      <c r="Y36" s="3415"/>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5"/>
      <c r="Q37" s="1573" t="str">
        <f t="shared" si="11"/>
        <v>内部装修状况</v>
      </c>
      <c r="R37" s="1574" t="s">
        <v>8</v>
      </c>
      <c r="S37" s="1575">
        <f t="shared" si="12"/>
        <v>100</v>
      </c>
      <c r="T37" s="1574" t="s">
        <v>8</v>
      </c>
      <c r="U37" s="1575">
        <f t="shared" si="13"/>
        <v>100</v>
      </c>
      <c r="V37" s="1574" t="s">
        <v>8</v>
      </c>
      <c r="W37" s="1575">
        <f t="shared" si="14"/>
        <v>100</v>
      </c>
      <c r="X37" s="1568"/>
      <c r="Y37" s="34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5"/>
      <c r="Q38" s="1606">
        <f t="shared" si="11"/>
        <v>111</v>
      </c>
      <c r="R38" s="1578" t="s">
        <v>8</v>
      </c>
      <c r="S38" s="1579">
        <f t="shared" si="12"/>
        <v>100</v>
      </c>
      <c r="T38" s="1578" t="s">
        <v>8</v>
      </c>
      <c r="U38" s="1579">
        <f t="shared" si="13"/>
        <v>100</v>
      </c>
      <c r="V38" s="1578" t="s">
        <v>8</v>
      </c>
      <c r="W38" s="1579">
        <f t="shared" si="14"/>
        <v>100</v>
      </c>
      <c r="X38" s="1580"/>
      <c r="Y38" s="34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5"/>
      <c r="Q39" s="1573">
        <f t="shared" si="11"/>
        <v>111</v>
      </c>
      <c r="R39" s="1574" t="s">
        <v>8</v>
      </c>
      <c r="S39" s="1575">
        <f t="shared" si="12"/>
        <v>100</v>
      </c>
      <c r="T39" s="1574" t="s">
        <v>8</v>
      </c>
      <c r="U39" s="1575">
        <f t="shared" si="13"/>
        <v>100</v>
      </c>
      <c r="V39" s="1574" t="s">
        <v>8</v>
      </c>
      <c r="W39" s="1575">
        <f t="shared" si="14"/>
        <v>100</v>
      </c>
      <c r="X39" s="1568"/>
      <c r="Y39" s="34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733</v>
      </c>
      <c r="B41" s="887"/>
      <c r="C41" s="2625" t="s">
        <v>1</v>
      </c>
      <c r="D41" s="2626"/>
      <c r="E41" s="2627"/>
      <c r="F41" s="2628"/>
      <c r="G41" s="2629"/>
      <c r="H41" s="2630"/>
      <c r="I41" s="2627"/>
      <c r="J41" s="2630"/>
      <c r="K41" s="1612"/>
      <c r="L41" s="2144"/>
      <c r="M41" s="2145"/>
      <c r="N41" s="2134"/>
      <c r="O41" s="2145"/>
      <c r="P41" s="3407" t="str">
        <f>A41</f>
        <v>成交单价（元/平方米）</v>
      </c>
      <c r="Q41" s="3407"/>
      <c r="R41" s="3496">
        <f>E41</f>
        <v>0</v>
      </c>
      <c r="S41" s="3496"/>
      <c r="T41" s="3496">
        <f>G41</f>
        <v>0</v>
      </c>
      <c r="U41" s="3496"/>
      <c r="V41" s="3496">
        <f>I41</f>
        <v>0</v>
      </c>
      <c r="W41" s="3496"/>
      <c r="X41" s="1560"/>
      <c r="Y41" s="1582"/>
      <c r="Z41" s="1560"/>
      <c r="AA41" s="1560"/>
      <c r="AB41" s="1560"/>
      <c r="AC41" s="1560"/>
    </row>
    <row r="42" spans="1:29" ht="15.7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407" t="str">
        <f>A42</f>
        <v>比较价格（元/平方米）</v>
      </c>
      <c r="Q42" s="3407"/>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2929</v>
      </c>
      <c r="B43" s="622"/>
      <c r="C43" s="2634" t="e">
        <f>R43</f>
        <v>#DIV/0!</v>
      </c>
      <c r="D43" s="2634"/>
      <c r="E43" s="2634"/>
      <c r="F43" s="2634"/>
      <c r="G43" s="2634"/>
      <c r="H43" s="2634"/>
      <c r="I43" s="2634"/>
      <c r="J43" s="2634"/>
      <c r="K43" s="1614"/>
      <c r="L43" s="2144"/>
      <c r="M43" s="2145"/>
      <c r="N43" s="2145"/>
      <c r="O43" s="2145"/>
      <c r="P43" s="3411" t="str">
        <f>A43</f>
        <v>估价对象XX用房的比较价格（楼面单价，元/平方米）</v>
      </c>
      <c r="Q43" s="3412"/>
      <c r="R43" s="3495" t="e">
        <f>IF(F1="售价",ROUND(AVERAGE(R42:V42),0),ROUND(AVERAGE(R42:V42),1))</f>
        <v>#DIV/0!</v>
      </c>
      <c r="S43" s="3495"/>
      <c r="T43" s="3495"/>
      <c r="U43" s="3495"/>
      <c r="V43" s="3495"/>
      <c r="W43" s="349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526</v>
      </c>
      <c r="B52" s="646"/>
      <c r="C52" s="2800" t="str">
        <f>YEAR(C7)&amp;"-"&amp;MONTH(C7)</f>
        <v>2019-4</v>
      </c>
      <c r="D52" s="2802">
        <f>EDATE(C52,-1)</f>
        <v>43525</v>
      </c>
      <c r="E52" s="2802">
        <f t="shared" ref="E52:O52" si="16">EDATE(D52,-1)</f>
        <v>43497</v>
      </c>
      <c r="F52" s="2802">
        <f t="shared" si="16"/>
        <v>43466</v>
      </c>
      <c r="G52" s="2802">
        <f t="shared" si="16"/>
        <v>43435</v>
      </c>
      <c r="H52" s="2802">
        <f t="shared" si="16"/>
        <v>43405</v>
      </c>
      <c r="I52" s="2802">
        <f t="shared" si="16"/>
        <v>43374</v>
      </c>
      <c r="J52" s="2802">
        <f t="shared" si="16"/>
        <v>43344</v>
      </c>
      <c r="K52" s="2802">
        <f t="shared" si="16"/>
        <v>43313</v>
      </c>
      <c r="L52" s="2802">
        <f t="shared" si="16"/>
        <v>43282</v>
      </c>
      <c r="M52" s="2802">
        <f t="shared" si="16"/>
        <v>43252</v>
      </c>
      <c r="N52" s="2802">
        <f t="shared" si="16"/>
        <v>43221</v>
      </c>
      <c r="O52" s="2802">
        <f t="shared" si="16"/>
        <v>43191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3" t="s">
        <v>795</v>
      </c>
      <c r="D4" s="3384"/>
      <c r="E4" s="3383" t="s">
        <v>796</v>
      </c>
      <c r="F4" s="3384"/>
      <c r="G4" s="3383" t="s">
        <v>797</v>
      </c>
      <c r="H4" s="3384"/>
      <c r="I4" s="3383" t="s">
        <v>798</v>
      </c>
      <c r="J4" s="3384"/>
      <c r="K4" s="514" t="s">
        <v>799</v>
      </c>
      <c r="L4" s="2133"/>
      <c r="M4" s="2134"/>
      <c r="N4" s="2134"/>
      <c r="O4" s="2134"/>
      <c r="P4" s="3385" t="s">
        <v>800</v>
      </c>
      <c r="Q4" s="3386"/>
      <c r="R4" s="3391" t="s">
        <v>796</v>
      </c>
      <c r="S4" s="3392"/>
      <c r="T4" s="3391" t="s">
        <v>797</v>
      </c>
      <c r="U4" s="3392"/>
      <c r="V4" s="3403" t="s">
        <v>798</v>
      </c>
      <c r="W4" s="3403"/>
      <c r="X4" s="1568"/>
      <c r="Y4" s="3391" t="s">
        <v>800</v>
      </c>
      <c r="Z4" s="3392"/>
      <c r="AA4" s="3380" t="s">
        <v>796</v>
      </c>
      <c r="AB4" s="3381" t="s">
        <v>797</v>
      </c>
      <c r="AC4" s="3380" t="s">
        <v>798</v>
      </c>
    </row>
    <row r="5" spans="1:29" ht="15">
      <c r="A5" s="515"/>
      <c r="B5" s="516"/>
      <c r="C5" s="3395" t="s">
        <v>2923</v>
      </c>
      <c r="D5" s="3396"/>
      <c r="E5" s="3395" t="s">
        <v>2924</v>
      </c>
      <c r="F5" s="3396"/>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397" t="s">
        <v>2927</v>
      </c>
      <c r="F6" s="3398"/>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4" t="s">
        <v>527</v>
      </c>
      <c r="Q7" s="3405"/>
      <c r="R7" s="1569" t="s">
        <v>8</v>
      </c>
      <c r="S7" s="1570">
        <f t="shared" ref="S7:S14" si="0">F7</f>
        <v>0</v>
      </c>
      <c r="T7" s="1569" t="s">
        <v>8</v>
      </c>
      <c r="U7" s="1570">
        <f t="shared" ref="U7:U14" si="1">H7</f>
        <v>0</v>
      </c>
      <c r="V7" s="1569" t="s">
        <v>8</v>
      </c>
      <c r="W7" s="1570">
        <f t="shared" ref="W7:W14"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36" si="3">D8/F8</f>
        <v>#DIV/0!</v>
      </c>
      <c r="AB8" s="1572" t="e">
        <f t="shared" ref="AB8:AB36" si="4">D8/H8</f>
        <v>#DIV/0!</v>
      </c>
      <c r="AC8" s="1572" t="e">
        <f t="shared" ref="AC8:AC36" si="5">D8/J8</f>
        <v>#DIV/0!</v>
      </c>
    </row>
    <row r="9" spans="1:29" s="1220" customFormat="1" ht="15">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7" t="s">
        <v>532</v>
      </c>
      <c r="Q9" s="1151" t="str">
        <f t="shared" ref="Q9:Q14" si="6">B9</f>
        <v>用途</v>
      </c>
      <c r="R9" s="1569" t="s">
        <v>8</v>
      </c>
      <c r="S9" s="1570">
        <f t="shared" si="0"/>
        <v>100</v>
      </c>
      <c r="T9" s="1569" t="s">
        <v>8</v>
      </c>
      <c r="U9" s="1570">
        <f t="shared" si="1"/>
        <v>100</v>
      </c>
      <c r="V9" s="1569" t="s">
        <v>8</v>
      </c>
      <c r="W9" s="1570">
        <f t="shared" si="2"/>
        <v>100</v>
      </c>
      <c r="X9" s="1571"/>
      <c r="Y9" s="3353"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8" t="s">
        <v>537</v>
      </c>
      <c r="Q14" s="1573" t="str">
        <f t="shared" si="6"/>
        <v>交通便捷度</v>
      </c>
      <c r="R14" s="1574" t="s">
        <v>8</v>
      </c>
      <c r="S14" s="1575">
        <f t="shared" si="0"/>
        <v>100</v>
      </c>
      <c r="T14" s="1574" t="s">
        <v>8</v>
      </c>
      <c r="U14" s="1575">
        <f t="shared" si="1"/>
        <v>100</v>
      </c>
      <c r="V14" s="1574" t="s">
        <v>8</v>
      </c>
      <c r="W14" s="1575">
        <f t="shared" si="2"/>
        <v>100</v>
      </c>
      <c r="X14" s="1568"/>
      <c r="Y14" s="3408"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3">
        <f t="shared" ref="Q24:Q36"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4"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5"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5"/>
      <c r="Q27" s="1606" t="str">
        <f t="shared" si="11"/>
        <v>项目停车位配比</v>
      </c>
      <c r="R27" s="1578" t="s">
        <v>8</v>
      </c>
      <c r="S27" s="1579">
        <f t="shared" si="12"/>
        <v>100</v>
      </c>
      <c r="T27" s="1578" t="s">
        <v>8</v>
      </c>
      <c r="U27" s="1579">
        <f t="shared" si="13"/>
        <v>100</v>
      </c>
      <c r="V27" s="1578" t="s">
        <v>8</v>
      </c>
      <c r="W27" s="1579">
        <f t="shared" si="14"/>
        <v>100</v>
      </c>
      <c r="X27" s="1580"/>
      <c r="Y27" s="3415"/>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5"/>
      <c r="Q28" s="1573" t="str">
        <f t="shared" si="11"/>
        <v>公共部分装修</v>
      </c>
      <c r="R28" s="1574" t="s">
        <v>8</v>
      </c>
      <c r="S28" s="1575">
        <f t="shared" si="12"/>
        <v>100</v>
      </c>
      <c r="T28" s="1574" t="s">
        <v>8</v>
      </c>
      <c r="U28" s="1575">
        <f t="shared" si="13"/>
        <v>100</v>
      </c>
      <c r="V28" s="1574" t="s">
        <v>8</v>
      </c>
      <c r="W28" s="1575">
        <f t="shared" si="14"/>
        <v>100</v>
      </c>
      <c r="X28" s="1568"/>
      <c r="Y28" s="3415"/>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5"/>
      <c r="Q29" s="1573" t="str">
        <f t="shared" si="11"/>
        <v>成新率</v>
      </c>
      <c r="R29" s="1574" t="s">
        <v>8</v>
      </c>
      <c r="S29" s="1575" t="e">
        <f t="shared" si="12"/>
        <v>#N/A</v>
      </c>
      <c r="T29" s="1574" t="s">
        <v>8</v>
      </c>
      <c r="U29" s="1575" t="e">
        <f t="shared" si="13"/>
        <v>#N/A</v>
      </c>
      <c r="V29" s="1574" t="s">
        <v>8</v>
      </c>
      <c r="W29" s="1575" t="e">
        <f t="shared" si="14"/>
        <v>#N/A</v>
      </c>
      <c r="X29" s="1568"/>
      <c r="Y29" s="3415"/>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5"/>
      <c r="Q30" s="1573" t="str">
        <f t="shared" si="11"/>
        <v>物业等级</v>
      </c>
      <c r="R30" s="1574" t="s">
        <v>8</v>
      </c>
      <c r="S30" s="1575">
        <f t="shared" si="12"/>
        <v>100</v>
      </c>
      <c r="T30" s="1574" t="s">
        <v>8</v>
      </c>
      <c r="U30" s="1575">
        <f t="shared" si="13"/>
        <v>100</v>
      </c>
      <c r="V30" s="1574" t="s">
        <v>8</v>
      </c>
      <c r="W30" s="1575">
        <f t="shared" si="14"/>
        <v>100</v>
      </c>
      <c r="X30" s="1568"/>
      <c r="Y30" s="3415"/>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5"/>
      <c r="Q31" s="1151" t="str">
        <f t="shared" si="11"/>
        <v>停车位面积</v>
      </c>
      <c r="R31" s="1569" t="s">
        <v>8</v>
      </c>
      <c r="S31" s="1570" t="e">
        <f t="shared" si="12"/>
        <v>#N/A</v>
      </c>
      <c r="T31" s="1569" t="s">
        <v>8</v>
      </c>
      <c r="U31" s="1570" t="e">
        <f t="shared" si="13"/>
        <v>#N/A</v>
      </c>
      <c r="V31" s="1569" t="s">
        <v>8</v>
      </c>
      <c r="W31" s="1570" t="e">
        <f t="shared" si="14"/>
        <v>#N/A</v>
      </c>
      <c r="X31" s="1571"/>
      <c r="Y31" s="3415"/>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5" t="s">
        <v>547</v>
      </c>
      <c r="Q32" s="1573" t="str">
        <f t="shared" si="11"/>
        <v>车位类型</v>
      </c>
      <c r="R32" s="1574" t="s">
        <v>8</v>
      </c>
      <c r="S32" s="1575">
        <f t="shared" si="12"/>
        <v>100</v>
      </c>
      <c r="T32" s="1574" t="s">
        <v>8</v>
      </c>
      <c r="U32" s="1575">
        <f t="shared" si="13"/>
        <v>100</v>
      </c>
      <c r="V32" s="1574" t="s">
        <v>8</v>
      </c>
      <c r="W32" s="1575">
        <f t="shared" si="14"/>
        <v>100</v>
      </c>
      <c r="X32" s="1568"/>
      <c r="Y32" s="3415"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5"/>
      <c r="Q33" s="1573" t="str">
        <f t="shared" si="11"/>
        <v>是否直接入户</v>
      </c>
      <c r="R33" s="1574" t="s">
        <v>8</v>
      </c>
      <c r="S33" s="1575">
        <f t="shared" si="12"/>
        <v>100</v>
      </c>
      <c r="T33" s="1574" t="s">
        <v>8</v>
      </c>
      <c r="U33" s="1575">
        <f t="shared" si="13"/>
        <v>100</v>
      </c>
      <c r="V33" s="1574" t="s">
        <v>8</v>
      </c>
      <c r="W33" s="1575">
        <f t="shared" si="14"/>
        <v>100</v>
      </c>
      <c r="X33" s="1568"/>
      <c r="Y33" s="34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5"/>
      <c r="Q35" s="1606">
        <f t="shared" si="11"/>
        <v>111</v>
      </c>
      <c r="R35" s="1578" t="s">
        <v>8</v>
      </c>
      <c r="S35" s="1579">
        <f t="shared" si="12"/>
        <v>100</v>
      </c>
      <c r="T35" s="1578" t="s">
        <v>8</v>
      </c>
      <c r="U35" s="1579">
        <f t="shared" si="13"/>
        <v>100</v>
      </c>
      <c r="V35" s="1578" t="s">
        <v>8</v>
      </c>
      <c r="W35" s="1579">
        <f t="shared" si="14"/>
        <v>100</v>
      </c>
      <c r="X35" s="1580"/>
      <c r="Y35" s="34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5"/>
      <c r="Q36" s="1573">
        <f t="shared" si="11"/>
        <v>111</v>
      </c>
      <c r="R36" s="1574" t="s">
        <v>8</v>
      </c>
      <c r="S36" s="1575">
        <f t="shared" si="12"/>
        <v>100</v>
      </c>
      <c r="T36" s="1574" t="s">
        <v>8</v>
      </c>
      <c r="U36" s="1575">
        <f t="shared" si="13"/>
        <v>100</v>
      </c>
      <c r="V36" s="1574" t="s">
        <v>8</v>
      </c>
      <c r="W36" s="1575">
        <f t="shared" si="14"/>
        <v>100</v>
      </c>
      <c r="X36" s="1568"/>
      <c r="Y36" s="3415"/>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4"/>
      <c r="M37" s="2145"/>
      <c r="N37" s="2134"/>
      <c r="O37" s="2145"/>
      <c r="P37" s="3407" t="str">
        <f>A37</f>
        <v>成交单价</v>
      </c>
      <c r="Q37" s="3407"/>
      <c r="R37" s="3496">
        <f>E37</f>
        <v>0</v>
      </c>
      <c r="S37" s="3496"/>
      <c r="T37" s="3496">
        <f>G37</f>
        <v>0</v>
      </c>
      <c r="U37" s="3496"/>
      <c r="V37" s="3496">
        <f>I37</f>
        <v>0</v>
      </c>
      <c r="W37" s="3496"/>
      <c r="X37" s="1560"/>
      <c r="Y37" s="1582"/>
      <c r="Z37" s="1560"/>
      <c r="AA37" s="1560"/>
      <c r="AB37" s="1560"/>
      <c r="AC37" s="1560"/>
    </row>
    <row r="38" spans="1:29" ht="15.7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407" t="str">
        <f>A38</f>
        <v>比较价格（元/平方米）</v>
      </c>
      <c r="Q38" s="3407"/>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2929</v>
      </c>
      <c r="B39" s="622"/>
      <c r="C39" s="2634" t="e">
        <f>R39</f>
        <v>#DIV/0!</v>
      </c>
      <c r="D39" s="2634"/>
      <c r="E39" s="2634"/>
      <c r="F39" s="2634"/>
      <c r="G39" s="2634"/>
      <c r="H39" s="2634"/>
      <c r="I39" s="2634"/>
      <c r="J39" s="2634"/>
      <c r="K39" s="1614"/>
      <c r="L39" s="2144"/>
      <c r="M39" s="2145"/>
      <c r="N39" s="2145"/>
      <c r="O39" s="2145"/>
      <c r="P39" s="3411" t="str">
        <f>A39</f>
        <v>估价对象XX用房的比较价格（楼面单价，元/平方米）</v>
      </c>
      <c r="Q39" s="3412"/>
      <c r="R39" s="3495" t="e">
        <f>IF(F1="售价",ROUND(AVERAGE(R38:V38),0),ROUND(AVERAGE(R38:V38),1))</f>
        <v>#DIV/0!</v>
      </c>
      <c r="S39" s="3495"/>
      <c r="T39" s="3495"/>
      <c r="U39" s="3495"/>
      <c r="V39" s="3495"/>
      <c r="W39" s="349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526</v>
      </c>
      <c r="B48" s="646"/>
      <c r="C48" s="2800" t="str">
        <f>YEAR(C7)&amp;"-"&amp;MONTH(C7)</f>
        <v>2019-4</v>
      </c>
      <c r="D48" s="2802">
        <f>EDATE(C48,-1)</f>
        <v>43525</v>
      </c>
      <c r="E48" s="2802">
        <f t="shared" ref="E48:O48" si="16">EDATE(D48,-1)</f>
        <v>43497</v>
      </c>
      <c r="F48" s="2802">
        <f t="shared" si="16"/>
        <v>43466</v>
      </c>
      <c r="G48" s="2802">
        <f t="shared" si="16"/>
        <v>43435</v>
      </c>
      <c r="H48" s="2802">
        <f t="shared" si="16"/>
        <v>43405</v>
      </c>
      <c r="I48" s="2802">
        <f t="shared" si="16"/>
        <v>43374</v>
      </c>
      <c r="J48" s="2802">
        <f t="shared" si="16"/>
        <v>43344</v>
      </c>
      <c r="K48" s="2802">
        <f t="shared" si="16"/>
        <v>43313</v>
      </c>
      <c r="L48" s="2802">
        <f t="shared" si="16"/>
        <v>43282</v>
      </c>
      <c r="M48" s="2802">
        <f t="shared" si="16"/>
        <v>43252</v>
      </c>
      <c r="N48" s="2802">
        <f t="shared" si="16"/>
        <v>43221</v>
      </c>
      <c r="O48" s="2802">
        <f t="shared" si="16"/>
        <v>43191</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3" t="s">
        <v>795</v>
      </c>
      <c r="D4" s="3384"/>
      <c r="E4" s="3432" t="s">
        <v>796</v>
      </c>
      <c r="F4" s="3433"/>
      <c r="G4" s="3383" t="s">
        <v>797</v>
      </c>
      <c r="H4" s="3384"/>
      <c r="I4" s="3383" t="s">
        <v>798</v>
      </c>
      <c r="J4" s="3384"/>
      <c r="K4" s="514" t="s">
        <v>799</v>
      </c>
      <c r="L4" s="2133"/>
      <c r="M4" s="2134"/>
      <c r="N4" s="2134"/>
      <c r="O4" s="2134"/>
      <c r="P4" s="3385" t="s">
        <v>800</v>
      </c>
      <c r="Q4" s="3386"/>
      <c r="R4" s="3391" t="s">
        <v>796</v>
      </c>
      <c r="S4" s="3392"/>
      <c r="T4" s="3391" t="s">
        <v>797</v>
      </c>
      <c r="U4" s="3392"/>
      <c r="V4" s="3403" t="s">
        <v>798</v>
      </c>
      <c r="W4" s="3403"/>
      <c r="X4" s="1568"/>
      <c r="Y4" s="3391" t="s">
        <v>800</v>
      </c>
      <c r="Z4" s="3392"/>
      <c r="AA4" s="3380" t="s">
        <v>796</v>
      </c>
      <c r="AB4" s="3381" t="s">
        <v>797</v>
      </c>
      <c r="AC4" s="3380" t="s">
        <v>798</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4" t="s">
        <v>527</v>
      </c>
      <c r="Q7" s="3405"/>
      <c r="R7" s="1569" t="s">
        <v>8</v>
      </c>
      <c r="S7" s="1570">
        <f t="shared" ref="S7:S14" si="0">F7</f>
        <v>0</v>
      </c>
      <c r="T7" s="1569" t="s">
        <v>8</v>
      </c>
      <c r="U7" s="1570">
        <f t="shared" ref="U7:U14" si="1">H7</f>
        <v>0</v>
      </c>
      <c r="V7" s="1569" t="s">
        <v>8</v>
      </c>
      <c r="W7" s="1570">
        <f t="shared" ref="W7:W14"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34" si="3">D8/F8</f>
        <v>#DIV/0!</v>
      </c>
      <c r="AB8" s="1572" t="e">
        <f t="shared" ref="AB8:AB34" si="4">D8/H8</f>
        <v>#DIV/0!</v>
      </c>
      <c r="AC8" s="1572" t="e">
        <f t="shared" ref="AC8:AC34" si="5">D8/J8</f>
        <v>#DIV/0!</v>
      </c>
    </row>
    <row r="9" spans="1:29" s="1220" customFormat="1" ht="15">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7" t="s">
        <v>532</v>
      </c>
      <c r="Q9" s="1151" t="str">
        <f t="shared" ref="Q9:Q14" si="6">B9</f>
        <v>用途</v>
      </c>
      <c r="R9" s="1569" t="s">
        <v>8</v>
      </c>
      <c r="S9" s="1570">
        <f t="shared" si="0"/>
        <v>100</v>
      </c>
      <c r="T9" s="1569" t="s">
        <v>8</v>
      </c>
      <c r="U9" s="1570">
        <f t="shared" si="1"/>
        <v>100</v>
      </c>
      <c r="V9" s="1569" t="s">
        <v>8</v>
      </c>
      <c r="W9" s="1570">
        <f t="shared" si="2"/>
        <v>100</v>
      </c>
      <c r="X9" s="1571"/>
      <c r="Y9" s="3353"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8" t="s">
        <v>537</v>
      </c>
      <c r="Q14" s="1573" t="str">
        <f t="shared" si="6"/>
        <v>交通便捷度</v>
      </c>
      <c r="R14" s="1574" t="s">
        <v>8</v>
      </c>
      <c r="S14" s="1575">
        <f t="shared" si="0"/>
        <v>100</v>
      </c>
      <c r="T14" s="1574" t="s">
        <v>8</v>
      </c>
      <c r="U14" s="1575">
        <f t="shared" si="1"/>
        <v>100</v>
      </c>
      <c r="V14" s="1574" t="s">
        <v>8</v>
      </c>
      <c r="W14" s="1575">
        <f t="shared" si="2"/>
        <v>100</v>
      </c>
      <c r="X14" s="1568"/>
      <c r="Y14" s="3408"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3">
        <f t="shared" ref="Q24:Q34"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4"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5"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5"/>
      <c r="Q27" s="1606" t="str">
        <f t="shared" si="11"/>
        <v>成新率</v>
      </c>
      <c r="R27" s="1578" t="s">
        <v>8</v>
      </c>
      <c r="S27" s="1579" t="e">
        <f t="shared" si="12"/>
        <v>#N/A</v>
      </c>
      <c r="T27" s="1578" t="s">
        <v>8</v>
      </c>
      <c r="U27" s="1579" t="e">
        <f t="shared" si="13"/>
        <v>#N/A</v>
      </c>
      <c r="V27" s="1578" t="s">
        <v>8</v>
      </c>
      <c r="W27" s="1579" t="e">
        <f t="shared" si="14"/>
        <v>#N/A</v>
      </c>
      <c r="X27" s="1580"/>
      <c r="Y27" s="3415"/>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5"/>
      <c r="Q28" s="1573" t="str">
        <f t="shared" si="11"/>
        <v>物业等级</v>
      </c>
      <c r="R28" s="1574" t="s">
        <v>8</v>
      </c>
      <c r="S28" s="1575">
        <f t="shared" si="12"/>
        <v>100</v>
      </c>
      <c r="T28" s="1574" t="s">
        <v>8</v>
      </c>
      <c r="U28" s="1575">
        <f t="shared" si="13"/>
        <v>100</v>
      </c>
      <c r="V28" s="1574" t="s">
        <v>8</v>
      </c>
      <c r="W28" s="1575">
        <f t="shared" si="14"/>
        <v>100</v>
      </c>
      <c r="X28" s="1568"/>
      <c r="Y28" s="3415"/>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5"/>
      <c r="Q29" s="1573" t="str">
        <f t="shared" si="11"/>
        <v>有无电梯</v>
      </c>
      <c r="R29" s="1574" t="s">
        <v>8</v>
      </c>
      <c r="S29" s="1575">
        <f t="shared" si="12"/>
        <v>100</v>
      </c>
      <c r="T29" s="1574" t="s">
        <v>8</v>
      </c>
      <c r="U29" s="1575">
        <f t="shared" si="13"/>
        <v>100</v>
      </c>
      <c r="V29" s="1574" t="s">
        <v>8</v>
      </c>
      <c r="W29" s="1575">
        <f t="shared" si="14"/>
        <v>100</v>
      </c>
      <c r="X29" s="1568"/>
      <c r="Y29" s="3415"/>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5"/>
      <c r="Q30" s="1573" t="str">
        <f t="shared" si="11"/>
        <v>建筑面积</v>
      </c>
      <c r="R30" s="1574" t="s">
        <v>8</v>
      </c>
      <c r="S30" s="1575" t="e">
        <f t="shared" si="12"/>
        <v>#N/A</v>
      </c>
      <c r="T30" s="1574" t="s">
        <v>8</v>
      </c>
      <c r="U30" s="1575" t="e">
        <f t="shared" si="13"/>
        <v>#N/A</v>
      </c>
      <c r="V30" s="1574" t="s">
        <v>8</v>
      </c>
      <c r="W30" s="1575" t="e">
        <f t="shared" si="14"/>
        <v>#N/A</v>
      </c>
      <c r="X30" s="1568"/>
      <c r="Y30" s="3415"/>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5"/>
      <c r="Q31" s="1151" t="str">
        <f t="shared" si="11"/>
        <v>是否封闭</v>
      </c>
      <c r="R31" s="1569" t="s">
        <v>8</v>
      </c>
      <c r="S31" s="1570">
        <f t="shared" si="12"/>
        <v>100</v>
      </c>
      <c r="T31" s="1569" t="s">
        <v>8</v>
      </c>
      <c r="U31" s="1570">
        <f t="shared" si="13"/>
        <v>100</v>
      </c>
      <c r="V31" s="1569" t="s">
        <v>8</v>
      </c>
      <c r="W31" s="1570">
        <f t="shared" si="14"/>
        <v>100</v>
      </c>
      <c r="X31" s="1571"/>
      <c r="Y31" s="34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5" t="s">
        <v>547</v>
      </c>
      <c r="Q32" s="1573">
        <f t="shared" si="11"/>
        <v>111</v>
      </c>
      <c r="R32" s="1574" t="s">
        <v>8</v>
      </c>
      <c r="S32" s="1575">
        <f t="shared" si="12"/>
        <v>100</v>
      </c>
      <c r="T32" s="1574" t="s">
        <v>8</v>
      </c>
      <c r="U32" s="1575">
        <f t="shared" si="13"/>
        <v>100</v>
      </c>
      <c r="V32" s="1574" t="s">
        <v>8</v>
      </c>
      <c r="W32" s="1575">
        <f t="shared" si="14"/>
        <v>100</v>
      </c>
      <c r="X32" s="1568"/>
      <c r="Y32" s="3415"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5"/>
      <c r="Q33" s="1573">
        <f t="shared" si="11"/>
        <v>111</v>
      </c>
      <c r="R33" s="1574" t="s">
        <v>8</v>
      </c>
      <c r="S33" s="1575">
        <f t="shared" si="12"/>
        <v>100</v>
      </c>
      <c r="T33" s="1574" t="s">
        <v>8</v>
      </c>
      <c r="U33" s="1575">
        <f t="shared" si="13"/>
        <v>100</v>
      </c>
      <c r="V33" s="1574" t="s">
        <v>8</v>
      </c>
      <c r="W33" s="1575">
        <f t="shared" si="14"/>
        <v>100</v>
      </c>
      <c r="X33" s="1568"/>
      <c r="Y33" s="34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ht="15">
      <c r="A35" s="607" t="s">
        <v>733</v>
      </c>
      <c r="B35" s="887"/>
      <c r="C35" s="2625" t="s">
        <v>1</v>
      </c>
      <c r="D35" s="2626"/>
      <c r="E35" s="2627"/>
      <c r="F35" s="2628"/>
      <c r="G35" s="2629"/>
      <c r="H35" s="2630"/>
      <c r="I35" s="2627"/>
      <c r="J35" s="2630"/>
      <c r="K35" s="1612"/>
      <c r="L35" s="2144"/>
      <c r="M35" s="2145"/>
      <c r="N35" s="2134"/>
      <c r="O35" s="2145"/>
      <c r="P35" s="3407" t="str">
        <f>A35</f>
        <v>成交单价（元/平方米）</v>
      </c>
      <c r="Q35" s="3407"/>
      <c r="R35" s="3496">
        <f>E35</f>
        <v>0</v>
      </c>
      <c r="S35" s="3496"/>
      <c r="T35" s="3496">
        <f>G35</f>
        <v>0</v>
      </c>
      <c r="U35" s="3496"/>
      <c r="V35" s="3496">
        <f>I35</f>
        <v>0</v>
      </c>
      <c r="W35" s="3496"/>
      <c r="X35" s="1560"/>
      <c r="Y35" s="1582"/>
      <c r="Z35" s="1560"/>
      <c r="AA35" s="1560"/>
      <c r="AB35" s="1560"/>
      <c r="AC35" s="1560"/>
    </row>
    <row r="36" spans="1:29" ht="15.7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407" t="str">
        <f>A36</f>
        <v>比较价格（元/平方米）</v>
      </c>
      <c r="Q36" s="3407"/>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2929</v>
      </c>
      <c r="B37" s="622"/>
      <c r="C37" s="2634" t="e">
        <f>R37</f>
        <v>#DIV/0!</v>
      </c>
      <c r="D37" s="2634"/>
      <c r="E37" s="2634"/>
      <c r="F37" s="2634"/>
      <c r="G37" s="2634"/>
      <c r="H37" s="2634"/>
      <c r="I37" s="2634"/>
      <c r="J37" s="2634"/>
      <c r="K37" s="1614"/>
      <c r="L37" s="2144"/>
      <c r="M37" s="2145"/>
      <c r="N37" s="2145"/>
      <c r="O37" s="2145"/>
      <c r="P37" s="3411" t="str">
        <f>A37</f>
        <v>估价对象XX用房的比较价格（楼面单价，元/平方米）</v>
      </c>
      <c r="Q37" s="3412"/>
      <c r="R37" s="3495" t="e">
        <f>IF(F1="售价",ROUND(AVERAGE(R36:V36),0),ROUND(AVERAGE(R36:V36),1))</f>
        <v>#DIV/0!</v>
      </c>
      <c r="S37" s="3495"/>
      <c r="T37" s="3495"/>
      <c r="U37" s="3495"/>
      <c r="V37" s="3495"/>
      <c r="W37" s="349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526</v>
      </c>
      <c r="B46" s="646"/>
      <c r="C46" s="2800" t="str">
        <f>YEAR(C7)&amp;"-"&amp;MONTH(C7)</f>
        <v>2019-4</v>
      </c>
      <c r="D46" s="2802">
        <f>EDATE(C46,-1)</f>
        <v>43525</v>
      </c>
      <c r="E46" s="2802">
        <f t="shared" ref="E46:O46" si="16">EDATE(D46,-1)</f>
        <v>43497</v>
      </c>
      <c r="F46" s="2802">
        <f t="shared" si="16"/>
        <v>43466</v>
      </c>
      <c r="G46" s="2802">
        <f t="shared" si="16"/>
        <v>43435</v>
      </c>
      <c r="H46" s="2802">
        <f t="shared" si="16"/>
        <v>43405</v>
      </c>
      <c r="I46" s="2802">
        <f t="shared" si="16"/>
        <v>43374</v>
      </c>
      <c r="J46" s="2802">
        <f t="shared" si="16"/>
        <v>43344</v>
      </c>
      <c r="K46" s="2802">
        <f t="shared" si="16"/>
        <v>43313</v>
      </c>
      <c r="L46" s="2802">
        <f t="shared" si="16"/>
        <v>43282</v>
      </c>
      <c r="M46" s="2802">
        <f t="shared" si="16"/>
        <v>43252</v>
      </c>
      <c r="N46" s="2802">
        <f t="shared" si="16"/>
        <v>43221</v>
      </c>
      <c r="O46" s="2802">
        <f t="shared" si="16"/>
        <v>43191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05" t="s">
        <v>2303</v>
      </c>
      <c r="D1" s="3506"/>
      <c r="E1" s="3506"/>
      <c r="F1" s="3506"/>
      <c r="G1" s="3506"/>
      <c r="H1" s="3506"/>
      <c r="I1" s="3506"/>
      <c r="J1" s="3506"/>
      <c r="K1" s="3506"/>
      <c r="L1" s="3506"/>
      <c r="M1" s="3506"/>
      <c r="N1" s="3506"/>
      <c r="O1" s="3506"/>
      <c r="P1" s="3506"/>
      <c r="Q1" s="3506"/>
      <c r="R1" s="3506"/>
      <c r="S1" s="350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93.75">
      <c r="A7" s="2871" t="s">
        <v>2744</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2745</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43578</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G41" sqref="G41"/>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ROUND(J2/E2*10000,2)</f>
        <v>2250</v>
      </c>
      <c r="L2" s="3179">
        <v>750</v>
      </c>
      <c r="M2" s="3179">
        <v>0</v>
      </c>
      <c r="N2" s="3179" t="s">
        <v>3030</v>
      </c>
      <c r="O2" s="3211">
        <f>J2/(E2/666.67)</f>
        <v>150.00074999999998</v>
      </c>
    </row>
    <row r="3" spans="1:15" s="3206" customFormat="1" ht="14.25">
      <c r="A3" s="3209" t="s">
        <v>3047</v>
      </c>
      <c r="B3" s="3209" t="s">
        <v>3024</v>
      </c>
      <c r="C3" s="3209" t="s">
        <v>3025</v>
      </c>
      <c r="D3" s="3209" t="s">
        <v>3026</v>
      </c>
      <c r="E3" s="3209">
        <v>1566</v>
      </c>
      <c r="F3" s="3209">
        <v>7516.8</v>
      </c>
      <c r="G3" s="3209" t="s">
        <v>3048</v>
      </c>
      <c r="H3" s="3209" t="s">
        <v>3049</v>
      </c>
      <c r="I3" s="3209" t="s">
        <v>3050</v>
      </c>
      <c r="J3" s="3209">
        <v>312</v>
      </c>
      <c r="K3" s="3207">
        <f t="shared" ref="K3:K23" si="0">ROUND(J3/E3*10000,2)</f>
        <v>1992.34</v>
      </c>
      <c r="L3" s="3209">
        <v>415.06</v>
      </c>
      <c r="M3" s="3209">
        <v>0</v>
      </c>
      <c r="N3" s="3209" t="s">
        <v>3051</v>
      </c>
      <c r="O3" s="3212">
        <f t="shared" ref="O3:O23" si="1">J3/(E3/666.67)</f>
        <v>132.82314176245211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c r="O4" s="3211">
        <f t="shared" si="1"/>
        <v>89.066680977876544</v>
      </c>
    </row>
    <row r="5" spans="1:15" s="3181" customFormat="1">
      <c r="A5" s="3181" t="s">
        <v>3056</v>
      </c>
      <c r="B5" s="3181" t="s">
        <v>3024</v>
      </c>
      <c r="C5" s="3181" t="s">
        <v>3025</v>
      </c>
      <c r="D5" s="3181" t="s">
        <v>3078</v>
      </c>
      <c r="E5" s="3181">
        <v>40229</v>
      </c>
      <c r="F5" s="3181">
        <v>104595.4</v>
      </c>
      <c r="G5" s="3181" t="s">
        <v>3079</v>
      </c>
      <c r="H5" s="3181" t="s">
        <v>3080</v>
      </c>
      <c r="I5" s="3181" t="s">
        <v>3081</v>
      </c>
      <c r="J5" s="3181">
        <v>4915</v>
      </c>
      <c r="K5" s="3178">
        <f t="shared" si="0"/>
        <v>1221.76</v>
      </c>
      <c r="L5" s="3181" t="s">
        <v>2814</v>
      </c>
      <c r="M5" s="3181" t="s">
        <v>3082</v>
      </c>
      <c r="O5" s="3213">
        <f t="shared" si="1"/>
        <v>81.450770588381502</v>
      </c>
    </row>
    <row r="6" spans="1:15" s="3181" customFormat="1">
      <c r="A6" s="3181" t="s">
        <v>3056</v>
      </c>
      <c r="B6" s="3181" t="s">
        <v>3024</v>
      </c>
      <c r="C6" s="3181" t="s">
        <v>3025</v>
      </c>
      <c r="D6" s="3181" t="s">
        <v>3026</v>
      </c>
      <c r="E6" s="3181">
        <v>28961</v>
      </c>
      <c r="F6" s="3181">
        <v>43441.5</v>
      </c>
      <c r="G6" s="3181" t="s">
        <v>3044</v>
      </c>
      <c r="H6" s="3181" t="s">
        <v>3057</v>
      </c>
      <c r="I6" s="3181" t="s">
        <v>3058</v>
      </c>
      <c r="J6" s="3181">
        <v>3308</v>
      </c>
      <c r="K6" s="3178">
        <f t="shared" si="0"/>
        <v>1142.23</v>
      </c>
      <c r="L6" s="3181">
        <v>761.48</v>
      </c>
      <c r="M6" s="3181">
        <v>0</v>
      </c>
      <c r="N6" s="3181" t="s">
        <v>3059</v>
      </c>
      <c r="O6" s="3213">
        <f t="shared" si="1"/>
        <v>76.148764200131211</v>
      </c>
    </row>
    <row r="7" spans="1:15" s="3181" customFormat="1">
      <c r="A7" s="3181" t="s">
        <v>3087</v>
      </c>
      <c r="B7" s="3181" t="s">
        <v>3024</v>
      </c>
      <c r="C7" s="3181" t="s">
        <v>3025</v>
      </c>
      <c r="D7" s="3181" t="s">
        <v>3078</v>
      </c>
      <c r="E7" s="3181">
        <v>40000</v>
      </c>
      <c r="F7" s="3181">
        <v>96000</v>
      </c>
      <c r="G7" s="3181" t="s">
        <v>3084</v>
      </c>
      <c r="H7" s="3181" t="s">
        <v>3085</v>
      </c>
      <c r="I7" s="3181" t="s">
        <v>3086</v>
      </c>
      <c r="J7" s="3181">
        <v>4256</v>
      </c>
      <c r="K7" s="3178">
        <f t="shared" si="0"/>
        <v>1064</v>
      </c>
      <c r="L7" s="3181" t="s">
        <v>2814</v>
      </c>
      <c r="M7" s="3181" t="s">
        <v>3030</v>
      </c>
      <c r="O7" s="3213">
        <f t="shared" si="1"/>
        <v>70.933687999999989</v>
      </c>
    </row>
    <row r="8" spans="1:15" s="3179" customFormat="1" hidden="1">
      <c r="K8" s="3180" t="e">
        <f t="shared" si="0"/>
        <v>#DIV/0!</v>
      </c>
      <c r="O8" s="3211" t="e">
        <f t="shared" si="1"/>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c r="O9" s="3211">
        <f t="shared" si="1"/>
        <v>70.933687999999989</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c r="O10" s="3214">
        <f t="shared" si="1"/>
        <v>69.011982412719831</v>
      </c>
    </row>
    <row r="11" spans="1:15" s="3206" customFormat="1">
      <c r="A11" s="3208" t="s">
        <v>3038</v>
      </c>
      <c r="B11" s="3206" t="s">
        <v>3024</v>
      </c>
      <c r="C11" s="3206" t="s">
        <v>3025</v>
      </c>
      <c r="D11" s="3206" t="s">
        <v>3026</v>
      </c>
      <c r="E11" s="3206">
        <v>39602</v>
      </c>
      <c r="F11" s="3206">
        <v>69303.5</v>
      </c>
      <c r="G11" s="3206" t="s">
        <v>3039</v>
      </c>
      <c r="H11" s="3206" t="s">
        <v>3040</v>
      </c>
      <c r="I11" s="3206" t="s">
        <v>3041</v>
      </c>
      <c r="J11" s="3206">
        <v>3145</v>
      </c>
      <c r="K11" s="3207">
        <f t="shared" si="0"/>
        <v>794.15</v>
      </c>
      <c r="L11" s="3206">
        <v>453.8</v>
      </c>
      <c r="M11" s="3206">
        <v>0</v>
      </c>
      <c r="N11" s="3206" t="s">
        <v>3030</v>
      </c>
      <c r="O11" s="3212">
        <f t="shared" si="1"/>
        <v>52.943718751578196</v>
      </c>
    </row>
    <row r="12" spans="1:15" s="3206" customFormat="1">
      <c r="A12" s="3210" t="s">
        <v>3140</v>
      </c>
      <c r="B12" s="3206" t="s">
        <v>3024</v>
      </c>
      <c r="C12" s="3206" t="s">
        <v>3025</v>
      </c>
      <c r="D12" s="3206" t="s">
        <v>3026</v>
      </c>
      <c r="E12" s="3206">
        <v>55420</v>
      </c>
      <c r="F12" s="3206">
        <v>96985</v>
      </c>
      <c r="G12" s="3206" t="s">
        <v>3039</v>
      </c>
      <c r="H12" s="3206" t="s">
        <v>3040</v>
      </c>
      <c r="I12" s="3206" t="s">
        <v>3041</v>
      </c>
      <c r="J12" s="3206">
        <v>4401</v>
      </c>
      <c r="K12" s="3207">
        <f t="shared" si="0"/>
        <v>794.12</v>
      </c>
      <c r="L12" s="3206">
        <v>453.77</v>
      </c>
      <c r="M12" s="3206">
        <v>0</v>
      </c>
      <c r="N12" s="3206" t="s">
        <v>3030</v>
      </c>
      <c r="O12" s="3212">
        <f t="shared" si="1"/>
        <v>52.94144117647059</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c r="O13" s="3211">
        <f t="shared" si="1"/>
        <v>44.999499201625774</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c r="O14" s="3211">
        <f t="shared" si="1"/>
        <v>44.180115079365081</v>
      </c>
    </row>
    <row r="15" spans="1:15" s="3179" customFormat="1">
      <c r="A15" s="3179" t="s">
        <v>3052</v>
      </c>
      <c r="B15" s="3179" t="s">
        <v>3024</v>
      </c>
      <c r="C15" s="3179" t="s">
        <v>3025</v>
      </c>
      <c r="D15" s="3179" t="s">
        <v>3026</v>
      </c>
      <c r="E15" s="3179">
        <v>26000</v>
      </c>
      <c r="F15" s="3179">
        <v>64220</v>
      </c>
      <c r="G15" s="3179" t="s">
        <v>3053</v>
      </c>
      <c r="H15" s="3179" t="s">
        <v>3054</v>
      </c>
      <c r="I15" s="3179" t="s">
        <v>3055</v>
      </c>
      <c r="J15" s="3179">
        <v>1680</v>
      </c>
      <c r="K15" s="3180">
        <f t="shared" si="0"/>
        <v>646.15</v>
      </c>
      <c r="L15" s="3179">
        <v>261.60000000000002</v>
      </c>
      <c r="M15" s="3179">
        <v>0</v>
      </c>
      <c r="N15" s="3179" t="s">
        <v>3030</v>
      </c>
      <c r="O15" s="3211">
        <f t="shared" si="1"/>
        <v>43.07713846153846</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c r="O16" s="3211">
        <f t="shared" si="1"/>
        <v>41.525054458815525</v>
      </c>
    </row>
    <row r="17" spans="1:15"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c r="O17" s="3211">
        <f t="shared" si="1"/>
        <v>40.377929013350702</v>
      </c>
    </row>
    <row r="18" spans="1:15"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c r="O18" s="3211">
        <f t="shared" si="1"/>
        <v>38.490877907412496</v>
      </c>
    </row>
    <row r="19" spans="1:15"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c r="O19" s="3211">
        <f t="shared" si="1"/>
        <v>37.916856249999995</v>
      </c>
    </row>
    <row r="20" spans="1:15"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c r="O20" s="3211">
        <f t="shared" si="1"/>
        <v>24.919319674695025</v>
      </c>
    </row>
    <row r="21" spans="1:15"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c r="O21" s="3211">
        <f t="shared" si="1"/>
        <v>17.024178316123905</v>
      </c>
    </row>
    <row r="22" spans="1:15"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c r="O22" s="3211">
        <f t="shared" si="1"/>
        <v>16.077250803858519</v>
      </c>
    </row>
    <row r="23" spans="1:15"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c r="O23" s="3211">
        <f t="shared" si="1"/>
        <v>16.000080000000001</v>
      </c>
    </row>
  </sheetData>
  <sortState ref="A2:N23">
    <sortCondition descending="1" ref="K1"/>
  </sortState>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 t="shared" ref="K2:K23" si="0">ROUND(J2/E2*10000,2)</f>
        <v>2250</v>
      </c>
      <c r="L2" s="3179">
        <v>750</v>
      </c>
      <c r="M2" s="3179">
        <v>0</v>
      </c>
      <c r="N2" s="3179" t="s">
        <v>3030</v>
      </c>
    </row>
    <row r="3" spans="1:15" s="3181" customFormat="1" ht="14.25">
      <c r="A3" s="3177" t="s">
        <v>3047</v>
      </c>
      <c r="B3" s="3177" t="s">
        <v>3024</v>
      </c>
      <c r="C3" s="3177" t="s">
        <v>3025</v>
      </c>
      <c r="D3" s="3177" t="s">
        <v>3026</v>
      </c>
      <c r="E3" s="3177">
        <v>1566</v>
      </c>
      <c r="F3" s="3177">
        <v>7516.8</v>
      </c>
      <c r="G3" s="3177" t="s">
        <v>3048</v>
      </c>
      <c r="H3" s="3177" t="s">
        <v>3049</v>
      </c>
      <c r="I3" s="3177" t="s">
        <v>3050</v>
      </c>
      <c r="J3" s="3177">
        <v>312</v>
      </c>
      <c r="K3" s="3178">
        <f t="shared" si="0"/>
        <v>1992.34</v>
      </c>
      <c r="L3" s="3177">
        <v>415.06</v>
      </c>
      <c r="M3" s="3177">
        <v>0</v>
      </c>
      <c r="N3" s="3177" t="s">
        <v>3051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5" s="3179" customFormat="1">
      <c r="A5" s="3179" t="s">
        <v>3056</v>
      </c>
      <c r="B5" s="3179" t="s">
        <v>3024</v>
      </c>
      <c r="C5" s="3179" t="s">
        <v>3025</v>
      </c>
      <c r="D5" s="3179" t="s">
        <v>3078</v>
      </c>
      <c r="E5" s="3179">
        <v>40229</v>
      </c>
      <c r="F5" s="3179">
        <v>104595.4</v>
      </c>
      <c r="G5" s="3179" t="s">
        <v>3079</v>
      </c>
      <c r="H5" s="3179" t="s">
        <v>3080</v>
      </c>
      <c r="I5" s="3179" t="s">
        <v>3081</v>
      </c>
      <c r="J5" s="3179">
        <v>4915</v>
      </c>
      <c r="K5" s="3180">
        <f t="shared" si="0"/>
        <v>1221.76</v>
      </c>
      <c r="L5" s="3179" t="s">
        <v>2814</v>
      </c>
      <c r="M5" s="3179" t="s">
        <v>3082</v>
      </c>
    </row>
    <row r="6" spans="1:15" s="3179" customFormat="1">
      <c r="A6" s="3179" t="s">
        <v>3056</v>
      </c>
      <c r="B6" s="3179" t="s">
        <v>3024</v>
      </c>
      <c r="C6" s="3179" t="s">
        <v>3025</v>
      </c>
      <c r="D6" s="3179" t="s">
        <v>3026</v>
      </c>
      <c r="E6" s="3179">
        <v>28961</v>
      </c>
      <c r="F6" s="3179">
        <v>43441.5</v>
      </c>
      <c r="G6" s="3179" t="s">
        <v>3044</v>
      </c>
      <c r="H6" s="3179" t="s">
        <v>3057</v>
      </c>
      <c r="I6" s="3179" t="s">
        <v>3058</v>
      </c>
      <c r="J6" s="3179">
        <v>3308</v>
      </c>
      <c r="K6" s="3180">
        <f t="shared" si="0"/>
        <v>1142.23</v>
      </c>
      <c r="L6" s="3179">
        <v>761.48</v>
      </c>
      <c r="M6" s="3179">
        <v>0</v>
      </c>
      <c r="N6" s="3179" t="s">
        <v>3059</v>
      </c>
    </row>
    <row r="7" spans="1:15" s="3179" customFormat="1">
      <c r="A7" s="3179" t="s">
        <v>3087</v>
      </c>
      <c r="B7" s="3179" t="s">
        <v>3024</v>
      </c>
      <c r="C7" s="3179" t="s">
        <v>3025</v>
      </c>
      <c r="D7" s="3179" t="s">
        <v>3078</v>
      </c>
      <c r="E7" s="3179">
        <v>40000</v>
      </c>
      <c r="F7" s="3179">
        <v>96000</v>
      </c>
      <c r="G7" s="3179" t="s">
        <v>3084</v>
      </c>
      <c r="H7" s="3179" t="s">
        <v>3085</v>
      </c>
      <c r="I7" s="3179" t="s">
        <v>3086</v>
      </c>
      <c r="J7" s="3179">
        <v>4256</v>
      </c>
      <c r="K7" s="3180">
        <f t="shared" si="0"/>
        <v>1064</v>
      </c>
      <c r="L7" s="3179" t="s">
        <v>2814</v>
      </c>
      <c r="M7" s="3179" t="s">
        <v>3030</v>
      </c>
    </row>
    <row r="8" spans="1:15" s="3179" customFormat="1" hidden="1">
      <c r="K8" s="3180" t="e">
        <f t="shared" si="0"/>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5" s="3179" customFormat="1">
      <c r="A11" s="3203" t="s">
        <v>3126</v>
      </c>
      <c r="B11" s="3204" t="s">
        <v>3024</v>
      </c>
      <c r="C11" s="3204" t="s">
        <v>3025</v>
      </c>
      <c r="D11" s="3204" t="s">
        <v>3026</v>
      </c>
      <c r="E11" s="3204">
        <v>39602</v>
      </c>
      <c r="F11" s="3204">
        <v>69303.5</v>
      </c>
      <c r="G11" s="3204" t="s">
        <v>3039</v>
      </c>
      <c r="H11" s="3204" t="s">
        <v>3040</v>
      </c>
      <c r="I11" s="3204" t="s">
        <v>3041</v>
      </c>
      <c r="J11" s="3204">
        <v>3145</v>
      </c>
      <c r="K11" s="3205">
        <f t="shared" si="0"/>
        <v>794.15</v>
      </c>
      <c r="L11" s="3179">
        <v>453.8</v>
      </c>
      <c r="M11" s="3179">
        <v>0</v>
      </c>
      <c r="N11" s="3179" t="s">
        <v>3030</v>
      </c>
      <c r="O11" s="3179">
        <f>K11/1.75</f>
        <v>453.8</v>
      </c>
    </row>
    <row r="12" spans="1:15" s="3179" customFormat="1">
      <c r="A12" s="3204" t="s">
        <v>3042</v>
      </c>
      <c r="B12" s="3204" t="s">
        <v>3024</v>
      </c>
      <c r="C12" s="3204" t="s">
        <v>3025</v>
      </c>
      <c r="D12" s="3204" t="s">
        <v>3026</v>
      </c>
      <c r="E12" s="3204">
        <v>55420</v>
      </c>
      <c r="F12" s="3204">
        <v>96985</v>
      </c>
      <c r="G12" s="3204" t="s">
        <v>3039</v>
      </c>
      <c r="H12" s="3204" t="s">
        <v>3040</v>
      </c>
      <c r="I12" s="3204" t="s">
        <v>3041</v>
      </c>
      <c r="J12" s="3204">
        <v>4401</v>
      </c>
      <c r="K12" s="3205">
        <f t="shared" si="0"/>
        <v>794.12</v>
      </c>
      <c r="L12" s="3179">
        <v>453.77</v>
      </c>
      <c r="M12" s="3179">
        <v>0</v>
      </c>
      <c r="N12" s="3179" t="s">
        <v>3030</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5" s="3179" customFormat="1">
      <c r="A15" s="3179" t="s">
        <v>3052</v>
      </c>
      <c r="B15" s="3179" t="s">
        <v>3024</v>
      </c>
      <c r="C15" s="3179" t="s">
        <v>3025</v>
      </c>
      <c r="D15" s="3179" t="s">
        <v>3026</v>
      </c>
      <c r="E15" s="3179">
        <v>26000</v>
      </c>
      <c r="F15" s="3179">
        <v>64220</v>
      </c>
      <c r="G15" s="3204" t="s">
        <v>3053</v>
      </c>
      <c r="H15" s="3204" t="s">
        <v>3054</v>
      </c>
      <c r="I15" s="3204" t="s">
        <v>3055</v>
      </c>
      <c r="J15" s="3204">
        <v>1680</v>
      </c>
      <c r="K15" s="3205">
        <f t="shared" si="0"/>
        <v>646.15</v>
      </c>
      <c r="L15" s="3179">
        <v>261.60000000000002</v>
      </c>
      <c r="M15" s="3179">
        <v>0</v>
      </c>
      <c r="N15" s="3179" t="s">
        <v>3030</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808" t="s">
        <v>2039</v>
      </c>
      <c r="B2" s="1808"/>
      <c r="C2" s="1808"/>
      <c r="D2" s="1808"/>
      <c r="E2" s="1808"/>
      <c r="F2" s="1808"/>
      <c r="G2" s="1808"/>
      <c r="H2" s="1808"/>
      <c r="I2" s="1809"/>
      <c r="J2" s="1809"/>
      <c r="K2" s="1810" t="str">
        <f>"估价期日："&amp;TEXT(项目基本情况!D3,"yyyy年m月d日;;")</f>
        <v>估价期日：2019年4月23日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0" t="s">
        <v>2028</v>
      </c>
      <c r="B3" s="3220" t="s">
        <v>2727</v>
      </c>
      <c r="C3" s="3221" t="s">
        <v>2029</v>
      </c>
      <c r="D3" s="3220" t="s">
        <v>2731</v>
      </c>
      <c r="E3" s="3223" t="s">
        <v>2030</v>
      </c>
      <c r="F3" s="3223"/>
      <c r="G3" s="3223"/>
      <c r="H3" s="3223" t="s">
        <v>2031</v>
      </c>
      <c r="I3" s="3223"/>
      <c r="J3" s="3223"/>
      <c r="K3" s="3221" t="s">
        <v>2032</v>
      </c>
      <c r="L3" s="3221" t="s">
        <v>2033</v>
      </c>
      <c r="M3" s="3220" t="s">
        <v>2728</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47" t="s">
        <v>2041</v>
      </c>
      <c r="F4" s="2647" t="s">
        <v>2740</v>
      </c>
      <c r="G4" s="2647" t="s">
        <v>2035</v>
      </c>
      <c r="H4" s="2647" t="s">
        <v>2036</v>
      </c>
      <c r="I4" s="2647" t="s">
        <v>2741</v>
      </c>
      <c r="J4" s="2647" t="s">
        <v>2035</v>
      </c>
      <c r="K4" s="3221"/>
      <c r="L4" s="3221"/>
      <c r="M4" s="3220"/>
      <c r="N4" s="3222"/>
      <c r="O4" s="3220"/>
      <c r="P4" s="3221"/>
      <c r="Q4" s="3221"/>
      <c r="R4" s="3221"/>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266666.3</v>
      </c>
      <c r="O5" s="1811">
        <f>项目基本情况!C21</f>
        <v>1146665.0899999999</v>
      </c>
      <c r="P5" s="1811">
        <f ca="1">结果表!E42</f>
        <v>2251</v>
      </c>
      <c r="Q5" s="1811">
        <f ca="1">结果表!D42</f>
        <v>523</v>
      </c>
      <c r="R5" s="1812">
        <f ca="1">结果表!C42</f>
        <v>60022</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3">
        <f ca="1">结果表!O39</f>
        <v>60022</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3"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4" t="s">
        <v>2064</v>
      </c>
      <c r="B1" s="3224"/>
      <c r="C1" s="3224"/>
      <c r="D1" s="3224"/>
    </row>
    <row r="2" spans="1:4" ht="47.25" customHeight="1">
      <c r="A2" s="3228" t="str">
        <f>"1.权利限制："&amp;项目基本情况!L24&amp;"未设定租赁等其他他项权利。"</f>
        <v>1.权利限制：根据估价对象《国有土地使用证》原件、，截至估价期日，估价对象抵押权未见登记。未设定租赁等其他他项权利。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2065</v>
      </c>
      <c r="B5" s="3227"/>
      <c r="C5" s="3227"/>
      <c r="D5" s="3227"/>
    </row>
    <row r="6" spans="1:4">
      <c r="A6" s="3224" t="s">
        <v>2043</v>
      </c>
      <c r="B6" s="3224"/>
      <c r="C6" s="3224"/>
      <c r="D6" s="3224"/>
    </row>
    <row r="7" spans="1:4" ht="33" customHeight="1">
      <c r="A7" s="3224" t="s">
        <v>2571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（1）根据估价对象《国有土地使用证》原件、，截至估价期日，估价对象抵押权未见登记。</v>
      </c>
      <c r="B11" s="3226"/>
      <c r="C11" s="3226"/>
      <c r="D11" s="3226"/>
    </row>
    <row r="12" spans="1:4" ht="168" customHeight="1">
      <c r="A12" s="3227" t="s">
        <v>2067</v>
      </c>
      <c r="B12" s="3227"/>
      <c r="C12" s="3227"/>
      <c r="D12" s="3227"/>
    </row>
    <row r="13" spans="1:4">
      <c r="A13" s="3225" t="s">
        <v>2742</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2698</v>
      </c>
      <c r="B17" s="3224"/>
      <c r="C17" s="3224"/>
      <c r="D17" s="3224"/>
    </row>
    <row r="18" spans="1:4">
      <c r="A18" s="3224" t="s">
        <v>2690</v>
      </c>
      <c r="B18" s="3224"/>
      <c r="C18" s="3224"/>
      <c r="D18" s="3224"/>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24" t="s">
        <v>2695</v>
      </c>
      <c r="B23" s="3224"/>
      <c r="C23" s="3224"/>
      <c r="D23" s="3224"/>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36" t="s">
        <v>53</v>
      </c>
      <c r="B15" s="3237" t="s">
        <v>843</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834</v>
      </c>
    </row>
    <row r="25" spans="1:3" ht="14.25">
      <c r="A25" s="3235"/>
      <c r="B25" s="3239"/>
      <c r="C25" s="1176" t="s">
        <v>835</v>
      </c>
    </row>
    <row r="26" spans="1:3" ht="14.25">
      <c r="A26" s="3235"/>
      <c r="B26" s="3239"/>
      <c r="C26" s="1176" t="s">
        <v>836</v>
      </c>
    </row>
    <row r="27" spans="1:3" ht="14.25">
      <c r="A27" s="3235"/>
      <c r="B27" s="3239"/>
      <c r="C27" s="1176" t="s">
        <v>837</v>
      </c>
    </row>
    <row r="28" spans="1:3" ht="14.25">
      <c r="A28" s="3235"/>
      <c r="B28" s="3239"/>
      <c r="C28" s="1176" t="s">
        <v>838</v>
      </c>
    </row>
    <row r="29" spans="1:3" ht="14.25">
      <c r="A29" s="3235"/>
      <c r="B29" s="3239"/>
      <c r="C29" s="1176" t="s">
        <v>839</v>
      </c>
    </row>
    <row r="30" spans="1:3" ht="14.25">
      <c r="A30" s="3235"/>
      <c r="B30" s="3239"/>
      <c r="C30" s="1176" t="s">
        <v>840</v>
      </c>
    </row>
    <row r="31" spans="1:3" ht="14.25">
      <c r="A31" s="3235"/>
      <c r="B31" s="3239"/>
      <c r="C31" s="1176" t="s">
        <v>841</v>
      </c>
    </row>
    <row r="32" spans="1:3" ht="14.25">
      <c r="A32" s="3235"/>
      <c r="B32" s="3239"/>
      <c r="C32" s="1176" t="s">
        <v>1644</v>
      </c>
    </row>
    <row r="33" spans="1:3" ht="14.25">
      <c r="A33" s="3235"/>
      <c r="B33" s="3229" t="s">
        <v>1650</v>
      </c>
      <c r="C33" s="1176" t="s">
        <v>1645</v>
      </c>
    </row>
    <row r="34" spans="1:3" ht="14.25">
      <c r="A34" s="3235"/>
      <c r="B34" s="3230"/>
      <c r="C34" s="1181" t="s">
        <v>1646</v>
      </c>
    </row>
    <row r="35" spans="1:3" ht="14.25">
      <c r="A35" s="3235"/>
      <c r="B35" s="3230"/>
      <c r="C35" s="1182" t="s">
        <v>1647</v>
      </c>
    </row>
    <row r="36" spans="1:3" ht="14.25">
      <c r="A36" s="3235"/>
      <c r="B36" s="3230"/>
      <c r="C36" s="1182" t="s">
        <v>1648</v>
      </c>
    </row>
    <row r="37" spans="1:3" ht="14.25">
      <c r="A37" s="3235"/>
      <c r="B37" s="3231"/>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8">
        <f ca="1">TODAY()</f>
        <v>43581</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f ca="1">IF(C11&lt;B2,"已过期",1120100036)</f>
        <v>1120100036</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f ca="1">IF(C14&lt;B2,"已过期",1120130020)</f>
        <v>1120130020</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40" t="s">
        <v>1926</v>
      </c>
      <c r="B25" s="3240"/>
      <c r="C25" s="3240"/>
      <c r="D25" s="3240"/>
      <c r="E25" s="3240"/>
      <c r="F25" s="3240"/>
      <c r="G25" s="3240"/>
    </row>
    <row r="26" spans="1:7" ht="20.25" customHeight="1">
      <c r="A26" s="3241" t="s">
        <v>1927</v>
      </c>
      <c r="B26" s="3241"/>
      <c r="C26" s="3241"/>
      <c r="D26" s="3241" t="s">
        <v>1928</v>
      </c>
      <c r="E26" s="3241"/>
      <c r="F26" s="3241"/>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8" t="s">
        <v>1679</v>
      </c>
      <c r="C15" s="1555"/>
    </row>
    <row r="16" spans="1:23">
      <c r="A16" s="8" t="s">
        <v>117</v>
      </c>
      <c r="B16" s="8" t="s">
        <v>1680</v>
      </c>
      <c r="C16" s="1555"/>
    </row>
    <row r="17" spans="1:3">
      <c r="A17" s="8" t="s">
        <v>118</v>
      </c>
      <c r="B17" s="8" t="s">
        <v>1681</v>
      </c>
      <c r="C17" s="1555"/>
    </row>
    <row r="18" spans="1:3">
      <c r="A18" s="8" t="s">
        <v>119</v>
      </c>
      <c r="B18" s="3111" t="s">
        <v>2951</v>
      </c>
      <c r="C18" s="1555"/>
    </row>
    <row r="19" spans="1:3">
      <c r="A19" s="8" t="s">
        <v>120</v>
      </c>
      <c r="B19" s="3111" t="s">
        <v>2959</v>
      </c>
      <c r="C19" s="1555"/>
    </row>
    <row r="20" spans="1:3">
      <c r="A20" s="8" t="s">
        <v>121</v>
      </c>
      <c r="B20" s="8" t="s">
        <v>3122</v>
      </c>
      <c r="C20" s="1555"/>
    </row>
    <row r="21" spans="1:3">
      <c r="A21" s="8" t="s">
        <v>122</v>
      </c>
      <c r="B21" s="8" t="s">
        <v>1639</v>
      </c>
      <c r="C21" s="1555"/>
    </row>
    <row r="22" spans="1:3">
      <c r="A22" s="8" t="s">
        <v>123</v>
      </c>
      <c r="B22" s="8" t="s">
        <v>1639</v>
      </c>
      <c r="C22" s="1555"/>
    </row>
    <row r="23" spans="1:3">
      <c r="A23" s="8" t="s">
        <v>124</v>
      </c>
      <c r="B23" s="8" t="s">
        <v>1639</v>
      </c>
      <c r="C23" s="1555"/>
    </row>
    <row r="24" spans="1:3">
      <c r="A24" s="8" t="s">
        <v>12</v>
      </c>
      <c r="B24" s="8" t="s">
        <v>1639</v>
      </c>
      <c r="C24" s="1555"/>
    </row>
    <row r="25" spans="1:3">
      <c r="A25" s="8" t="s">
        <v>125</v>
      </c>
      <c r="B25" s="8" t="s">
        <v>1639</v>
      </c>
      <c r="C25" s="1555"/>
    </row>
    <row r="26" spans="1:3">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鲁家村以东、大南曲、吴家村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42"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c r="D53" s="1768"/>
      <c r="E53" s="1768"/>
    </row>
    <row r="54" spans="1:5">
      <c r="A54" s="3242"/>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2"/>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2"/>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2"/>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2019-04-26T09:16:14Z</dcterms:modified>
</cp:coreProperties>
</file>