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65" yWindow="30" windowWidth="13860" windowHeight="12510" tabRatio="897"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区域分配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酒店收益法" sheetId="88" r:id="rId23"/>
    <sheet name="商业收益法" sheetId="15" r:id="rId24"/>
    <sheet name="收益法 (元)" sheetId="67" state="hidden" r:id="rId25"/>
    <sheet name="办公收益法" sheetId="84" r:id="rId26"/>
    <sheet name="地下车库收益法" sheetId="85"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酒店" sheetId="86" state="hidden" r:id="rId40"/>
    <sheet name="基准地价修正-70年公寓" sheetId="87" r:id="rId41"/>
    <sheet name="基准地价修正-商业"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r:id="rId51"/>
    <sheet name="商业租约" sheetId="81" r:id="rId52"/>
    <sheet name="办公租约" sheetId="82" r:id="rId53"/>
    <sheet name="租金案例" sheetId="89" r:id="rId54"/>
    <sheet name="酒店及大宗" sheetId="90" r:id="rId55"/>
  </sheets>
  <externalReferences>
    <externalReference r:id="rId56"/>
    <externalReference r:id="rId57"/>
  </externalReferences>
  <definedNames>
    <definedName name="_xlnm._FilterDatabase" localSheetId="52" hidden="1">办公租约!$A$1:$WVQ$1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办公收益法!$A$1:$F$43,办公收益法!$H$3:$M$29,办公收益法!$A$46:$F$71,办公收益法!$I$46:$N$65</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'基准地价修正-70年公寓'!$A$1:$J$44,'基准地价修正-70年公寓'!$A$47:$H$101,'基准地价修正-70年公寓'!$R$1:$V$16</definedName>
    <definedName name="_xlnm.Print_Area" localSheetId="39">'基准地价修正-酒店'!$A$1:$J$44,'基准地价修正-酒店'!$A$47:$H$101,'基准地价修正-酒店'!$R$1:$V$16</definedName>
    <definedName name="_xlnm.Print_Area" localSheetId="41">'基准地价修正-商业'!$A$1:$J$44,'基准地价修正-商业'!$A$47:$H$101,'基准地价修正-商业'!$R$1:$V$16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2">酒店收益法!$A$1:$F$43,酒店收益法!$H$3:$M$29,酒店收益法!$A$46:$F$71,酒店收益法!$I$46:$N$65</definedName>
    <definedName name="_xlnm.Print_Area" localSheetId="23">商业收益法!$A$1:$F$43,商业收益法!$H$3:$M$29,商业收益法!$A$46:$F$71,商业收益法!$I$46:$N$65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'基准地价修正-70年公寓'!$Q$19:$AD$19</definedName>
    <definedName name="季度" localSheetId="39">'基准地价修正-酒店'!$Q$19:$AD$19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43" i="80" l="1"/>
  <c r="P39" i="80"/>
  <c r="O39" i="80"/>
  <c r="P40" i="80"/>
  <c r="H42" i="82"/>
  <c r="H41" i="82"/>
  <c r="W25" i="1"/>
  <c r="Y20" i="1"/>
  <c r="Y21" i="1"/>
  <c r="Y22" i="1"/>
  <c r="Y23" i="1"/>
  <c r="Y19" i="1"/>
  <c r="W24" i="1"/>
  <c r="W23" i="1"/>
  <c r="W22" i="1"/>
  <c r="W21" i="1"/>
  <c r="W20" i="1"/>
  <c r="W19" i="1"/>
  <c r="V19" i="1"/>
  <c r="V23" i="1"/>
  <c r="V22" i="1"/>
  <c r="V21" i="1"/>
  <c r="V20" i="1"/>
  <c r="S38" i="80"/>
  <c r="S44" i="80"/>
  <c r="T40" i="80"/>
  <c r="S40" i="80"/>
  <c r="T39" i="80"/>
  <c r="T37" i="80"/>
  <c r="S37" i="80"/>
  <c r="T44" i="80"/>
  <c r="Y24" i="1" l="1"/>
  <c r="Z24" i="1" s="1"/>
  <c r="U6" i="1" s="1"/>
  <c r="S45" i="80"/>
  <c r="T48" i="80" l="1"/>
  <c r="S48" i="80"/>
  <c r="U48" i="80"/>
  <c r="R33" i="80"/>
  <c r="V24" i="1"/>
  <c r="D6" i="77"/>
  <c r="C36" i="77"/>
  <c r="C23" i="77"/>
  <c r="D23" i="77"/>
  <c r="N6" i="1" l="1"/>
  <c r="D3" i="4"/>
  <c r="AD40" i="79"/>
  <c r="AB40" i="79"/>
  <c r="AA40" i="79"/>
  <c r="Z40" i="79"/>
  <c r="W40" i="79"/>
  <c r="N40" i="79"/>
  <c r="M40" i="79"/>
  <c r="P40" i="79" s="1"/>
  <c r="L40" i="79"/>
  <c r="I40" i="79"/>
  <c r="AB39" i="79"/>
  <c r="AA39" i="79"/>
  <c r="Z39" i="79"/>
  <c r="N39" i="79"/>
  <c r="U39" i="79" s="1"/>
  <c r="M39" i="79"/>
  <c r="T39" i="79" s="1"/>
  <c r="W39" i="79" s="1"/>
  <c r="L39" i="79"/>
  <c r="S39" i="79" s="1"/>
  <c r="I39" i="79"/>
  <c r="AD39" i="79" s="1"/>
  <c r="AB38" i="79"/>
  <c r="AA38" i="79"/>
  <c r="Z38" i="79"/>
  <c r="P38" i="79"/>
  <c r="N38" i="79"/>
  <c r="U38" i="79" s="1"/>
  <c r="M38" i="79"/>
  <c r="T38" i="79" s="1"/>
  <c r="W38" i="79" s="1"/>
  <c r="L38" i="79"/>
  <c r="S38" i="79" s="1"/>
  <c r="I38" i="79"/>
  <c r="AD38" i="79" s="1"/>
  <c r="AB37" i="79"/>
  <c r="AA37" i="79"/>
  <c r="Z37" i="79"/>
  <c r="P37" i="79"/>
  <c r="N37" i="79"/>
  <c r="U37" i="79" s="1"/>
  <c r="M37" i="79"/>
  <c r="T37" i="79" s="1"/>
  <c r="W37" i="79" s="1"/>
  <c r="L37" i="79"/>
  <c r="S37" i="79" s="1"/>
  <c r="I37" i="79"/>
  <c r="AD37" i="79" s="1"/>
  <c r="AB36" i="79"/>
  <c r="AA36" i="79"/>
  <c r="Z36" i="79"/>
  <c r="S36" i="79"/>
  <c r="N36" i="79"/>
  <c r="U36" i="79" s="1"/>
  <c r="M36" i="79"/>
  <c r="P36" i="79" s="1"/>
  <c r="L36" i="79"/>
  <c r="I36" i="79"/>
  <c r="AD36" i="79" s="1"/>
  <c r="AB35" i="79"/>
  <c r="AA35" i="79"/>
  <c r="Z35" i="79"/>
  <c r="N35" i="79"/>
  <c r="U35" i="79" s="1"/>
  <c r="M35" i="79"/>
  <c r="T35" i="79" s="1"/>
  <c r="W35" i="79" s="1"/>
  <c r="L35" i="79"/>
  <c r="S35" i="79" s="1"/>
  <c r="I35" i="79"/>
  <c r="AD35" i="79" s="1"/>
  <c r="AB34" i="79"/>
  <c r="AA34" i="79"/>
  <c r="Z34" i="79"/>
  <c r="U34" i="79"/>
  <c r="P34" i="79"/>
  <c r="N34" i="79"/>
  <c r="M34" i="79"/>
  <c r="T34" i="79" s="1"/>
  <c r="W34" i="79" s="1"/>
  <c r="L34" i="79"/>
  <c r="S34" i="79" s="1"/>
  <c r="I34" i="79"/>
  <c r="AD34" i="79" s="1"/>
  <c r="AB33" i="79"/>
  <c r="AA33" i="79"/>
  <c r="Z33" i="79"/>
  <c r="Z25" i="79" s="1"/>
  <c r="P33" i="79"/>
  <c r="N33" i="79"/>
  <c r="U33" i="79" s="1"/>
  <c r="M33" i="79"/>
  <c r="T33" i="79" s="1"/>
  <c r="W33" i="79" s="1"/>
  <c r="L33" i="79"/>
  <c r="S33" i="79" s="1"/>
  <c r="I33" i="79"/>
  <c r="AD33" i="79" s="1"/>
  <c r="S32" i="79"/>
  <c r="N32" i="79"/>
  <c r="U32" i="79" s="1"/>
  <c r="M32" i="79"/>
  <c r="P32" i="79" s="1"/>
  <c r="L32" i="79"/>
  <c r="I32" i="79"/>
  <c r="N31" i="79"/>
  <c r="U31" i="79" s="1"/>
  <c r="M31" i="79"/>
  <c r="P31" i="79" s="1"/>
  <c r="L31" i="79"/>
  <c r="S31" i="79" s="1"/>
  <c r="I31" i="79"/>
  <c r="P30" i="79"/>
  <c r="N30" i="79"/>
  <c r="U30" i="79" s="1"/>
  <c r="M30" i="79"/>
  <c r="T30" i="79" s="1"/>
  <c r="W30" i="79" s="1"/>
  <c r="L30" i="79"/>
  <c r="S30" i="79" s="1"/>
  <c r="I30" i="79"/>
  <c r="P29" i="79"/>
  <c r="N29" i="79"/>
  <c r="U29" i="79" s="1"/>
  <c r="M29" i="79"/>
  <c r="T29" i="79" s="1"/>
  <c r="W29" i="79" s="1"/>
  <c r="L29" i="79"/>
  <c r="S29" i="79" s="1"/>
  <c r="I29" i="79"/>
  <c r="S28" i="79"/>
  <c r="N28" i="79"/>
  <c r="U28" i="79" s="1"/>
  <c r="M28" i="79"/>
  <c r="P28" i="79" s="1"/>
  <c r="L28" i="79"/>
  <c r="S25" i="79" s="1"/>
  <c r="I28" i="79"/>
  <c r="AB27" i="79"/>
  <c r="AA27" i="79"/>
  <c r="AA25" i="79" s="1"/>
  <c r="AD25" i="79" s="1"/>
  <c r="Z27" i="79"/>
  <c r="T27" i="79"/>
  <c r="W27" i="79" s="1"/>
  <c r="N27" i="79"/>
  <c r="U27" i="79" s="1"/>
  <c r="M27" i="79"/>
  <c r="T25" i="79" s="1"/>
  <c r="W25" i="79" s="1"/>
  <c r="L27" i="79"/>
  <c r="S27" i="79" s="1"/>
  <c r="I27" i="79"/>
  <c r="AD27" i="79" s="1"/>
  <c r="AB25" i="79"/>
  <c r="U25" i="79"/>
  <c r="N25" i="79"/>
  <c r="I25" i="79"/>
  <c r="G25" i="79"/>
  <c r="F25" i="79"/>
  <c r="E25" i="79"/>
  <c r="AD18" i="79"/>
  <c r="AC18" i="79"/>
  <c r="AB18" i="79"/>
  <c r="AA18" i="79"/>
  <c r="Z18" i="79"/>
  <c r="Y18" i="79"/>
  <c r="W18" i="79"/>
  <c r="O18" i="79"/>
  <c r="N18" i="79"/>
  <c r="M18" i="79"/>
  <c r="P18" i="79" s="1"/>
  <c r="L18" i="79"/>
  <c r="K18" i="79"/>
  <c r="I18" i="79"/>
  <c r="AC17" i="79"/>
  <c r="AB17" i="79"/>
  <c r="AA17" i="79"/>
  <c r="AD17" i="79" s="1"/>
  <c r="Z17" i="79"/>
  <c r="Y17" i="79"/>
  <c r="V17" i="79"/>
  <c r="S17" i="79"/>
  <c r="R17" i="79"/>
  <c r="O17" i="79"/>
  <c r="N17" i="79"/>
  <c r="U17" i="79" s="1"/>
  <c r="M17" i="79"/>
  <c r="P17" i="79" s="1"/>
  <c r="L17" i="79"/>
  <c r="K17" i="79"/>
  <c r="I17" i="79"/>
  <c r="AD16" i="79"/>
  <c r="AC16" i="79"/>
  <c r="AB16" i="79"/>
  <c r="AA16" i="79"/>
  <c r="Z16" i="79"/>
  <c r="Y16" i="79"/>
  <c r="V16" i="79"/>
  <c r="U16" i="79"/>
  <c r="R16" i="79"/>
  <c r="P16" i="79"/>
  <c r="O16" i="79"/>
  <c r="N16" i="79"/>
  <c r="M16" i="79"/>
  <c r="T16" i="79" s="1"/>
  <c r="W16" i="79" s="1"/>
  <c r="L16" i="79"/>
  <c r="S16" i="79" s="1"/>
  <c r="K16" i="79"/>
  <c r="I16" i="79"/>
  <c r="AD15" i="79"/>
  <c r="AC15" i="79"/>
  <c r="AB15" i="79"/>
  <c r="AA15" i="79"/>
  <c r="Z15" i="79"/>
  <c r="Y15" i="79"/>
  <c r="U15" i="79"/>
  <c r="T15" i="79"/>
  <c r="W15" i="79" s="1"/>
  <c r="P15" i="79"/>
  <c r="O15" i="79"/>
  <c r="V15" i="79" s="1"/>
  <c r="N15" i="79"/>
  <c r="M15" i="79"/>
  <c r="L15" i="79"/>
  <c r="S15" i="79" s="1"/>
  <c r="K15" i="79"/>
  <c r="R15" i="79" s="1"/>
  <c r="I15" i="79"/>
  <c r="AD14" i="79"/>
  <c r="AC14" i="79"/>
  <c r="AB14" i="79"/>
  <c r="AA14" i="79"/>
  <c r="Z14" i="79"/>
  <c r="Y14" i="79"/>
  <c r="S14" i="79"/>
  <c r="P14" i="79"/>
  <c r="O14" i="79"/>
  <c r="V14" i="79" s="1"/>
  <c r="N14" i="79"/>
  <c r="U14" i="79" s="1"/>
  <c r="M14" i="79"/>
  <c r="L14" i="79"/>
  <c r="K14" i="79"/>
  <c r="R14" i="79" s="1"/>
  <c r="I14" i="79"/>
  <c r="AC13" i="79"/>
  <c r="AB13" i="79"/>
  <c r="AA13" i="79"/>
  <c r="AD13" i="79" s="1"/>
  <c r="Z13" i="79"/>
  <c r="Y13" i="79"/>
  <c r="V13" i="79"/>
  <c r="R13" i="79"/>
  <c r="O13" i="79"/>
  <c r="N13" i="79"/>
  <c r="U13" i="79" s="1"/>
  <c r="M13" i="79"/>
  <c r="P13" i="79" s="1"/>
  <c r="L13" i="79"/>
  <c r="K13" i="79"/>
  <c r="I13" i="79"/>
  <c r="AD12" i="79"/>
  <c r="AC12" i="79"/>
  <c r="AB12" i="79"/>
  <c r="AA12" i="79"/>
  <c r="Z12" i="79"/>
  <c r="Y12" i="79"/>
  <c r="U12" i="79"/>
  <c r="P12" i="79"/>
  <c r="O12" i="79"/>
  <c r="N12" i="79"/>
  <c r="M12" i="79"/>
  <c r="T12" i="79" s="1"/>
  <c r="W12" i="79" s="1"/>
  <c r="L12" i="79"/>
  <c r="S12" i="79" s="1"/>
  <c r="K12" i="79"/>
  <c r="I12" i="79"/>
  <c r="AD11" i="79"/>
  <c r="AC11" i="79"/>
  <c r="AB11" i="79"/>
  <c r="AA11" i="79"/>
  <c r="Z11" i="79"/>
  <c r="Z3" i="79" s="1"/>
  <c r="Y11" i="79"/>
  <c r="T11" i="79"/>
  <c r="W11" i="79" s="1"/>
  <c r="P11" i="79"/>
  <c r="O11" i="79"/>
  <c r="V11" i="79" s="1"/>
  <c r="N11" i="79"/>
  <c r="M11" i="79"/>
  <c r="L11" i="79"/>
  <c r="S11" i="79" s="1"/>
  <c r="K11" i="79"/>
  <c r="R11" i="79" s="1"/>
  <c r="I11" i="79"/>
  <c r="U10" i="79"/>
  <c r="P10" i="79"/>
  <c r="O10" i="79"/>
  <c r="N10" i="79"/>
  <c r="M10" i="79"/>
  <c r="T10" i="79" s="1"/>
  <c r="W10" i="79" s="1"/>
  <c r="L10" i="79"/>
  <c r="S5" i="79" s="1"/>
  <c r="K10" i="79"/>
  <c r="I10" i="79"/>
  <c r="V9" i="79"/>
  <c r="R9" i="79"/>
  <c r="O9" i="79"/>
  <c r="N9" i="79"/>
  <c r="U9" i="79" s="1"/>
  <c r="M9" i="79"/>
  <c r="P9" i="79" s="1"/>
  <c r="L9" i="79"/>
  <c r="K9" i="79"/>
  <c r="I9" i="79"/>
  <c r="P8" i="79"/>
  <c r="O8" i="79"/>
  <c r="V8" i="79" s="1"/>
  <c r="N8" i="79"/>
  <c r="U8" i="79" s="1"/>
  <c r="M8" i="79"/>
  <c r="L8" i="79"/>
  <c r="K8" i="79"/>
  <c r="R8" i="79" s="1"/>
  <c r="I8" i="79"/>
  <c r="T7" i="79"/>
  <c r="W7" i="79" s="1"/>
  <c r="P7" i="79"/>
  <c r="O7" i="79"/>
  <c r="V7" i="79" s="1"/>
  <c r="N7" i="79"/>
  <c r="M7" i="79"/>
  <c r="L7" i="79"/>
  <c r="S7" i="79" s="1"/>
  <c r="K7" i="79"/>
  <c r="R6" i="79" s="1"/>
  <c r="I7" i="79"/>
  <c r="U6" i="79"/>
  <c r="P6" i="79"/>
  <c r="O6" i="79"/>
  <c r="N6" i="79"/>
  <c r="M6" i="79"/>
  <c r="T6" i="79" s="1"/>
  <c r="W6" i="79" s="1"/>
  <c r="L6" i="79"/>
  <c r="L3" i="79" s="1"/>
  <c r="K6" i="79"/>
  <c r="AD5" i="79"/>
  <c r="AC5" i="79"/>
  <c r="AC3" i="79" s="1"/>
  <c r="AB5" i="79"/>
  <c r="AB3" i="79" s="1"/>
  <c r="AA5" i="79"/>
  <c r="Z5" i="79"/>
  <c r="Y5" i="79"/>
  <c r="Y3" i="79" s="1"/>
  <c r="O5" i="79"/>
  <c r="V5" i="79" s="1"/>
  <c r="N5" i="79"/>
  <c r="U3" i="79" s="1"/>
  <c r="M5" i="79"/>
  <c r="P5" i="79" s="1"/>
  <c r="L5" i="79"/>
  <c r="K5" i="79"/>
  <c r="R5" i="79" s="1"/>
  <c r="I5" i="79"/>
  <c r="AA3" i="79"/>
  <c r="AD3" i="79" s="1"/>
  <c r="V3" i="79"/>
  <c r="R3" i="79"/>
  <c r="M3" i="79"/>
  <c r="P3" i="79" s="1"/>
  <c r="I3" i="79"/>
  <c r="H3" i="79"/>
  <c r="G3" i="79"/>
  <c r="F3" i="79"/>
  <c r="E3" i="79"/>
  <c r="D3" i="79"/>
  <c r="S8" i="79" l="1"/>
  <c r="T5" i="79"/>
  <c r="W5" i="79" s="1"/>
  <c r="V6" i="79"/>
  <c r="T8" i="79"/>
  <c r="W8" i="79" s="1"/>
  <c r="V10" i="79"/>
  <c r="U11" i="79"/>
  <c r="R12" i="79"/>
  <c r="V12" i="79"/>
  <c r="S13" i="79"/>
  <c r="T14" i="79"/>
  <c r="W14" i="79" s="1"/>
  <c r="T28" i="79"/>
  <c r="W28" i="79" s="1"/>
  <c r="T32" i="79"/>
  <c r="W32" i="79" s="1"/>
  <c r="T36" i="79"/>
  <c r="W36" i="79" s="1"/>
  <c r="T31" i="79"/>
  <c r="W31" i="79" s="1"/>
  <c r="S3" i="79"/>
  <c r="U7" i="79"/>
  <c r="R10" i="79"/>
  <c r="K3" i="79"/>
  <c r="O3" i="79"/>
  <c r="T3" i="79"/>
  <c r="W3" i="79" s="1"/>
  <c r="U5" i="79"/>
  <c r="S6" i="79"/>
  <c r="R7" i="79"/>
  <c r="T9" i="79"/>
  <c r="W9" i="79" s="1"/>
  <c r="S10" i="79"/>
  <c r="T13" i="79"/>
  <c r="W13" i="79" s="1"/>
  <c r="T17" i="79"/>
  <c r="W17" i="79" s="1"/>
  <c r="L25" i="79"/>
  <c r="P27" i="79"/>
  <c r="P35" i="79"/>
  <c r="P39" i="79"/>
  <c r="N3" i="79"/>
  <c r="S9" i="79"/>
  <c r="M25" i="79"/>
  <c r="P25" i="79" s="1"/>
  <c r="R69" i="80" l="1"/>
  <c r="S69" i="80"/>
  <c r="T69" i="80"/>
  <c r="Q69" i="80"/>
  <c r="X15" i="80" l="1"/>
  <c r="X17" i="80"/>
  <c r="X16" i="80"/>
  <c r="T43" i="82" l="1"/>
  <c r="T42" i="82"/>
  <c r="T38" i="82"/>
  <c r="T35" i="82"/>
  <c r="T34" i="82"/>
  <c r="T33" i="82"/>
  <c r="T29" i="82"/>
  <c r="T21" i="82"/>
  <c r="T20" i="82"/>
  <c r="T19" i="82"/>
  <c r="T13" i="82"/>
  <c r="T15" i="82"/>
  <c r="T14" i="82"/>
  <c r="T12" i="82"/>
  <c r="T11" i="82"/>
  <c r="T8" i="82"/>
  <c r="T10" i="82"/>
  <c r="J71" i="81"/>
  <c r="K26" i="81"/>
  <c r="J69" i="81"/>
  <c r="K12" i="81"/>
  <c r="K13" i="81"/>
  <c r="K10" i="81"/>
  <c r="K5" i="81"/>
  <c r="K3" i="81"/>
  <c r="O11" i="77" l="1"/>
  <c r="AH9" i="1"/>
  <c r="Q39" i="80"/>
  <c r="N75" i="77"/>
  <c r="O75" i="77"/>
  <c r="M75" i="77"/>
  <c r="N74" i="77"/>
  <c r="O74" i="77"/>
  <c r="O76" i="77" s="1"/>
  <c r="O77" i="77" s="1"/>
  <c r="M74" i="77"/>
  <c r="N73" i="77"/>
  <c r="N76" i="77" s="1"/>
  <c r="N77" i="77" s="1"/>
  <c r="O73" i="77"/>
  <c r="M73" i="77"/>
  <c r="M76" i="77" s="1"/>
  <c r="M77" i="77" s="1"/>
  <c r="AL9" i="1" l="1"/>
  <c r="AL8" i="1"/>
  <c r="AL7" i="1"/>
  <c r="U52" i="77"/>
  <c r="U54" i="77" s="1"/>
  <c r="U53" i="77"/>
  <c r="R52" i="77"/>
  <c r="S52" i="77"/>
  <c r="S54" i="77" s="1"/>
  <c r="T52" i="77"/>
  <c r="R53" i="77"/>
  <c r="R54" i="77" s="1"/>
  <c r="S53" i="77"/>
  <c r="T53" i="77"/>
  <c r="T54" i="77" s="1"/>
  <c r="Q53" i="77"/>
  <c r="Q52" i="77"/>
  <c r="Q54" i="77" s="1"/>
  <c r="G71" i="81" l="1"/>
  <c r="P54" i="77"/>
  <c r="R13" i="77" l="1"/>
  <c r="R7" i="77"/>
  <c r="D45" i="77" l="1"/>
  <c r="E45" i="77" s="1"/>
  <c r="C45" i="77"/>
  <c r="C44" i="77"/>
  <c r="C46" i="77" s="1"/>
  <c r="D44" i="77"/>
  <c r="B45" i="77"/>
  <c r="T62" i="80"/>
  <c r="S62" i="80"/>
  <c r="R62" i="80"/>
  <c r="R58" i="80"/>
  <c r="S58" i="80"/>
  <c r="T58" i="80"/>
  <c r="U52" i="80"/>
  <c r="Q62" i="80"/>
  <c r="Q58" i="80"/>
  <c r="E44" i="77" l="1"/>
  <c r="D46" i="77"/>
  <c r="E46" i="77" s="1"/>
  <c r="M54" i="77"/>
  <c r="N54" i="77"/>
  <c r="O54" i="77"/>
  <c r="L54" i="77" l="1"/>
  <c r="E34" i="77"/>
  <c r="D34" i="77"/>
  <c r="Q72" i="88"/>
  <c r="F60" i="88"/>
  <c r="Q59" i="88"/>
  <c r="K59" i="88"/>
  <c r="P74" i="88" s="1"/>
  <c r="F59" i="88"/>
  <c r="Q58" i="88"/>
  <c r="Q51" i="88"/>
  <c r="J50" i="88"/>
  <c r="M47" i="88"/>
  <c r="D46" i="88"/>
  <c r="F34" i="88"/>
  <c r="F62" i="88" s="1"/>
  <c r="F33" i="88"/>
  <c r="F61" i="88" s="1"/>
  <c r="F32" i="88"/>
  <c r="F31" i="88"/>
  <c r="F28" i="88"/>
  <c r="F23" i="88"/>
  <c r="F21" i="88"/>
  <c r="M20" i="88"/>
  <c r="F20" i="88"/>
  <c r="M19" i="88"/>
  <c r="M18" i="88"/>
  <c r="F18" i="88"/>
  <c r="M17" i="88"/>
  <c r="F17" i="88"/>
  <c r="F15" i="88"/>
  <c r="N9" i="1"/>
  <c r="N8" i="1"/>
  <c r="N7" i="1"/>
  <c r="D33" i="87"/>
  <c r="D9" i="68" s="1"/>
  <c r="D42" i="87"/>
  <c r="U37" i="80"/>
  <c r="U5" i="43"/>
  <c r="U4" i="43"/>
  <c r="U3" i="43"/>
  <c r="U2" i="43"/>
  <c r="D33" i="43" s="1"/>
  <c r="D37" i="43"/>
  <c r="S13" i="3"/>
  <c r="Q13" i="3"/>
  <c r="O13" i="3"/>
  <c r="M13" i="3"/>
  <c r="K13" i="3"/>
  <c r="I13" i="3"/>
  <c r="G22" i="6"/>
  <c r="G21" i="6"/>
  <c r="F21" i="6"/>
  <c r="F20" i="6"/>
  <c r="F19" i="6"/>
  <c r="G19" i="6"/>
  <c r="D23" i="88" l="1"/>
  <c r="D22" i="88"/>
  <c r="D24" i="88"/>
  <c r="P61" i="88"/>
  <c r="T46" i="80"/>
  <c r="T52" i="80" s="1"/>
  <c r="S46" i="80"/>
  <c r="S52" i="80"/>
  <c r="T51" i="80"/>
  <c r="S51" i="80"/>
  <c r="U40" i="80"/>
  <c r="T36" i="80"/>
  <c r="I35" i="82" l="1"/>
  <c r="I37" i="82"/>
  <c r="I38" i="82"/>
  <c r="I11" i="82"/>
  <c r="I32" i="82"/>
  <c r="E46" i="82"/>
  <c r="I19" i="82"/>
  <c r="I15" i="82"/>
  <c r="I14" i="82"/>
  <c r="I13" i="82"/>
  <c r="I12" i="82"/>
  <c r="I10" i="82"/>
  <c r="I8" i="82"/>
  <c r="V29" i="82"/>
  <c r="X8" i="82"/>
  <c r="W8" i="82" s="1"/>
  <c r="V8" i="82" s="1"/>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N101" i="87"/>
  <c r="M101" i="87"/>
  <c r="K101" i="87"/>
  <c r="J101" i="87" s="1"/>
  <c r="D101" i="87"/>
  <c r="B101" i="87"/>
  <c r="N100" i="87"/>
  <c r="M100" i="87"/>
  <c r="K100" i="87"/>
  <c r="J100" i="87" s="1"/>
  <c r="D100" i="87"/>
  <c r="B100" i="87"/>
  <c r="N99" i="87"/>
  <c r="M99" i="87"/>
  <c r="K99" i="87"/>
  <c r="J99" i="87" s="1"/>
  <c r="D99" i="87"/>
  <c r="B99" i="87"/>
  <c r="N98" i="87"/>
  <c r="M98" i="87"/>
  <c r="K98" i="87"/>
  <c r="J98" i="87" s="1"/>
  <c r="D98" i="87"/>
  <c r="M97" i="87"/>
  <c r="N97" i="87" s="1"/>
  <c r="K97" i="87"/>
  <c r="J97" i="87"/>
  <c r="D97" i="87"/>
  <c r="B97" i="87"/>
  <c r="N96" i="87"/>
  <c r="M96" i="87"/>
  <c r="K96" i="87"/>
  <c r="J96" i="87" s="1"/>
  <c r="D96" i="87"/>
  <c r="M95" i="87"/>
  <c r="N95" i="87" s="1"/>
  <c r="K95" i="87"/>
  <c r="J95" i="87" s="1"/>
  <c r="D95" i="87"/>
  <c r="B95" i="87"/>
  <c r="N94" i="87"/>
  <c r="M94" i="87"/>
  <c r="K94" i="87"/>
  <c r="J94" i="87" s="1"/>
  <c r="D94" i="87"/>
  <c r="B94" i="87"/>
  <c r="M93" i="87"/>
  <c r="N93" i="87" s="1"/>
  <c r="K93" i="87"/>
  <c r="J93" i="87"/>
  <c r="F93" i="87"/>
  <c r="H101" i="87" s="1"/>
  <c r="D93" i="87"/>
  <c r="E93" i="87" s="1"/>
  <c r="B91" i="87" s="1"/>
  <c r="N90" i="87"/>
  <c r="M90" i="87"/>
  <c r="K90" i="87"/>
  <c r="J90" i="87" s="1"/>
  <c r="D90" i="87"/>
  <c r="B90" i="87"/>
  <c r="M89" i="87"/>
  <c r="N89" i="87" s="1"/>
  <c r="K89" i="87"/>
  <c r="J89" i="87"/>
  <c r="D89" i="87"/>
  <c r="M88" i="87"/>
  <c r="N88" i="87" s="1"/>
  <c r="K88" i="87"/>
  <c r="J88" i="87"/>
  <c r="D88" i="87"/>
  <c r="B88" i="87"/>
  <c r="N87" i="87"/>
  <c r="M87" i="87"/>
  <c r="K87" i="87"/>
  <c r="J87" i="87" s="1"/>
  <c r="D87" i="87"/>
  <c r="B87" i="87"/>
  <c r="M86" i="87"/>
  <c r="N86" i="87" s="1"/>
  <c r="K86" i="87"/>
  <c r="J86" i="87"/>
  <c r="D86" i="87"/>
  <c r="B86" i="87"/>
  <c r="N85" i="87"/>
  <c r="M85" i="87"/>
  <c r="K85" i="87"/>
  <c r="J85" i="87" s="1"/>
  <c r="D85" i="87"/>
  <c r="B85" i="87"/>
  <c r="M84" i="87"/>
  <c r="N84" i="87" s="1"/>
  <c r="K84" i="87"/>
  <c r="J84" i="87"/>
  <c r="D84" i="87"/>
  <c r="B84" i="87"/>
  <c r="N83" i="87"/>
  <c r="M83" i="87"/>
  <c r="K83" i="87"/>
  <c r="J83" i="87" s="1"/>
  <c r="F83" i="87"/>
  <c r="H89" i="87" s="1"/>
  <c r="E83" i="87"/>
  <c r="B81" i="87" s="1"/>
  <c r="D83" i="87"/>
  <c r="B83" i="87"/>
  <c r="M80" i="87"/>
  <c r="N80" i="87" s="1"/>
  <c r="K80" i="87"/>
  <c r="J80" i="87" s="1"/>
  <c r="D80" i="87"/>
  <c r="M79" i="87"/>
  <c r="N79" i="87" s="1"/>
  <c r="K79" i="87"/>
  <c r="J79" i="87" s="1"/>
  <c r="B79" i="87"/>
  <c r="M78" i="87"/>
  <c r="N78" i="87" s="1"/>
  <c r="K78" i="87"/>
  <c r="J78" i="87" s="1"/>
  <c r="M77" i="87"/>
  <c r="N77" i="87" s="1"/>
  <c r="K77" i="87"/>
  <c r="J77" i="87"/>
  <c r="D77" i="87" s="1"/>
  <c r="B77" i="87"/>
  <c r="M76" i="87"/>
  <c r="N76" i="87" s="1"/>
  <c r="K76" i="87"/>
  <c r="J76" i="87" s="1"/>
  <c r="D76" i="87"/>
  <c r="B76" i="87"/>
  <c r="M75" i="87"/>
  <c r="N75" i="87" s="1"/>
  <c r="K75" i="87"/>
  <c r="J75" i="87"/>
  <c r="B75" i="87"/>
  <c r="M74" i="87"/>
  <c r="N74" i="87" s="1"/>
  <c r="K74" i="87"/>
  <c r="J74" i="87" s="1"/>
  <c r="D74" i="87"/>
  <c r="B74" i="87"/>
  <c r="M73" i="87"/>
  <c r="N73" i="87" s="1"/>
  <c r="K73" i="87"/>
  <c r="J73" i="87"/>
  <c r="D73" i="87"/>
  <c r="B73" i="87"/>
  <c r="M72" i="87"/>
  <c r="N72" i="87" s="1"/>
  <c r="K72" i="87"/>
  <c r="J72" i="87" s="1"/>
  <c r="D72" i="87"/>
  <c r="B72" i="87"/>
  <c r="N69" i="87"/>
  <c r="M69" i="87"/>
  <c r="K69" i="87"/>
  <c r="J69" i="87" s="1"/>
  <c r="D69" i="87"/>
  <c r="B69" i="87"/>
  <c r="M68" i="87"/>
  <c r="N68" i="87" s="1"/>
  <c r="K68" i="87"/>
  <c r="J68" i="87"/>
  <c r="D68" i="87"/>
  <c r="B68" i="87"/>
  <c r="N67" i="87"/>
  <c r="M67" i="87"/>
  <c r="K67" i="87"/>
  <c r="J67" i="87" s="1"/>
  <c r="D67" i="87"/>
  <c r="B67" i="87"/>
  <c r="M66" i="87"/>
  <c r="N66" i="87" s="1"/>
  <c r="K66" i="87"/>
  <c r="J66" i="87"/>
  <c r="D66" i="87"/>
  <c r="M65" i="87"/>
  <c r="N65" i="87" s="1"/>
  <c r="K65" i="87"/>
  <c r="J65" i="87"/>
  <c r="D65" i="87"/>
  <c r="B65" i="87"/>
  <c r="N64" i="87"/>
  <c r="M64" i="87"/>
  <c r="K64" i="87"/>
  <c r="J64" i="87" s="1"/>
  <c r="D64" i="87"/>
  <c r="M63" i="87"/>
  <c r="N63" i="87" s="1"/>
  <c r="K63" i="87"/>
  <c r="J63" i="87"/>
  <c r="D63" i="87"/>
  <c r="B63" i="87"/>
  <c r="N62" i="87"/>
  <c r="M62" i="87"/>
  <c r="K62" i="87"/>
  <c r="J62" i="87" s="1"/>
  <c r="D62" i="87"/>
  <c r="B62" i="87"/>
  <c r="M61" i="87"/>
  <c r="N61" i="87" s="1"/>
  <c r="K61" i="87"/>
  <c r="J61" i="87"/>
  <c r="F61" i="87"/>
  <c r="H64" i="87" s="1"/>
  <c r="D61" i="87"/>
  <c r="E61" i="87" s="1"/>
  <c r="B61" i="87"/>
  <c r="B59" i="87"/>
  <c r="B58" i="87"/>
  <c r="B57" i="87"/>
  <c r="B56" i="87"/>
  <c r="B54" i="87"/>
  <c r="B52" i="87"/>
  <c r="B51" i="87"/>
  <c r="B50" i="87"/>
  <c r="H41" i="87"/>
  <c r="H40" i="87"/>
  <c r="H39" i="87"/>
  <c r="H38" i="87"/>
  <c r="H37" i="87"/>
  <c r="Q32" i="87"/>
  <c r="O32" i="87"/>
  <c r="M32" i="87"/>
  <c r="J24" i="87"/>
  <c r="G24" i="87"/>
  <c r="E44" i="87" s="1"/>
  <c r="E24" i="87"/>
  <c r="P32" i="87" s="1"/>
  <c r="M23" i="87"/>
  <c r="I23" i="87"/>
  <c r="C22" i="87"/>
  <c r="C20" i="87"/>
  <c r="G18"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5" i="87" s="1"/>
  <c r="G2" i="87"/>
  <c r="K21" i="87" s="1"/>
  <c r="M1" i="87"/>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N96" i="86"/>
  <c r="M96" i="86"/>
  <c r="K96" i="86"/>
  <c r="J96" i="86" s="1"/>
  <c r="D96" i="86"/>
  <c r="M95" i="86"/>
  <c r="N95" i="86" s="1"/>
  <c r="K95" i="86"/>
  <c r="J95" i="86"/>
  <c r="D95" i="86"/>
  <c r="B95" i="86"/>
  <c r="N94" i="86"/>
  <c r="M94" i="86"/>
  <c r="K94" i="86"/>
  <c r="J94" i="86" s="1"/>
  <c r="D94" i="86"/>
  <c r="B94" i="86"/>
  <c r="M93" i="86"/>
  <c r="N93" i="86" s="1"/>
  <c r="K93" i="86"/>
  <c r="J93" i="86"/>
  <c r="F93" i="86"/>
  <c r="H101" i="86" s="1"/>
  <c r="D93" i="86"/>
  <c r="E93" i="86" s="1"/>
  <c r="B91" i="86" s="1"/>
  <c r="N90" i="86"/>
  <c r="M90" i="86"/>
  <c r="K90" i="86"/>
  <c r="J90" i="86" s="1"/>
  <c r="D90" i="86"/>
  <c r="B90" i="86"/>
  <c r="M89" i="86"/>
  <c r="N89" i="86" s="1"/>
  <c r="K89" i="86"/>
  <c r="J89" i="86"/>
  <c r="D89" i="86"/>
  <c r="M88" i="86"/>
  <c r="N88" i="86" s="1"/>
  <c r="K88" i="86"/>
  <c r="J88" i="86"/>
  <c r="D88" i="86"/>
  <c r="B88" i="86"/>
  <c r="N87" i="86"/>
  <c r="M87" i="86"/>
  <c r="K87" i="86"/>
  <c r="J87" i="86" s="1"/>
  <c r="D87" i="86"/>
  <c r="B87" i="86"/>
  <c r="N86" i="86"/>
  <c r="M86" i="86"/>
  <c r="K86" i="86"/>
  <c r="J86" i="86" s="1"/>
  <c r="D86" i="86"/>
  <c r="B86" i="86"/>
  <c r="M85" i="86"/>
  <c r="N85" i="86" s="1"/>
  <c r="K85" i="86"/>
  <c r="J85" i="86"/>
  <c r="D85" i="86"/>
  <c r="B85" i="86"/>
  <c r="N84" i="86"/>
  <c r="M84" i="86"/>
  <c r="K84" i="86"/>
  <c r="J84" i="86" s="1"/>
  <c r="D84" i="86"/>
  <c r="B84" i="86"/>
  <c r="M83" i="86"/>
  <c r="N83" i="86" s="1"/>
  <c r="K83" i="86"/>
  <c r="J83" i="86"/>
  <c r="F83" i="86"/>
  <c r="D83" i="86"/>
  <c r="E83" i="86" s="1"/>
  <c r="B83" i="86"/>
  <c r="B81" i="86"/>
  <c r="M80" i="86"/>
  <c r="N80" i="86" s="1"/>
  <c r="K80" i="86"/>
  <c r="J80" i="86"/>
  <c r="D80" i="86"/>
  <c r="M79" i="86"/>
  <c r="N79" i="86" s="1"/>
  <c r="K79" i="86"/>
  <c r="J79" i="86"/>
  <c r="D79" i="86"/>
  <c r="B79" i="86"/>
  <c r="N78" i="86"/>
  <c r="M78" i="86"/>
  <c r="K78" i="86"/>
  <c r="J78" i="86" s="1"/>
  <c r="D78" i="86"/>
  <c r="N77" i="86"/>
  <c r="M77" i="86"/>
  <c r="K77" i="86"/>
  <c r="J77" i="86" s="1"/>
  <c r="D77" i="86"/>
  <c r="B77" i="86"/>
  <c r="M76" i="86"/>
  <c r="N76" i="86" s="1"/>
  <c r="K76" i="86"/>
  <c r="J76" i="86"/>
  <c r="D76" i="86"/>
  <c r="B76" i="86"/>
  <c r="N75" i="86"/>
  <c r="M75" i="86"/>
  <c r="K75" i="86"/>
  <c r="J75" i="86" s="1"/>
  <c r="D75" i="86"/>
  <c r="B75" i="86"/>
  <c r="M74" i="86"/>
  <c r="N74" i="86" s="1"/>
  <c r="K74" i="86"/>
  <c r="J74" i="86"/>
  <c r="D74" i="86"/>
  <c r="B74" i="86"/>
  <c r="N73" i="86"/>
  <c r="M73" i="86"/>
  <c r="K73" i="86"/>
  <c r="J73" i="86" s="1"/>
  <c r="D73" i="86"/>
  <c r="B73" i="86"/>
  <c r="M72" i="86"/>
  <c r="N72" i="86" s="1"/>
  <c r="K72" i="86"/>
  <c r="J72" i="86"/>
  <c r="F72" i="86"/>
  <c r="H78" i="86" s="1"/>
  <c r="D72" i="86"/>
  <c r="E72" i="86" s="1"/>
  <c r="B72" i="86"/>
  <c r="B70" i="86"/>
  <c r="M69" i="86"/>
  <c r="N69" i="86" s="1"/>
  <c r="K69" i="86"/>
  <c r="J69" i="86"/>
  <c r="D69" i="86"/>
  <c r="B69" i="86"/>
  <c r="N68" i="86"/>
  <c r="M68" i="86"/>
  <c r="K68" i="86"/>
  <c r="J68" i="86" s="1"/>
  <c r="D68" i="86"/>
  <c r="B68" i="86"/>
  <c r="M67" i="86"/>
  <c r="N67" i="86" s="1"/>
  <c r="K67" i="86"/>
  <c r="J67" i="86"/>
  <c r="D67" i="86"/>
  <c r="B67" i="86"/>
  <c r="N66" i="86"/>
  <c r="M66" i="86"/>
  <c r="K66" i="86"/>
  <c r="J66" i="86" s="1"/>
  <c r="D66" i="86"/>
  <c r="N65" i="86"/>
  <c r="M65" i="86"/>
  <c r="K65" i="86"/>
  <c r="J65" i="86" s="1"/>
  <c r="D65" i="86"/>
  <c r="B65" i="86"/>
  <c r="M64" i="86"/>
  <c r="N64" i="86" s="1"/>
  <c r="K64" i="86"/>
  <c r="J64" i="86"/>
  <c r="D64" i="86"/>
  <c r="M63" i="86"/>
  <c r="N63" i="86" s="1"/>
  <c r="K63" i="86"/>
  <c r="J63" i="86"/>
  <c r="D63" i="86"/>
  <c r="B63" i="86"/>
  <c r="N62" i="86"/>
  <c r="M62" i="86"/>
  <c r="K62" i="86"/>
  <c r="J62" i="86" s="1"/>
  <c r="D62" i="86"/>
  <c r="B62" i="86"/>
  <c r="M61" i="86"/>
  <c r="N61" i="86" s="1"/>
  <c r="K61" i="86"/>
  <c r="J61" i="86"/>
  <c r="F61" i="86"/>
  <c r="D61" i="86"/>
  <c r="E61" i="86" s="1"/>
  <c r="B61" i="86"/>
  <c r="B59" i="86"/>
  <c r="B58" i="86"/>
  <c r="B57" i="86"/>
  <c r="B56" i="86"/>
  <c r="B54" i="86"/>
  <c r="B52" i="86"/>
  <c r="B51" i="86"/>
  <c r="B50" i="86"/>
  <c r="H42" i="86"/>
  <c r="H41" i="86"/>
  <c r="H40" i="86"/>
  <c r="H39" i="86"/>
  <c r="H38" i="86"/>
  <c r="H37" i="86"/>
  <c r="J24" i="86"/>
  <c r="G24" i="86"/>
  <c r="E44" i="86" s="1"/>
  <c r="E24" i="86"/>
  <c r="Q32" i="86" s="1"/>
  <c r="M23" i="86"/>
  <c r="I23" i="86"/>
  <c r="C22" i="86"/>
  <c r="C20" i="86"/>
  <c r="I18" i="86"/>
  <c r="G18" i="86"/>
  <c r="G17" i="86"/>
  <c r="E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I2" i="86"/>
  <c r="N12" i="86" s="1"/>
  <c r="G2" i="86"/>
  <c r="M21" i="86" s="1"/>
  <c r="M1" i="86"/>
  <c r="D79" i="87" l="1"/>
  <c r="D75" i="87"/>
  <c r="D78" i="87"/>
  <c r="S3" i="87"/>
  <c r="M21" i="87"/>
  <c r="S6" i="87"/>
  <c r="I21" i="87"/>
  <c r="H85" i="87"/>
  <c r="S3" i="86"/>
  <c r="S5" i="87"/>
  <c r="X7" i="87"/>
  <c r="D21" i="87"/>
  <c r="H83" i="87"/>
  <c r="E11" i="87"/>
  <c r="E10" i="87"/>
  <c r="E9" i="87"/>
  <c r="E8" i="87"/>
  <c r="N2" i="87"/>
  <c r="M3" i="87"/>
  <c r="M6" i="87"/>
  <c r="M7" i="87"/>
  <c r="N8" i="87"/>
  <c r="N9" i="87"/>
  <c r="M10" i="87"/>
  <c r="M11" i="87"/>
  <c r="M12" i="87"/>
  <c r="N1" i="87"/>
  <c r="F72" i="87" s="1"/>
  <c r="H116" i="87"/>
  <c r="F50" i="87"/>
  <c r="C27" i="87"/>
  <c r="O21" i="87"/>
  <c r="M2" i="87"/>
  <c r="S2" i="87"/>
  <c r="N3" i="87"/>
  <c r="M4" i="87"/>
  <c r="S4" i="87"/>
  <c r="N5" i="87"/>
  <c r="C6" i="87"/>
  <c r="N6" i="87"/>
  <c r="N7" i="87"/>
  <c r="M8" i="87"/>
  <c r="M9" i="87"/>
  <c r="N10" i="87"/>
  <c r="N11" i="87"/>
  <c r="N12" i="87"/>
  <c r="I18" i="87"/>
  <c r="E17" i="87" s="1"/>
  <c r="C21" i="87"/>
  <c r="E21" i="87"/>
  <c r="H21" i="87"/>
  <c r="J21" i="87"/>
  <c r="L21" i="87"/>
  <c r="N21" i="87"/>
  <c r="F39" i="87"/>
  <c r="F41" i="87"/>
  <c r="N4" i="87"/>
  <c r="F37" i="87"/>
  <c r="F38" i="87"/>
  <c r="F40" i="87"/>
  <c r="F42" i="87"/>
  <c r="N32" i="87"/>
  <c r="H61" i="87"/>
  <c r="H63" i="87"/>
  <c r="H68" i="87"/>
  <c r="H66" i="87"/>
  <c r="H65" i="87"/>
  <c r="H69" i="87"/>
  <c r="H62" i="87"/>
  <c r="H67" i="87"/>
  <c r="H87" i="87"/>
  <c r="H90" i="87"/>
  <c r="H94" i="87"/>
  <c r="H97" i="87"/>
  <c r="H98" i="87"/>
  <c r="H100" i="87"/>
  <c r="H84" i="87"/>
  <c r="H86" i="87"/>
  <c r="H88" i="87"/>
  <c r="H93" i="87"/>
  <c r="H95" i="87"/>
  <c r="H96" i="87"/>
  <c r="H99" i="87"/>
  <c r="E11" i="86"/>
  <c r="E10" i="86"/>
  <c r="E9" i="86"/>
  <c r="E8" i="86"/>
  <c r="N4" i="86"/>
  <c r="M5" i="86"/>
  <c r="S5" i="86"/>
  <c r="M6" i="86"/>
  <c r="S6" i="86"/>
  <c r="M7" i="86"/>
  <c r="X7" i="86"/>
  <c r="N8" i="86"/>
  <c r="N9" i="86"/>
  <c r="M10" i="86"/>
  <c r="M11" i="86"/>
  <c r="D21" i="86"/>
  <c r="I21" i="86"/>
  <c r="N2" i="86"/>
  <c r="M3" i="86"/>
  <c r="N1" i="86"/>
  <c r="F50" i="86" s="1"/>
  <c r="H116" i="86"/>
  <c r="F42" i="86"/>
  <c r="N21" i="86"/>
  <c r="L21" i="86"/>
  <c r="J21" i="86"/>
  <c r="H21" i="86"/>
  <c r="E21" i="86"/>
  <c r="C21" i="86"/>
  <c r="F41" i="86"/>
  <c r="F40" i="86"/>
  <c r="F39" i="86"/>
  <c r="F38" i="86"/>
  <c r="F37" i="86"/>
  <c r="C27" i="86"/>
  <c r="M2" i="86"/>
  <c r="S2" i="86"/>
  <c r="N3" i="86"/>
  <c r="M4" i="86"/>
  <c r="S4" i="86"/>
  <c r="N5" i="86"/>
  <c r="C6" i="86"/>
  <c r="N6" i="86"/>
  <c r="N7" i="86"/>
  <c r="M8" i="86"/>
  <c r="M9" i="86"/>
  <c r="N10" i="86"/>
  <c r="N11" i="86"/>
  <c r="M12" i="86"/>
  <c r="K21" i="86"/>
  <c r="O21" i="86"/>
  <c r="N32" i="86"/>
  <c r="P32" i="86"/>
  <c r="H69" i="86"/>
  <c r="H67" i="86"/>
  <c r="H64" i="86"/>
  <c r="H63" i="86"/>
  <c r="H61" i="86"/>
  <c r="H62" i="86"/>
  <c r="H66" i="86"/>
  <c r="H75" i="86"/>
  <c r="H89" i="86"/>
  <c r="H88" i="86"/>
  <c r="H90" i="86"/>
  <c r="H87" i="86"/>
  <c r="H85" i="86"/>
  <c r="H83" i="86"/>
  <c r="H84" i="86"/>
  <c r="M32" i="86"/>
  <c r="O32" i="86"/>
  <c r="H65" i="86"/>
  <c r="H68" i="86"/>
  <c r="H80" i="86"/>
  <c r="H79" i="86"/>
  <c r="H76" i="86"/>
  <c r="H74" i="86"/>
  <c r="H72" i="86"/>
  <c r="H73" i="86"/>
  <c r="H77" i="86"/>
  <c r="H86" i="86"/>
  <c r="H94" i="86"/>
  <c r="H97" i="86"/>
  <c r="H98" i="86"/>
  <c r="H100" i="86"/>
  <c r="H93" i="86"/>
  <c r="H95" i="86"/>
  <c r="H96" i="86"/>
  <c r="H99" i="86"/>
  <c r="E72" i="87" l="1"/>
  <c r="B70" i="87" s="1"/>
  <c r="H78" i="87"/>
  <c r="H72" i="87"/>
  <c r="H74" i="87"/>
  <c r="H79" i="87"/>
  <c r="H73" i="87"/>
  <c r="H77" i="87"/>
  <c r="H76" i="87"/>
  <c r="H80" i="87"/>
  <c r="H75" i="87"/>
  <c r="H58" i="87"/>
  <c r="G58" i="87" s="1"/>
  <c r="H57" i="87"/>
  <c r="G57" i="87" s="1"/>
  <c r="H56" i="87"/>
  <c r="G56" i="87" s="1"/>
  <c r="H55" i="87"/>
  <c r="G55" i="87" s="1"/>
  <c r="H52" i="87"/>
  <c r="G52" i="87" s="1"/>
  <c r="H51" i="87"/>
  <c r="G51" i="87" s="1"/>
  <c r="H50" i="87"/>
  <c r="G50" i="87" s="1"/>
  <c r="H53" i="87"/>
  <c r="G53" i="87" s="1"/>
  <c r="H54" i="87"/>
  <c r="G54" i="87" s="1"/>
  <c r="C7" i="87"/>
  <c r="G21" i="87"/>
  <c r="C5" i="87"/>
  <c r="D5" i="87"/>
  <c r="G21" i="86"/>
  <c r="C7" i="86"/>
  <c r="D5" i="86"/>
  <c r="C5" i="86"/>
  <c r="H58" i="86"/>
  <c r="G58" i="86" s="1"/>
  <c r="H54" i="86"/>
  <c r="G54" i="86" s="1"/>
  <c r="H53" i="86"/>
  <c r="G53" i="86" s="1"/>
  <c r="H57" i="86"/>
  <c r="G57" i="86" s="1"/>
  <c r="H56" i="86"/>
  <c r="G56" i="86" s="1"/>
  <c r="H55" i="86"/>
  <c r="G55" i="86" s="1"/>
  <c r="H52" i="86"/>
  <c r="G52" i="86" s="1"/>
  <c r="H51" i="86"/>
  <c r="G51" i="86" s="1"/>
  <c r="H50" i="86"/>
  <c r="G50" i="86" s="1"/>
  <c r="Y9" i="1"/>
  <c r="Q72" i="85"/>
  <c r="Q59" i="85"/>
  <c r="K59" i="85"/>
  <c r="P74" i="85" s="1"/>
  <c r="F59" i="85"/>
  <c r="Q58" i="85"/>
  <c r="Q51" i="85"/>
  <c r="J50" i="85"/>
  <c r="M47" i="85"/>
  <c r="D46" i="85"/>
  <c r="F34" i="85"/>
  <c r="F62" i="85" s="1"/>
  <c r="F33" i="85"/>
  <c r="F61" i="85" s="1"/>
  <c r="F31" i="85"/>
  <c r="F23" i="85"/>
  <c r="D23" i="85" s="1"/>
  <c r="F21" i="85"/>
  <c r="M20" i="85"/>
  <c r="F20" i="85"/>
  <c r="M19" i="85"/>
  <c r="F18" i="85"/>
  <c r="M17" i="85"/>
  <c r="F17" i="85"/>
  <c r="F15" i="85"/>
  <c r="AB47" i="81"/>
  <c r="AC47" i="81"/>
  <c r="AD47" i="81"/>
  <c r="AE47" i="81"/>
  <c r="AF47" i="81"/>
  <c r="AG47" i="81"/>
  <c r="AH47" i="81"/>
  <c r="AI47" i="81"/>
  <c r="AJ47" i="81"/>
  <c r="AK47" i="81"/>
  <c r="AL47" i="81"/>
  <c r="AB48" i="81"/>
  <c r="AC48" i="81"/>
  <c r="AD48" i="81"/>
  <c r="AE48" i="81"/>
  <c r="AF48" i="81"/>
  <c r="AG48" i="81"/>
  <c r="AH48" i="81"/>
  <c r="AI48" i="81"/>
  <c r="AJ48" i="81"/>
  <c r="AK48" i="81"/>
  <c r="AL48" i="81"/>
  <c r="AA48" i="81"/>
  <c r="AA47" i="81"/>
  <c r="K6" i="81"/>
  <c r="K11" i="81"/>
  <c r="K4" i="81"/>
  <c r="L52" i="84"/>
  <c r="M53" i="87" l="1"/>
  <c r="N53" i="87" s="1"/>
  <c r="K53" i="87"/>
  <c r="K51" i="87"/>
  <c r="M51" i="87"/>
  <c r="N51" i="87" s="1"/>
  <c r="K55" i="87"/>
  <c r="M55" i="87"/>
  <c r="N55" i="87" s="1"/>
  <c r="K57" i="87"/>
  <c r="M57" i="87"/>
  <c r="N57" i="87" s="1"/>
  <c r="M54" i="87"/>
  <c r="N54" i="87" s="1"/>
  <c r="K54" i="87"/>
  <c r="K50" i="87"/>
  <c r="J50" i="87" s="1"/>
  <c r="D50" i="87" s="1"/>
  <c r="M50" i="87"/>
  <c r="N50" i="87" s="1"/>
  <c r="K52" i="87"/>
  <c r="M52" i="87"/>
  <c r="N52" i="87" s="1"/>
  <c r="K56" i="87"/>
  <c r="M56" i="87"/>
  <c r="N56" i="87" s="1"/>
  <c r="K58" i="87"/>
  <c r="M58" i="87"/>
  <c r="N58" i="87" s="1"/>
  <c r="M51" i="86"/>
  <c r="N51" i="86" s="1"/>
  <c r="K51" i="86"/>
  <c r="M55" i="86"/>
  <c r="N55" i="86" s="1"/>
  <c r="K55" i="86"/>
  <c r="M57" i="86"/>
  <c r="N57" i="86" s="1"/>
  <c r="K57" i="86"/>
  <c r="K54" i="86"/>
  <c r="M54" i="86"/>
  <c r="N54" i="86" s="1"/>
  <c r="M50" i="86"/>
  <c r="N50" i="86" s="1"/>
  <c r="K50" i="86"/>
  <c r="J50" i="86" s="1"/>
  <c r="D50" i="86" s="1"/>
  <c r="M52" i="86"/>
  <c r="N52" i="86" s="1"/>
  <c r="K52" i="86"/>
  <c r="M56" i="86"/>
  <c r="N56" i="86" s="1"/>
  <c r="K56" i="86"/>
  <c r="K53" i="86"/>
  <c r="M53" i="86"/>
  <c r="N53" i="86" s="1"/>
  <c r="K58" i="86"/>
  <c r="M58" i="86"/>
  <c r="N58" i="86" s="1"/>
  <c r="D24" i="85"/>
  <c r="P61" i="85"/>
  <c r="D22" i="85"/>
  <c r="K7" i="81"/>
  <c r="K8" i="81"/>
  <c r="E13" i="73"/>
  <c r="F13" i="73"/>
  <c r="G13" i="73"/>
  <c r="E14" i="73"/>
  <c r="F14" i="73"/>
  <c r="G14" i="73"/>
  <c r="E16" i="73"/>
  <c r="F16" i="73"/>
  <c r="G16" i="73"/>
  <c r="E17" i="73"/>
  <c r="F17" i="73"/>
  <c r="G17" i="73"/>
  <c r="E18" i="73"/>
  <c r="F18" i="73"/>
  <c r="G18" i="73"/>
  <c r="D57" i="87" l="1"/>
  <c r="J57" i="87"/>
  <c r="D55" i="87"/>
  <c r="J55" i="87"/>
  <c r="D51" i="87"/>
  <c r="J51" i="87"/>
  <c r="J54" i="87"/>
  <c r="D54" i="87"/>
  <c r="J53" i="87"/>
  <c r="D53" i="87"/>
  <c r="D58" i="87"/>
  <c r="J58" i="87"/>
  <c r="D56" i="87"/>
  <c r="J56" i="87"/>
  <c r="D52" i="87"/>
  <c r="J52" i="87"/>
  <c r="J56" i="86"/>
  <c r="D56" i="86"/>
  <c r="J52" i="86"/>
  <c r="D52" i="86"/>
  <c r="J57" i="86"/>
  <c r="D57" i="86"/>
  <c r="J55" i="86"/>
  <c r="D55" i="86"/>
  <c r="J51" i="86"/>
  <c r="D51" i="86"/>
  <c r="D58" i="86"/>
  <c r="J58" i="86"/>
  <c r="D53" i="86"/>
  <c r="J53" i="86"/>
  <c r="D54" i="86"/>
  <c r="J54" i="86"/>
  <c r="E50" i="86" l="1"/>
  <c r="B48" i="86" s="1"/>
  <c r="C28" i="86" s="1"/>
  <c r="E50" i="87"/>
  <c r="B48" i="87" s="1"/>
  <c r="C28" i="87" s="1"/>
  <c r="E14" i="77" l="1"/>
  <c r="O8" i="77" l="1"/>
  <c r="O9" i="77" s="1"/>
  <c r="O10" i="77" l="1"/>
  <c r="O12" i="77" l="1"/>
  <c r="O13" i="77" l="1"/>
  <c r="Q72" i="84" l="1"/>
  <c r="Q59" i="84"/>
  <c r="K59" i="84"/>
  <c r="P74" i="84" s="1"/>
  <c r="F59" i="84"/>
  <c r="Q58" i="84"/>
  <c r="Q51" i="84"/>
  <c r="J50" i="84"/>
  <c r="M47" i="84"/>
  <c r="D46" i="84"/>
  <c r="F34" i="84"/>
  <c r="F62" i="84" s="1"/>
  <c r="F33" i="84"/>
  <c r="F61" i="84" s="1"/>
  <c r="F31" i="84"/>
  <c r="F23" i="84"/>
  <c r="D23" i="84" s="1"/>
  <c r="F21" i="84"/>
  <c r="M20" i="84"/>
  <c r="F20" i="84"/>
  <c r="M19" i="84"/>
  <c r="F18" i="84"/>
  <c r="M17" i="84"/>
  <c r="F17" i="84"/>
  <c r="F15" i="84"/>
  <c r="Y6" i="1"/>
  <c r="Y7" i="1" s="1"/>
  <c r="K56" i="81"/>
  <c r="K57" i="81" s="1"/>
  <c r="K55" i="81"/>
  <c r="K53" i="81"/>
  <c r="AC53" i="81" s="1"/>
  <c r="K41" i="81"/>
  <c r="K42" i="81" s="1"/>
  <c r="K40" i="81"/>
  <c r="AB40" i="81" s="1"/>
  <c r="K37" i="81"/>
  <c r="AB37" i="81" s="1"/>
  <c r="K34" i="81"/>
  <c r="AB34" i="81" s="1"/>
  <c r="AB13" i="81"/>
  <c r="AB8" i="81"/>
  <c r="AB7" i="81"/>
  <c r="AC6" i="81"/>
  <c r="AC4" i="81"/>
  <c r="AB3" i="81"/>
  <c r="AC3" i="81"/>
  <c r="AD3" i="81"/>
  <c r="AE3" i="81"/>
  <c r="AF3" i="81"/>
  <c r="AG3" i="81"/>
  <c r="AH3" i="81"/>
  <c r="AI3" i="81"/>
  <c r="AJ3" i="81"/>
  <c r="AK3" i="81"/>
  <c r="AL3" i="81"/>
  <c r="AB4" i="81"/>
  <c r="AD4" i="81"/>
  <c r="AF4" i="81"/>
  <c r="AH4" i="81"/>
  <c r="AJ4" i="81"/>
  <c r="AL4" i="81"/>
  <c r="AB5" i="81"/>
  <c r="AC5" i="81"/>
  <c r="AD5" i="81"/>
  <c r="AE5" i="81"/>
  <c r="AF5" i="81"/>
  <c r="AG5" i="81"/>
  <c r="AH5" i="81"/>
  <c r="AI5" i="81"/>
  <c r="AJ5" i="81"/>
  <c r="AK5" i="81"/>
  <c r="AL5" i="81"/>
  <c r="AB6" i="81"/>
  <c r="AD6" i="81"/>
  <c r="AF6" i="81"/>
  <c r="AH6" i="81"/>
  <c r="AJ6" i="81"/>
  <c r="AL6" i="81"/>
  <c r="AC7" i="81"/>
  <c r="AE7" i="81"/>
  <c r="AG7" i="81"/>
  <c r="AI7" i="81"/>
  <c r="AK7" i="81"/>
  <c r="AC8" i="81"/>
  <c r="AE8" i="81"/>
  <c r="AG8" i="81"/>
  <c r="AI8" i="81"/>
  <c r="AK8" i="81"/>
  <c r="AB9" i="81"/>
  <c r="AC9" i="81"/>
  <c r="AD9" i="81"/>
  <c r="AE9" i="81"/>
  <c r="AF9" i="81"/>
  <c r="AG9" i="81"/>
  <c r="AH9" i="81"/>
  <c r="AI9" i="81"/>
  <c r="AJ9" i="81"/>
  <c r="AK9" i="81"/>
  <c r="AL9" i="81"/>
  <c r="AB10" i="81"/>
  <c r="AC10" i="81"/>
  <c r="AD10" i="81"/>
  <c r="AE10" i="81"/>
  <c r="AF10" i="81"/>
  <c r="AG10" i="81"/>
  <c r="AH10" i="81"/>
  <c r="AI10" i="81"/>
  <c r="AJ10" i="81"/>
  <c r="AK10" i="81"/>
  <c r="AL10" i="81"/>
  <c r="AB11" i="81"/>
  <c r="AC11" i="81"/>
  <c r="AD11" i="81"/>
  <c r="AE11" i="81"/>
  <c r="AF11" i="81"/>
  <c r="AG11" i="81"/>
  <c r="AH11" i="81"/>
  <c r="AI11" i="81"/>
  <c r="AJ11" i="81"/>
  <c r="AK11" i="81"/>
  <c r="AL11" i="81"/>
  <c r="AB12" i="81"/>
  <c r="AC12" i="81"/>
  <c r="AD12" i="81"/>
  <c r="AE12" i="81"/>
  <c r="AF12" i="81"/>
  <c r="AG12" i="81"/>
  <c r="AH12" i="81"/>
  <c r="AI12" i="81"/>
  <c r="AJ12" i="81"/>
  <c r="AK12" i="81"/>
  <c r="AL12" i="81"/>
  <c r="AC13" i="81"/>
  <c r="AE13" i="81"/>
  <c r="AG13" i="81"/>
  <c r="AI13" i="81"/>
  <c r="AK13" i="81"/>
  <c r="AB14" i="81"/>
  <c r="AC14" i="81"/>
  <c r="AD14" i="81"/>
  <c r="AE14" i="81"/>
  <c r="AF14" i="81"/>
  <c r="AG14" i="81"/>
  <c r="AH14" i="81"/>
  <c r="AI14" i="81"/>
  <c r="AJ14" i="81"/>
  <c r="AK14" i="81"/>
  <c r="AL14" i="81"/>
  <c r="AB15" i="81"/>
  <c r="AC15" i="81"/>
  <c r="AD15" i="81"/>
  <c r="AE15" i="81"/>
  <c r="AF15" i="81"/>
  <c r="AG15" i="81"/>
  <c r="AH15" i="81"/>
  <c r="AI15" i="81"/>
  <c r="AJ15" i="81"/>
  <c r="AK15" i="81"/>
  <c r="AL15" i="81"/>
  <c r="AB16" i="81"/>
  <c r="AC16" i="81"/>
  <c r="AD16" i="81"/>
  <c r="AE16" i="81"/>
  <c r="AF16" i="81"/>
  <c r="AG16" i="81"/>
  <c r="AH16" i="81"/>
  <c r="AI16" i="81"/>
  <c r="AJ16" i="81"/>
  <c r="AK16" i="81"/>
  <c r="AL16" i="81"/>
  <c r="AB17" i="81"/>
  <c r="AC17" i="81"/>
  <c r="AD17" i="81"/>
  <c r="AE17" i="81"/>
  <c r="AF17" i="81"/>
  <c r="AG17" i="81"/>
  <c r="AH17" i="81"/>
  <c r="AI17" i="81"/>
  <c r="AJ17" i="81"/>
  <c r="AK17" i="81"/>
  <c r="AL17" i="81"/>
  <c r="AB18" i="81"/>
  <c r="AC18" i="81"/>
  <c r="AD18" i="81"/>
  <c r="AE18" i="81"/>
  <c r="AF18" i="81"/>
  <c r="AG18" i="81"/>
  <c r="AH18" i="81"/>
  <c r="AI18" i="81"/>
  <c r="AJ18" i="81"/>
  <c r="AK18" i="81"/>
  <c r="AL18" i="81"/>
  <c r="AB19" i="81"/>
  <c r="AC19" i="81"/>
  <c r="AD19" i="81"/>
  <c r="AE19" i="81"/>
  <c r="AF19" i="81"/>
  <c r="AG19" i="81"/>
  <c r="AH19" i="81"/>
  <c r="AI19" i="81"/>
  <c r="AJ19" i="81"/>
  <c r="AK19" i="81"/>
  <c r="AL19" i="81"/>
  <c r="AB20" i="81"/>
  <c r="AC20" i="81"/>
  <c r="AD20" i="81"/>
  <c r="AE20" i="81"/>
  <c r="AF20" i="81"/>
  <c r="AG20" i="81"/>
  <c r="AH20" i="81"/>
  <c r="AI20" i="81"/>
  <c r="AJ20" i="81"/>
  <c r="AK20" i="81"/>
  <c r="AL20" i="81"/>
  <c r="AB21" i="81"/>
  <c r="AC21" i="81"/>
  <c r="AD21" i="81"/>
  <c r="AE21" i="81"/>
  <c r="AF21" i="81"/>
  <c r="AG21" i="81"/>
  <c r="AH21" i="81"/>
  <c r="AI21" i="81"/>
  <c r="AJ21" i="81"/>
  <c r="AK21" i="81"/>
  <c r="AL21" i="81"/>
  <c r="AB22" i="81"/>
  <c r="AC22" i="81"/>
  <c r="AD22" i="81"/>
  <c r="AE22" i="81"/>
  <c r="AF22" i="81"/>
  <c r="AG22" i="81"/>
  <c r="AH22" i="81"/>
  <c r="AI22" i="81"/>
  <c r="AJ22" i="81"/>
  <c r="AK22" i="81"/>
  <c r="AL22" i="81"/>
  <c r="AB23" i="81"/>
  <c r="AC23" i="81"/>
  <c r="AD23" i="81"/>
  <c r="AE23" i="81"/>
  <c r="AF23" i="81"/>
  <c r="AG23" i="81"/>
  <c r="AH23" i="81"/>
  <c r="AI23" i="81"/>
  <c r="AJ23" i="81"/>
  <c r="AK23" i="81"/>
  <c r="AL23" i="81"/>
  <c r="AB24" i="81"/>
  <c r="AC24" i="81"/>
  <c r="AD24" i="81"/>
  <c r="AE24" i="81"/>
  <c r="AF24" i="81"/>
  <c r="AG24" i="81"/>
  <c r="AH24" i="81"/>
  <c r="AI24" i="81"/>
  <c r="AJ24" i="81"/>
  <c r="AK24" i="81"/>
  <c r="AL24" i="81"/>
  <c r="AB25" i="81"/>
  <c r="AC25" i="81"/>
  <c r="AD25" i="81"/>
  <c r="AE25" i="81"/>
  <c r="AF25" i="81"/>
  <c r="AG25" i="81"/>
  <c r="AH25" i="81"/>
  <c r="AI25" i="81"/>
  <c r="AJ25" i="81"/>
  <c r="AK25" i="81"/>
  <c r="AL25" i="81"/>
  <c r="AB26" i="81"/>
  <c r="AC26" i="81"/>
  <c r="AD26" i="81"/>
  <c r="AE26" i="81"/>
  <c r="AF26" i="81"/>
  <c r="AG26" i="81"/>
  <c r="AH26" i="81"/>
  <c r="AI26" i="81"/>
  <c r="AJ26" i="81"/>
  <c r="AK26" i="81"/>
  <c r="AL26" i="81"/>
  <c r="AB27" i="81"/>
  <c r="AC27" i="81"/>
  <c r="AD27" i="81"/>
  <c r="AE27" i="81"/>
  <c r="AF27" i="81"/>
  <c r="AG27" i="81"/>
  <c r="AH27" i="81"/>
  <c r="AI27" i="81"/>
  <c r="AJ27" i="81"/>
  <c r="AK27" i="81"/>
  <c r="AL27" i="81"/>
  <c r="AB28" i="81"/>
  <c r="AC28" i="81"/>
  <c r="AD28" i="81"/>
  <c r="AE28" i="81"/>
  <c r="AF28" i="81"/>
  <c r="AG28" i="81"/>
  <c r="AH28" i="81"/>
  <c r="AI28" i="81"/>
  <c r="AJ28" i="81"/>
  <c r="AK28" i="81"/>
  <c r="AL28" i="81"/>
  <c r="AB29" i="81"/>
  <c r="AC29" i="81"/>
  <c r="AD29" i="81"/>
  <c r="AE29" i="81"/>
  <c r="AF29" i="81"/>
  <c r="AG29" i="81"/>
  <c r="AH29" i="81"/>
  <c r="AI29" i="81"/>
  <c r="AJ29" i="81"/>
  <c r="AK29" i="81"/>
  <c r="AL29" i="81"/>
  <c r="AB30" i="81"/>
  <c r="AC30" i="81"/>
  <c r="AD30" i="81"/>
  <c r="AE30" i="81"/>
  <c r="AF30" i="81"/>
  <c r="AG30" i="81"/>
  <c r="AH30" i="81"/>
  <c r="AI30" i="81"/>
  <c r="AJ30" i="81"/>
  <c r="AK30" i="81"/>
  <c r="AL30" i="81"/>
  <c r="AB31" i="81"/>
  <c r="AC31" i="81"/>
  <c r="AD31" i="81"/>
  <c r="AE31" i="81"/>
  <c r="AF31" i="81"/>
  <c r="AG31" i="81"/>
  <c r="AH31" i="81"/>
  <c r="AI31" i="81"/>
  <c r="AJ31" i="81"/>
  <c r="AK31" i="81"/>
  <c r="AL31" i="81"/>
  <c r="AB32" i="81"/>
  <c r="AC32" i="81"/>
  <c r="AD32" i="81"/>
  <c r="AE32" i="81"/>
  <c r="AF32" i="81"/>
  <c r="AG32" i="81"/>
  <c r="AH32" i="81"/>
  <c r="AI32" i="81"/>
  <c r="AJ32" i="81"/>
  <c r="AK32" i="81"/>
  <c r="AL32" i="81"/>
  <c r="AB33" i="81"/>
  <c r="AC33" i="81"/>
  <c r="AD33" i="81"/>
  <c r="AE33" i="81"/>
  <c r="AF33" i="81"/>
  <c r="AG33" i="81"/>
  <c r="AH33" i="81"/>
  <c r="AI33" i="81"/>
  <c r="AJ33" i="81"/>
  <c r="AK33" i="81"/>
  <c r="AL33" i="81"/>
  <c r="AC34" i="81"/>
  <c r="AE34" i="81"/>
  <c r="AG34" i="81"/>
  <c r="AI34" i="81"/>
  <c r="AK34" i="81"/>
  <c r="AB35" i="81"/>
  <c r="AC35" i="81"/>
  <c r="AD35" i="81"/>
  <c r="AE35" i="81"/>
  <c r="AF35" i="81"/>
  <c r="AG35" i="81"/>
  <c r="AH35" i="81"/>
  <c r="AI35" i="81"/>
  <c r="AJ35" i="81"/>
  <c r="AK35" i="81"/>
  <c r="AL35" i="81"/>
  <c r="AB36" i="81"/>
  <c r="AC36" i="81"/>
  <c r="AD36" i="81"/>
  <c r="AE36" i="81"/>
  <c r="AF36" i="81"/>
  <c r="AG36" i="81"/>
  <c r="AH36" i="81"/>
  <c r="AI36" i="81"/>
  <c r="AJ36" i="81"/>
  <c r="AK36" i="81"/>
  <c r="AL36" i="81"/>
  <c r="AC37" i="81"/>
  <c r="AE37" i="81"/>
  <c r="AG37" i="81"/>
  <c r="AI37" i="81"/>
  <c r="AK37" i="81"/>
  <c r="AB38" i="81"/>
  <c r="AC38" i="81"/>
  <c r="AD38" i="81"/>
  <c r="AE38" i="81"/>
  <c r="AF38" i="81"/>
  <c r="AG38" i="81"/>
  <c r="AH38" i="81"/>
  <c r="AI38" i="81"/>
  <c r="AJ38" i="81"/>
  <c r="AK38" i="81"/>
  <c r="AL38" i="81"/>
  <c r="AB39" i="81"/>
  <c r="AC39" i="81"/>
  <c r="AD39" i="81"/>
  <c r="AE39" i="81"/>
  <c r="AF39" i="81"/>
  <c r="AG39" i="81"/>
  <c r="AH39" i="81"/>
  <c r="AI39" i="81"/>
  <c r="AJ39" i="81"/>
  <c r="AK39" i="81"/>
  <c r="AL39" i="81"/>
  <c r="AC40" i="81"/>
  <c r="AE40" i="81"/>
  <c r="AG40" i="81"/>
  <c r="AI40" i="81"/>
  <c r="AK40" i="81"/>
  <c r="AB41" i="81"/>
  <c r="AD41" i="81"/>
  <c r="AF41" i="81"/>
  <c r="AH41" i="81"/>
  <c r="AJ41" i="81"/>
  <c r="AL41" i="81"/>
  <c r="AB49" i="81"/>
  <c r="AC49" i="81"/>
  <c r="AD49" i="81"/>
  <c r="AE49" i="81"/>
  <c r="AF49" i="81"/>
  <c r="AG49" i="81"/>
  <c r="AH49" i="81"/>
  <c r="AI49" i="81"/>
  <c r="AJ49" i="81"/>
  <c r="AK49" i="81"/>
  <c r="AL49" i="81"/>
  <c r="AB50" i="81"/>
  <c r="AC50" i="81"/>
  <c r="AD50" i="81"/>
  <c r="AE50" i="81"/>
  <c r="AF50" i="81"/>
  <c r="AG50" i="81"/>
  <c r="AH50" i="81"/>
  <c r="AI50" i="81"/>
  <c r="AJ50" i="81"/>
  <c r="AK50" i="81"/>
  <c r="AL50" i="81"/>
  <c r="AB51" i="81"/>
  <c r="AC51" i="81"/>
  <c r="AD51" i="81"/>
  <c r="AE51" i="81"/>
  <c r="AF51" i="81"/>
  <c r="AG51" i="81"/>
  <c r="AH51" i="81"/>
  <c r="AI51" i="81"/>
  <c r="AJ51" i="81"/>
  <c r="AK51" i="81"/>
  <c r="AL51" i="81"/>
  <c r="AB52" i="81"/>
  <c r="AC52" i="81"/>
  <c r="AD52" i="81"/>
  <c r="AE52" i="81"/>
  <c r="AF52" i="81"/>
  <c r="AG52" i="81"/>
  <c r="AH52" i="81"/>
  <c r="AI52" i="81"/>
  <c r="AJ52" i="81"/>
  <c r="AK52" i="81"/>
  <c r="AL52" i="81"/>
  <c r="AB53" i="81"/>
  <c r="AD53" i="81"/>
  <c r="AF53" i="81"/>
  <c r="AH53" i="81"/>
  <c r="AJ53" i="81"/>
  <c r="AL53" i="81"/>
  <c r="AB54" i="81"/>
  <c r="AC54" i="81"/>
  <c r="AD54" i="81"/>
  <c r="AE54" i="81"/>
  <c r="AF54" i="81"/>
  <c r="AG54" i="81"/>
  <c r="AH54" i="81"/>
  <c r="AI54" i="81"/>
  <c r="AJ54" i="81"/>
  <c r="AK54" i="81"/>
  <c r="AL54" i="81"/>
  <c r="AB55" i="81"/>
  <c r="AC55" i="81"/>
  <c r="AD55" i="81"/>
  <c r="AE55" i="81"/>
  <c r="AF55" i="81"/>
  <c r="AG55" i="81"/>
  <c r="AH55" i="81"/>
  <c r="AI55" i="81"/>
  <c r="AJ55" i="81"/>
  <c r="AK55" i="81"/>
  <c r="AL55" i="81"/>
  <c r="AB56" i="81"/>
  <c r="AD56" i="81"/>
  <c r="AF56" i="81"/>
  <c r="AG56" i="81"/>
  <c r="AH56" i="81"/>
  <c r="AI56" i="81"/>
  <c r="AJ56" i="81"/>
  <c r="AK56" i="81"/>
  <c r="AL56" i="81"/>
  <c r="AB67" i="81"/>
  <c r="AC67" i="81"/>
  <c r="AD67" i="81"/>
  <c r="AE67" i="81"/>
  <c r="AF67" i="81"/>
  <c r="AG67" i="81"/>
  <c r="AH67" i="81"/>
  <c r="AI67" i="81"/>
  <c r="AJ67" i="81"/>
  <c r="AK67" i="81"/>
  <c r="AL67" i="81"/>
  <c r="AB68" i="81"/>
  <c r="AC68" i="81"/>
  <c r="AD68" i="81"/>
  <c r="AE68" i="81"/>
  <c r="AF68" i="81"/>
  <c r="AG68" i="81"/>
  <c r="AH68" i="81"/>
  <c r="AI68" i="81"/>
  <c r="AJ68" i="81"/>
  <c r="AK68" i="81"/>
  <c r="AL68" i="81"/>
  <c r="AA4" i="81"/>
  <c r="AA5" i="81"/>
  <c r="AA7" i="81"/>
  <c r="AA8" i="81"/>
  <c r="AA9" i="81"/>
  <c r="AA10" i="81"/>
  <c r="AA11" i="81"/>
  <c r="AA12" i="81"/>
  <c r="AA13" i="81"/>
  <c r="AA14" i="81"/>
  <c r="AA15" i="81"/>
  <c r="AA16" i="81"/>
  <c r="AA17" i="81"/>
  <c r="AA18" i="81"/>
  <c r="AA19" i="81"/>
  <c r="AA20" i="81"/>
  <c r="AA21" i="81"/>
  <c r="AA22" i="81"/>
  <c r="AA23" i="81"/>
  <c r="AA24" i="81"/>
  <c r="AA25" i="81"/>
  <c r="AA26" i="81"/>
  <c r="AA27" i="81"/>
  <c r="AA28" i="81"/>
  <c r="AA29" i="81"/>
  <c r="AA30" i="81"/>
  <c r="AA31" i="81"/>
  <c r="AA32" i="81"/>
  <c r="AA33" i="81"/>
  <c r="AA34" i="81"/>
  <c r="AA35" i="81"/>
  <c r="AA36" i="81"/>
  <c r="AA37" i="81"/>
  <c r="AA38" i="81"/>
  <c r="AA39" i="81"/>
  <c r="AA40" i="81"/>
  <c r="AA41" i="81"/>
  <c r="AA49" i="81"/>
  <c r="AA50" i="81"/>
  <c r="AA51" i="81"/>
  <c r="AA52" i="81"/>
  <c r="AA54" i="81"/>
  <c r="AA55" i="81"/>
  <c r="AA56" i="81"/>
  <c r="AA67" i="81"/>
  <c r="AA68" i="81"/>
  <c r="AA3" i="81"/>
  <c r="Z2" i="81"/>
  <c r="AB72" i="81" s="1"/>
  <c r="AB77" i="81" s="1"/>
  <c r="AL34" i="81" l="1"/>
  <c r="AJ34" i="81"/>
  <c r="AH34" i="81"/>
  <c r="AF34" i="81"/>
  <c r="AD34" i="81"/>
  <c r="AB69" i="81"/>
  <c r="AC69" i="81"/>
  <c r="D24" i="84"/>
  <c r="P61" i="84"/>
  <c r="D22" i="84"/>
  <c r="K58" i="81"/>
  <c r="AC57" i="81"/>
  <c r="AE57" i="81"/>
  <c r="AG57" i="81"/>
  <c r="AK57" i="81"/>
  <c r="AB57" i="81"/>
  <c r="AD57" i="81"/>
  <c r="AF57" i="81"/>
  <c r="AH57" i="81"/>
  <c r="AJ57" i="81"/>
  <c r="AL57" i="81"/>
  <c r="AA57" i="81"/>
  <c r="AI57" i="81"/>
  <c r="AE56" i="81"/>
  <c r="AC56" i="81"/>
  <c r="AA53" i="81"/>
  <c r="AK53" i="81"/>
  <c r="AI53" i="81"/>
  <c r="AG53" i="81"/>
  <c r="AE53" i="81"/>
  <c r="K43" i="81"/>
  <c r="AC42" i="81"/>
  <c r="AG42" i="81"/>
  <c r="AI42" i="81"/>
  <c r="AK42" i="81"/>
  <c r="AB42" i="81"/>
  <c r="AD42" i="81"/>
  <c r="AF42" i="81"/>
  <c r="AH42" i="81"/>
  <c r="AJ42" i="81"/>
  <c r="AL42" i="81"/>
  <c r="AA42" i="81"/>
  <c r="AE42" i="81"/>
  <c r="AK41" i="81"/>
  <c r="AI41" i="81"/>
  <c r="AG41" i="81"/>
  <c r="AE41" i="81"/>
  <c r="AC41" i="81"/>
  <c r="AL40" i="81"/>
  <c r="AJ40" i="81"/>
  <c r="AH40" i="81"/>
  <c r="AF40" i="81"/>
  <c r="AD40" i="81"/>
  <c r="AL37" i="81"/>
  <c r="AJ37" i="81"/>
  <c r="AH37" i="81"/>
  <c r="AF37" i="81"/>
  <c r="AD37" i="81"/>
  <c r="AL13" i="81"/>
  <c r="AJ13" i="81"/>
  <c r="AH13" i="81"/>
  <c r="AF13" i="81"/>
  <c r="AD13" i="81"/>
  <c r="AL8" i="81"/>
  <c r="AJ8" i="81"/>
  <c r="AH8" i="81"/>
  <c r="AF8" i="81"/>
  <c r="AD8" i="81"/>
  <c r="AL7" i="81"/>
  <c r="AJ7" i="81"/>
  <c r="AH7" i="81"/>
  <c r="AF7" i="81"/>
  <c r="AD7" i="81"/>
  <c r="AA6" i="81"/>
  <c r="AA69" i="81" s="1"/>
  <c r="AK6" i="81"/>
  <c r="AI6" i="81"/>
  <c r="AG6" i="81"/>
  <c r="AE6" i="81"/>
  <c r="AK4" i="81"/>
  <c r="AK69" i="81" s="1"/>
  <c r="AI4" i="81"/>
  <c r="AI69" i="81" s="1"/>
  <c r="AG4" i="81"/>
  <c r="AG69" i="81" s="1"/>
  <c r="AE4" i="81"/>
  <c r="AE69" i="81" s="1"/>
  <c r="M69" i="81"/>
  <c r="G69" i="81"/>
  <c r="G74" i="81" s="1"/>
  <c r="V54" i="81"/>
  <c r="U54" i="81"/>
  <c r="Y54" i="81" s="1"/>
  <c r="V52" i="81"/>
  <c r="U52" i="81"/>
  <c r="Y52" i="81" s="1"/>
  <c r="V39" i="81"/>
  <c r="U39" i="81"/>
  <c r="Y39" i="81" s="1"/>
  <c r="L39" i="81"/>
  <c r="K39" i="81"/>
  <c r="K36" i="81"/>
  <c r="E34" i="81"/>
  <c r="F33" i="81"/>
  <c r="F69" i="81" s="1"/>
  <c r="D33" i="81"/>
  <c r="D69" i="81" s="1"/>
  <c r="K28" i="81"/>
  <c r="V26" i="81"/>
  <c r="U26" i="81"/>
  <c r="V25" i="81"/>
  <c r="E23" i="81"/>
  <c r="E69" i="81" s="1"/>
  <c r="V17" i="81"/>
  <c r="K17" i="81"/>
  <c r="V10" i="81"/>
  <c r="U10" i="81"/>
  <c r="V9" i="81"/>
  <c r="U9" i="81"/>
  <c r="V5" i="81"/>
  <c r="U5" i="81"/>
  <c r="L5" i="81"/>
  <c r="Y3" i="81"/>
  <c r="V3" i="81"/>
  <c r="U3" i="81"/>
  <c r="U69" i="81" s="1"/>
  <c r="L3" i="81"/>
  <c r="AF14" i="82"/>
  <c r="AG14" i="82"/>
  <c r="AH14" i="82"/>
  <c r="AI14" i="82"/>
  <c r="AJ14" i="82"/>
  <c r="AK14" i="82"/>
  <c r="AL14" i="82"/>
  <c r="AM14" i="82"/>
  <c r="AN14" i="82"/>
  <c r="AO14" i="82"/>
  <c r="AP14" i="82"/>
  <c r="AQ14" i="82"/>
  <c r="AR14" i="82"/>
  <c r="AS14" i="82"/>
  <c r="AT14" i="82"/>
  <c r="AU14" i="82"/>
  <c r="AV14" i="82"/>
  <c r="AW14" i="82"/>
  <c r="AX14" i="82"/>
  <c r="AY14" i="82"/>
  <c r="AZ14" i="82"/>
  <c r="BA14" i="82"/>
  <c r="BB14" i="82"/>
  <c r="BC14" i="82"/>
  <c r="BD14" i="82"/>
  <c r="BE14" i="82"/>
  <c r="BF14" i="82"/>
  <c r="BG14" i="82"/>
  <c r="BH14" i="82"/>
  <c r="BI14" i="82"/>
  <c r="BJ14" i="82"/>
  <c r="BK14" i="82"/>
  <c r="BL14" i="82"/>
  <c r="BM14" i="82"/>
  <c r="BN14" i="82"/>
  <c r="BO14" i="82"/>
  <c r="BP14" i="82"/>
  <c r="BQ14" i="82"/>
  <c r="BR14" i="82"/>
  <c r="BS14" i="82"/>
  <c r="BT14" i="82"/>
  <c r="BU14" i="82"/>
  <c r="BV14" i="82"/>
  <c r="BW14" i="82"/>
  <c r="AF15" i="82"/>
  <c r="AG15" i="82"/>
  <c r="AH15" i="82"/>
  <c r="AI15" i="82"/>
  <c r="AJ15" i="82"/>
  <c r="AK15" i="82"/>
  <c r="AL15" i="82"/>
  <c r="AM15" i="82"/>
  <c r="AN15" i="82"/>
  <c r="AO15" i="82"/>
  <c r="AP15" i="82"/>
  <c r="AQ15" i="82"/>
  <c r="AR15" i="82"/>
  <c r="AS15" i="82"/>
  <c r="AT15" i="82"/>
  <c r="AU15" i="82"/>
  <c r="AV15" i="82"/>
  <c r="AW15" i="82"/>
  <c r="AX15" i="82"/>
  <c r="AY15" i="82"/>
  <c r="AZ15" i="82"/>
  <c r="BA15" i="82"/>
  <c r="BB15" i="82"/>
  <c r="BC15" i="82"/>
  <c r="BD15" i="82"/>
  <c r="BE15" i="82"/>
  <c r="BF15" i="82"/>
  <c r="BG15" i="82"/>
  <c r="BH15" i="82"/>
  <c r="BI15" i="82"/>
  <c r="BJ15" i="82"/>
  <c r="BK15" i="82"/>
  <c r="BL15" i="82"/>
  <c r="BM15" i="82"/>
  <c r="BN15" i="82"/>
  <c r="BO15" i="82"/>
  <c r="BP15" i="82"/>
  <c r="BQ15" i="82"/>
  <c r="BR15" i="82"/>
  <c r="BS15" i="82"/>
  <c r="BT15" i="82"/>
  <c r="BU15" i="82"/>
  <c r="BV15" i="82"/>
  <c r="BW15" i="82"/>
  <c r="AF16" i="82"/>
  <c r="AG16" i="82"/>
  <c r="AH16" i="82"/>
  <c r="AI16" i="82"/>
  <c r="AJ16" i="82"/>
  <c r="AK16" i="82"/>
  <c r="AL16" i="82"/>
  <c r="AM16" i="82"/>
  <c r="AN16" i="82"/>
  <c r="AO16" i="82"/>
  <c r="AP16" i="82"/>
  <c r="AQ16" i="82"/>
  <c r="AR16" i="82"/>
  <c r="AS16" i="82"/>
  <c r="AT16" i="82"/>
  <c r="AU16" i="82"/>
  <c r="AV16" i="82"/>
  <c r="AW16" i="82"/>
  <c r="AX16" i="82"/>
  <c r="AY16" i="82"/>
  <c r="AZ16" i="82"/>
  <c r="BA16" i="82"/>
  <c r="BB16" i="82"/>
  <c r="BC16" i="82"/>
  <c r="BD16" i="82"/>
  <c r="BE16" i="82"/>
  <c r="BF16" i="82"/>
  <c r="BG16" i="82"/>
  <c r="BH16" i="82"/>
  <c r="BI16" i="82"/>
  <c r="BJ16" i="82"/>
  <c r="BK16" i="82"/>
  <c r="BL16" i="82"/>
  <c r="BM16" i="82"/>
  <c r="BN16" i="82"/>
  <c r="BO16" i="82"/>
  <c r="BP16" i="82"/>
  <c r="BQ16" i="82"/>
  <c r="BR16" i="82"/>
  <c r="BS16" i="82"/>
  <c r="BT16" i="82"/>
  <c r="BU16" i="82"/>
  <c r="BV16" i="82"/>
  <c r="BW16" i="82"/>
  <c r="AF17" i="82"/>
  <c r="AG17" i="82"/>
  <c r="AH17" i="82"/>
  <c r="AI17" i="82"/>
  <c r="AJ17" i="82"/>
  <c r="AK17" i="82"/>
  <c r="AL17" i="82"/>
  <c r="AM17" i="82"/>
  <c r="AN17" i="82"/>
  <c r="AO17" i="82"/>
  <c r="AP17" i="82"/>
  <c r="AQ17" i="82"/>
  <c r="AR17" i="82"/>
  <c r="AS17" i="82"/>
  <c r="AT17" i="82"/>
  <c r="AU17" i="82"/>
  <c r="AV17" i="82"/>
  <c r="AW17" i="82"/>
  <c r="AX17" i="82"/>
  <c r="AY17" i="82"/>
  <c r="AZ17" i="82"/>
  <c r="BA17" i="82"/>
  <c r="BB17" i="82"/>
  <c r="BC17" i="82"/>
  <c r="BD17" i="82"/>
  <c r="BE17" i="82"/>
  <c r="BF17" i="82"/>
  <c r="BG17" i="82"/>
  <c r="BH17" i="82"/>
  <c r="BI17" i="82"/>
  <c r="BJ17" i="82"/>
  <c r="BK17" i="82"/>
  <c r="BL17" i="82"/>
  <c r="BM17" i="82"/>
  <c r="BN17" i="82"/>
  <c r="BO17" i="82"/>
  <c r="BP17" i="82"/>
  <c r="BQ17" i="82"/>
  <c r="BR17" i="82"/>
  <c r="BS17" i="82"/>
  <c r="BT17" i="82"/>
  <c r="BU17" i="82"/>
  <c r="BV17" i="82"/>
  <c r="BW17" i="82"/>
  <c r="AF18" i="82"/>
  <c r="AG18" i="82"/>
  <c r="AH18" i="82"/>
  <c r="AI18" i="82"/>
  <c r="AJ18" i="82"/>
  <c r="AK18" i="82"/>
  <c r="AL18" i="82"/>
  <c r="AM18" i="82"/>
  <c r="AN18" i="82"/>
  <c r="AO18" i="82"/>
  <c r="AP18" i="82"/>
  <c r="AQ18" i="82"/>
  <c r="AR18" i="82"/>
  <c r="AS18" i="82"/>
  <c r="AT18" i="82"/>
  <c r="AU18" i="82"/>
  <c r="AV18" i="82"/>
  <c r="AW18" i="82"/>
  <c r="AX18" i="82"/>
  <c r="AY18" i="82"/>
  <c r="AZ18" i="82"/>
  <c r="BA18" i="82"/>
  <c r="BB18" i="82"/>
  <c r="BC18" i="82"/>
  <c r="BD18" i="82"/>
  <c r="BE18" i="82"/>
  <c r="BF18" i="82"/>
  <c r="BG18" i="82"/>
  <c r="BH18" i="82"/>
  <c r="BI18" i="82"/>
  <c r="BJ18" i="82"/>
  <c r="BK18" i="82"/>
  <c r="BL18" i="82"/>
  <c r="BM18" i="82"/>
  <c r="BN18" i="82"/>
  <c r="BO18" i="82"/>
  <c r="BP18" i="82"/>
  <c r="BQ18" i="82"/>
  <c r="BR18" i="82"/>
  <c r="BS18" i="82"/>
  <c r="BT18" i="82"/>
  <c r="BU18" i="82"/>
  <c r="BV18" i="82"/>
  <c r="BW18" i="82"/>
  <c r="AF19" i="82"/>
  <c r="AG19" i="82"/>
  <c r="AH19" i="82"/>
  <c r="AI19" i="82"/>
  <c r="AJ19" i="82"/>
  <c r="AK19" i="82"/>
  <c r="AL19" i="82"/>
  <c r="AM19" i="82"/>
  <c r="AN19" i="82"/>
  <c r="AO19" i="82"/>
  <c r="AP19" i="82"/>
  <c r="AQ19" i="82"/>
  <c r="AR19" i="82"/>
  <c r="AS19" i="82"/>
  <c r="AT19" i="82"/>
  <c r="AU19" i="82"/>
  <c r="AV19" i="82"/>
  <c r="AW19" i="82"/>
  <c r="AX19" i="82"/>
  <c r="AY19" i="82"/>
  <c r="AZ19" i="82"/>
  <c r="BA19" i="82"/>
  <c r="BB19" i="82"/>
  <c r="BC19" i="82"/>
  <c r="BD19" i="82"/>
  <c r="BE19" i="82"/>
  <c r="BF19" i="82"/>
  <c r="BG19" i="82"/>
  <c r="BH19" i="82"/>
  <c r="BI19" i="82"/>
  <c r="BJ19" i="82"/>
  <c r="BK19" i="82"/>
  <c r="BL19" i="82"/>
  <c r="BM19" i="82"/>
  <c r="BN19" i="82"/>
  <c r="BO19" i="82"/>
  <c r="BP19" i="82"/>
  <c r="BQ19" i="82"/>
  <c r="BR19" i="82"/>
  <c r="BS19" i="82"/>
  <c r="BT19" i="82"/>
  <c r="BU19" i="82"/>
  <c r="BV19" i="82"/>
  <c r="BW19" i="82"/>
  <c r="AF20" i="82"/>
  <c r="AG20" i="82"/>
  <c r="AH20" i="82"/>
  <c r="AI20" i="82"/>
  <c r="AJ20" i="82"/>
  <c r="AK20" i="82"/>
  <c r="AL20" i="82"/>
  <c r="AM20" i="82"/>
  <c r="AN20" i="82"/>
  <c r="AO20" i="82"/>
  <c r="AP20" i="82"/>
  <c r="AQ20" i="82"/>
  <c r="AR20" i="82"/>
  <c r="AS20" i="82"/>
  <c r="AT20" i="82"/>
  <c r="AU20" i="82"/>
  <c r="AV20" i="82"/>
  <c r="AW20" i="82"/>
  <c r="AX20" i="82"/>
  <c r="AY20" i="82"/>
  <c r="AZ20" i="82"/>
  <c r="BA20" i="82"/>
  <c r="BB20" i="82"/>
  <c r="BC20" i="82"/>
  <c r="BD20" i="82"/>
  <c r="BE20" i="82"/>
  <c r="BF20" i="82"/>
  <c r="BG20" i="82"/>
  <c r="BH20" i="82"/>
  <c r="BI20" i="82"/>
  <c r="BJ20" i="82"/>
  <c r="BK20" i="82"/>
  <c r="BL20" i="82"/>
  <c r="BM20" i="82"/>
  <c r="BN20" i="82"/>
  <c r="BO20" i="82"/>
  <c r="BP20" i="82"/>
  <c r="BQ20" i="82"/>
  <c r="BR20" i="82"/>
  <c r="BS20" i="82"/>
  <c r="BT20" i="82"/>
  <c r="BU20" i="82"/>
  <c r="BV20" i="82"/>
  <c r="BW20" i="82"/>
  <c r="AF21" i="82"/>
  <c r="AG21" i="82"/>
  <c r="AH21" i="82"/>
  <c r="AI21" i="82"/>
  <c r="AJ21" i="82"/>
  <c r="AK21" i="82"/>
  <c r="AL21" i="82"/>
  <c r="AM21" i="82"/>
  <c r="AN21" i="82"/>
  <c r="AO21" i="82"/>
  <c r="AP21" i="82"/>
  <c r="AQ21" i="82"/>
  <c r="AR21" i="82"/>
  <c r="AS21" i="82"/>
  <c r="AT21" i="82"/>
  <c r="AU21" i="82"/>
  <c r="AV21" i="82"/>
  <c r="AW21" i="82"/>
  <c r="AX21" i="82"/>
  <c r="AY21" i="82"/>
  <c r="AZ21" i="82"/>
  <c r="BA21" i="82"/>
  <c r="BB21" i="82"/>
  <c r="BC21" i="82"/>
  <c r="BD21" i="82"/>
  <c r="BE21" i="82"/>
  <c r="BF21" i="82"/>
  <c r="BG21" i="82"/>
  <c r="BH21" i="82"/>
  <c r="BI21" i="82"/>
  <c r="BJ21" i="82"/>
  <c r="BK21" i="82"/>
  <c r="BL21" i="82"/>
  <c r="BM21" i="82"/>
  <c r="BN21" i="82"/>
  <c r="BO21" i="82"/>
  <c r="BP21" i="82"/>
  <c r="BQ21" i="82"/>
  <c r="BR21" i="82"/>
  <c r="BS21" i="82"/>
  <c r="BT21" i="82"/>
  <c r="BU21" i="82"/>
  <c r="BV21" i="82"/>
  <c r="BW21" i="82"/>
  <c r="AF22" i="82"/>
  <c r="AG22" i="82"/>
  <c r="AH22" i="82"/>
  <c r="AI22" i="82"/>
  <c r="AJ22" i="82"/>
  <c r="AK22" i="82"/>
  <c r="AL22" i="82"/>
  <c r="AM22" i="82"/>
  <c r="AN22" i="82"/>
  <c r="AO22" i="82"/>
  <c r="AP22" i="82"/>
  <c r="AQ22" i="82"/>
  <c r="AR22" i="82"/>
  <c r="AS22" i="82"/>
  <c r="AT22" i="82"/>
  <c r="AU22" i="82"/>
  <c r="AV22" i="82"/>
  <c r="AW22" i="82"/>
  <c r="AX22" i="82"/>
  <c r="AY22" i="82"/>
  <c r="AZ22" i="82"/>
  <c r="BA22" i="82"/>
  <c r="BB22" i="82"/>
  <c r="BC22" i="82"/>
  <c r="BD22" i="82"/>
  <c r="BE22" i="82"/>
  <c r="BF22" i="82"/>
  <c r="BG22" i="82"/>
  <c r="BH22" i="82"/>
  <c r="BI22" i="82"/>
  <c r="BJ22" i="82"/>
  <c r="BK22" i="82"/>
  <c r="BL22" i="82"/>
  <c r="BM22" i="82"/>
  <c r="BN22" i="82"/>
  <c r="BO22" i="82"/>
  <c r="BP22" i="82"/>
  <c r="BQ22" i="82"/>
  <c r="BR22" i="82"/>
  <c r="BS22" i="82"/>
  <c r="BT22" i="82"/>
  <c r="BU22" i="82"/>
  <c r="BV22" i="82"/>
  <c r="BW22" i="82"/>
  <c r="AF23" i="82"/>
  <c r="AG23" i="82"/>
  <c r="AH23" i="82"/>
  <c r="AI23" i="82"/>
  <c r="AJ23" i="82"/>
  <c r="AK23" i="82"/>
  <c r="AL23" i="82"/>
  <c r="AM23" i="82"/>
  <c r="AN23" i="82"/>
  <c r="AO23" i="82"/>
  <c r="AP23" i="82"/>
  <c r="AQ23" i="82"/>
  <c r="AR23" i="82"/>
  <c r="AS23" i="82"/>
  <c r="AT23" i="82"/>
  <c r="AU23" i="82"/>
  <c r="AV23" i="82"/>
  <c r="AW23" i="82"/>
  <c r="AX23" i="82"/>
  <c r="AY23" i="82"/>
  <c r="AZ23" i="82"/>
  <c r="BA23" i="82"/>
  <c r="BB23" i="82"/>
  <c r="BC23" i="82"/>
  <c r="BD23" i="82"/>
  <c r="BE23" i="82"/>
  <c r="BF23" i="82"/>
  <c r="BG23" i="82"/>
  <c r="BH23" i="82"/>
  <c r="BI23" i="82"/>
  <c r="BJ23" i="82"/>
  <c r="BK23" i="82"/>
  <c r="BL23" i="82"/>
  <c r="BM23" i="82"/>
  <c r="BN23" i="82"/>
  <c r="BO23" i="82"/>
  <c r="BP23" i="82"/>
  <c r="BQ23" i="82"/>
  <c r="BR23" i="82"/>
  <c r="BS23" i="82"/>
  <c r="BT23" i="82"/>
  <c r="BU23" i="82"/>
  <c r="BV23" i="82"/>
  <c r="BW23" i="82"/>
  <c r="AF24" i="82"/>
  <c r="AG24" i="82"/>
  <c r="AH24" i="82"/>
  <c r="AI24" i="82"/>
  <c r="AJ24" i="82"/>
  <c r="AK24" i="82"/>
  <c r="AL24" i="82"/>
  <c r="AM24" i="82"/>
  <c r="AN24" i="82"/>
  <c r="AO24" i="82"/>
  <c r="AP24" i="82"/>
  <c r="AQ24" i="82"/>
  <c r="AR24" i="82"/>
  <c r="AS24" i="82"/>
  <c r="AT24" i="82"/>
  <c r="AU24" i="82"/>
  <c r="AV24" i="82"/>
  <c r="AW24" i="82"/>
  <c r="AX24" i="82"/>
  <c r="AY24" i="82"/>
  <c r="AZ24" i="82"/>
  <c r="BA24" i="82"/>
  <c r="BB24" i="82"/>
  <c r="BC24" i="82"/>
  <c r="BD24" i="82"/>
  <c r="BE24" i="82"/>
  <c r="BF24" i="82"/>
  <c r="BG24" i="82"/>
  <c r="BH24" i="82"/>
  <c r="BI24" i="82"/>
  <c r="BJ24" i="82"/>
  <c r="BK24" i="82"/>
  <c r="BL24" i="82"/>
  <c r="BM24" i="82"/>
  <c r="BN24" i="82"/>
  <c r="BO24" i="82"/>
  <c r="BP24" i="82"/>
  <c r="BQ24" i="82"/>
  <c r="BR24" i="82"/>
  <c r="BS24" i="82"/>
  <c r="BT24" i="82"/>
  <c r="BU24" i="82"/>
  <c r="BV24" i="82"/>
  <c r="BW24" i="82"/>
  <c r="AF25" i="82"/>
  <c r="AG25" i="82"/>
  <c r="AH25" i="82"/>
  <c r="AI25" i="82"/>
  <c r="AJ25" i="82"/>
  <c r="AK25" i="82"/>
  <c r="AL25" i="82"/>
  <c r="AM25" i="82"/>
  <c r="AN25" i="82"/>
  <c r="AO25" i="82"/>
  <c r="AP25" i="82"/>
  <c r="AQ25" i="82"/>
  <c r="AR25" i="82"/>
  <c r="AS25" i="82"/>
  <c r="AT25" i="82"/>
  <c r="AU25" i="82"/>
  <c r="AV25" i="82"/>
  <c r="AW25" i="82"/>
  <c r="AX25" i="82"/>
  <c r="AY25" i="82"/>
  <c r="AZ25" i="82"/>
  <c r="BA25" i="82"/>
  <c r="BB25" i="82"/>
  <c r="BC25" i="82"/>
  <c r="BD25" i="82"/>
  <c r="BE25" i="82"/>
  <c r="BF25" i="82"/>
  <c r="BG25" i="82"/>
  <c r="BH25" i="82"/>
  <c r="BI25" i="82"/>
  <c r="BJ25" i="82"/>
  <c r="BK25" i="82"/>
  <c r="BL25" i="82"/>
  <c r="BM25" i="82"/>
  <c r="BN25" i="82"/>
  <c r="BO25" i="82"/>
  <c r="BP25" i="82"/>
  <c r="BQ25" i="82"/>
  <c r="BR25" i="82"/>
  <c r="BS25" i="82"/>
  <c r="BT25" i="82"/>
  <c r="BU25" i="82"/>
  <c r="BV25" i="82"/>
  <c r="BW25" i="82"/>
  <c r="AF26" i="82"/>
  <c r="AG26" i="82"/>
  <c r="AH26" i="82"/>
  <c r="AI26" i="82"/>
  <c r="AJ26" i="82"/>
  <c r="AK26" i="82"/>
  <c r="AL26" i="82"/>
  <c r="AM26" i="82"/>
  <c r="AN26" i="82"/>
  <c r="AO26" i="82"/>
  <c r="AP26" i="82"/>
  <c r="AQ26" i="82"/>
  <c r="AR26" i="82"/>
  <c r="AS26" i="82"/>
  <c r="AT26" i="82"/>
  <c r="AU26" i="82"/>
  <c r="AV26" i="82"/>
  <c r="AW26" i="82"/>
  <c r="AX26" i="82"/>
  <c r="AY26" i="82"/>
  <c r="AZ26" i="82"/>
  <c r="BA26" i="82"/>
  <c r="BB26" i="82"/>
  <c r="BC26" i="82"/>
  <c r="BD26" i="82"/>
  <c r="BE26" i="82"/>
  <c r="BF26" i="82"/>
  <c r="BG26" i="82"/>
  <c r="BH26" i="82"/>
  <c r="BI26" i="82"/>
  <c r="BJ26" i="82"/>
  <c r="BK26" i="82"/>
  <c r="BL26" i="82"/>
  <c r="BM26" i="82"/>
  <c r="BN26" i="82"/>
  <c r="BO26" i="82"/>
  <c r="BP26" i="82"/>
  <c r="BQ26" i="82"/>
  <c r="BR26" i="82"/>
  <c r="BS26" i="82"/>
  <c r="BT26" i="82"/>
  <c r="BU26" i="82"/>
  <c r="BV26" i="82"/>
  <c r="BW26" i="82"/>
  <c r="AF27" i="82"/>
  <c r="AG27" i="82"/>
  <c r="AH27" i="82"/>
  <c r="AI27" i="82"/>
  <c r="AJ27" i="82"/>
  <c r="AK27" i="82"/>
  <c r="AL27" i="82"/>
  <c r="AM27" i="82"/>
  <c r="AN27" i="82"/>
  <c r="AO27" i="82"/>
  <c r="AP27" i="82"/>
  <c r="AQ27" i="82"/>
  <c r="AR27" i="82"/>
  <c r="AS27" i="82"/>
  <c r="AT27" i="82"/>
  <c r="AU27" i="82"/>
  <c r="AV27" i="82"/>
  <c r="AW27" i="82"/>
  <c r="AX27" i="82"/>
  <c r="AY27" i="82"/>
  <c r="AZ27" i="82"/>
  <c r="BA27" i="82"/>
  <c r="BB27" i="82"/>
  <c r="BC27" i="82"/>
  <c r="BD27" i="82"/>
  <c r="BE27" i="82"/>
  <c r="BF27" i="82"/>
  <c r="BG27" i="82"/>
  <c r="BH27" i="82"/>
  <c r="BI27" i="82"/>
  <c r="BJ27" i="82"/>
  <c r="BK27" i="82"/>
  <c r="BL27" i="82"/>
  <c r="BM27" i="82"/>
  <c r="BN27" i="82"/>
  <c r="BO27" i="82"/>
  <c r="BP27" i="82"/>
  <c r="BQ27" i="82"/>
  <c r="BR27" i="82"/>
  <c r="BS27" i="82"/>
  <c r="BT27" i="82"/>
  <c r="BU27" i="82"/>
  <c r="BV27" i="82"/>
  <c r="BW27" i="82"/>
  <c r="AF28" i="82"/>
  <c r="AG28" i="82"/>
  <c r="AH28" i="82"/>
  <c r="AI28" i="82"/>
  <c r="AJ28" i="82"/>
  <c r="AK28" i="82"/>
  <c r="AL28" i="82"/>
  <c r="AM28" i="82"/>
  <c r="AN28" i="82"/>
  <c r="AO28" i="82"/>
  <c r="AP28" i="82"/>
  <c r="AQ28" i="82"/>
  <c r="AR28" i="82"/>
  <c r="AS28" i="82"/>
  <c r="AT28" i="82"/>
  <c r="AU28" i="82"/>
  <c r="AV28" i="82"/>
  <c r="AW28" i="82"/>
  <c r="AX28" i="82"/>
  <c r="AY28" i="82"/>
  <c r="AZ28" i="82"/>
  <c r="BA28" i="82"/>
  <c r="BB28" i="82"/>
  <c r="BC28" i="82"/>
  <c r="BD28" i="82"/>
  <c r="BE28" i="82"/>
  <c r="BF28" i="82"/>
  <c r="BG28" i="82"/>
  <c r="BH28" i="82"/>
  <c r="BI28" i="82"/>
  <c r="BJ28" i="82"/>
  <c r="BK28" i="82"/>
  <c r="BL28" i="82"/>
  <c r="BM28" i="82"/>
  <c r="BN28" i="82"/>
  <c r="BO28" i="82"/>
  <c r="BP28" i="82"/>
  <c r="BQ28" i="82"/>
  <c r="BR28" i="82"/>
  <c r="BS28" i="82"/>
  <c r="BT28" i="82"/>
  <c r="BU28" i="82"/>
  <c r="BV28" i="82"/>
  <c r="BW28" i="82"/>
  <c r="AF29" i="82"/>
  <c r="AG29" i="82"/>
  <c r="AH29" i="82"/>
  <c r="AI29" i="82"/>
  <c r="AJ29" i="82"/>
  <c r="AK29" i="82"/>
  <c r="AL29" i="82"/>
  <c r="AM29" i="82"/>
  <c r="AN29" i="82"/>
  <c r="AO29" i="82"/>
  <c r="AP29" i="82"/>
  <c r="AQ29" i="82"/>
  <c r="AR29" i="82"/>
  <c r="AS29" i="82"/>
  <c r="AT29" i="82"/>
  <c r="AU29" i="82"/>
  <c r="AV29" i="82"/>
  <c r="AW29" i="82"/>
  <c r="AX29" i="82"/>
  <c r="AY29" i="82"/>
  <c r="AZ29" i="82"/>
  <c r="BA29" i="82"/>
  <c r="BB29" i="82"/>
  <c r="BC29" i="82"/>
  <c r="BD29" i="82"/>
  <c r="BE29" i="82"/>
  <c r="BF29" i="82"/>
  <c r="BG29" i="82"/>
  <c r="BH29" i="82"/>
  <c r="BI29" i="82"/>
  <c r="BJ29" i="82"/>
  <c r="BK29" i="82"/>
  <c r="BL29" i="82"/>
  <c r="BM29" i="82"/>
  <c r="BN29" i="82"/>
  <c r="BO29" i="82"/>
  <c r="BP29" i="82"/>
  <c r="BQ29" i="82"/>
  <c r="BR29" i="82"/>
  <c r="BS29" i="82"/>
  <c r="BT29" i="82"/>
  <c r="BU29" i="82"/>
  <c r="BV29" i="82"/>
  <c r="BW29" i="82"/>
  <c r="AF30" i="82"/>
  <c r="AG30" i="82"/>
  <c r="AH30" i="82"/>
  <c r="AI30" i="82"/>
  <c r="AJ30" i="82"/>
  <c r="AK30" i="82"/>
  <c r="AL30" i="82"/>
  <c r="AM30" i="82"/>
  <c r="AN30" i="82"/>
  <c r="AO30" i="82"/>
  <c r="AP30" i="82"/>
  <c r="AQ30" i="82"/>
  <c r="AR30" i="82"/>
  <c r="AS30" i="82"/>
  <c r="AT30" i="82"/>
  <c r="AU30" i="82"/>
  <c r="AV30" i="82"/>
  <c r="AW30" i="82"/>
  <c r="AX30" i="82"/>
  <c r="AY30" i="82"/>
  <c r="AZ30" i="82"/>
  <c r="BA30" i="82"/>
  <c r="BB30" i="82"/>
  <c r="BC30" i="82"/>
  <c r="BD30" i="82"/>
  <c r="BE30" i="82"/>
  <c r="BF30" i="82"/>
  <c r="BG30" i="82"/>
  <c r="BH30" i="82"/>
  <c r="BI30" i="82"/>
  <c r="BJ30" i="82"/>
  <c r="BK30" i="82"/>
  <c r="BL30" i="82"/>
  <c r="BM30" i="82"/>
  <c r="BN30" i="82"/>
  <c r="BO30" i="82"/>
  <c r="BP30" i="82"/>
  <c r="BQ30" i="82"/>
  <c r="BR30" i="82"/>
  <c r="BS30" i="82"/>
  <c r="BT30" i="82"/>
  <c r="BU30" i="82"/>
  <c r="BV30" i="82"/>
  <c r="BW30" i="82"/>
  <c r="AF31" i="82"/>
  <c r="AG31" i="82"/>
  <c r="AH31" i="82"/>
  <c r="AI31" i="82"/>
  <c r="AJ31" i="82"/>
  <c r="AK31" i="82"/>
  <c r="AL31" i="82"/>
  <c r="AM31" i="82"/>
  <c r="AN31" i="82"/>
  <c r="AO31" i="82"/>
  <c r="AP31" i="82"/>
  <c r="AQ31" i="82"/>
  <c r="AR31" i="82"/>
  <c r="AS31" i="82"/>
  <c r="AT31" i="82"/>
  <c r="AU31" i="82"/>
  <c r="AV31" i="82"/>
  <c r="AW31" i="82"/>
  <c r="AX31" i="82"/>
  <c r="AY31" i="82"/>
  <c r="AZ31" i="82"/>
  <c r="BA31" i="82"/>
  <c r="BB31" i="82"/>
  <c r="BC31" i="82"/>
  <c r="BD31" i="82"/>
  <c r="BE31" i="82"/>
  <c r="BF31" i="82"/>
  <c r="BG31" i="82"/>
  <c r="BH31" i="82"/>
  <c r="BI31" i="82"/>
  <c r="BJ31" i="82"/>
  <c r="BK31" i="82"/>
  <c r="BL31" i="82"/>
  <c r="BM31" i="82"/>
  <c r="BN31" i="82"/>
  <c r="BO31" i="82"/>
  <c r="BP31" i="82"/>
  <c r="BQ31" i="82"/>
  <c r="BR31" i="82"/>
  <c r="BS31" i="82"/>
  <c r="BT31" i="82"/>
  <c r="BU31" i="82"/>
  <c r="BV31" i="82"/>
  <c r="BW31" i="82"/>
  <c r="AF32" i="82"/>
  <c r="AG32" i="82"/>
  <c r="AH32" i="82"/>
  <c r="AI32" i="82"/>
  <c r="AJ32" i="82"/>
  <c r="AK32" i="82"/>
  <c r="AL32" i="82"/>
  <c r="AM32" i="82"/>
  <c r="AN32" i="82"/>
  <c r="AO32" i="82"/>
  <c r="AP32" i="82"/>
  <c r="AQ32" i="82"/>
  <c r="AR32" i="82"/>
  <c r="AS32" i="82"/>
  <c r="AT32" i="82"/>
  <c r="AU32" i="82"/>
  <c r="AV32" i="82"/>
  <c r="AW32" i="82"/>
  <c r="AX32" i="82"/>
  <c r="AY32" i="82"/>
  <c r="AZ32" i="82"/>
  <c r="BA32" i="82"/>
  <c r="BB32" i="82"/>
  <c r="BC32" i="82"/>
  <c r="BD32" i="82"/>
  <c r="BE32" i="82"/>
  <c r="BF32" i="82"/>
  <c r="BG32" i="82"/>
  <c r="BH32" i="82"/>
  <c r="BI32" i="82"/>
  <c r="BJ32" i="82"/>
  <c r="BK32" i="82"/>
  <c r="BL32" i="82"/>
  <c r="BM32" i="82"/>
  <c r="BN32" i="82"/>
  <c r="BO32" i="82"/>
  <c r="BP32" i="82"/>
  <c r="BQ32" i="82"/>
  <c r="BR32" i="82"/>
  <c r="BS32" i="82"/>
  <c r="BT32" i="82"/>
  <c r="BU32" i="82"/>
  <c r="BV32" i="82"/>
  <c r="BW32" i="82"/>
  <c r="AF33" i="82"/>
  <c r="AG33" i="82"/>
  <c r="AH33" i="82"/>
  <c r="AI33" i="82"/>
  <c r="AJ33" i="82"/>
  <c r="AK33" i="82"/>
  <c r="AL33" i="82"/>
  <c r="AM33" i="82"/>
  <c r="AN33" i="82"/>
  <c r="AO33" i="82"/>
  <c r="AP33" i="82"/>
  <c r="AQ33" i="82"/>
  <c r="AR33" i="82"/>
  <c r="AS33" i="82"/>
  <c r="AT33" i="82"/>
  <c r="AU33" i="82"/>
  <c r="AV33" i="82"/>
  <c r="AW33" i="82"/>
  <c r="AX33" i="82"/>
  <c r="AY33" i="82"/>
  <c r="AZ33" i="82"/>
  <c r="BA33" i="82"/>
  <c r="BB33" i="82"/>
  <c r="BC33" i="82"/>
  <c r="BD33" i="82"/>
  <c r="BE33" i="82"/>
  <c r="BF33" i="82"/>
  <c r="BG33" i="82"/>
  <c r="BH33" i="82"/>
  <c r="BI33" i="82"/>
  <c r="BJ33" i="82"/>
  <c r="BK33" i="82"/>
  <c r="BL33" i="82"/>
  <c r="BM33" i="82"/>
  <c r="BN33" i="82"/>
  <c r="BO33" i="82"/>
  <c r="BP33" i="82"/>
  <c r="BQ33" i="82"/>
  <c r="BR33" i="82"/>
  <c r="BS33" i="82"/>
  <c r="BT33" i="82"/>
  <c r="BU33" i="82"/>
  <c r="BV33" i="82"/>
  <c r="BW33" i="82"/>
  <c r="AF34" i="82"/>
  <c r="AG34" i="82"/>
  <c r="AH34" i="82"/>
  <c r="AI34" i="82"/>
  <c r="AJ34" i="82"/>
  <c r="AK34" i="82"/>
  <c r="AL34" i="82"/>
  <c r="AM34" i="82"/>
  <c r="AN34" i="82"/>
  <c r="AO34" i="82"/>
  <c r="AP34" i="82"/>
  <c r="AQ34" i="82"/>
  <c r="AR34" i="82"/>
  <c r="AS34" i="82"/>
  <c r="AT34" i="82"/>
  <c r="AU34" i="82"/>
  <c r="AV34" i="82"/>
  <c r="AW34" i="82"/>
  <c r="AX34" i="82"/>
  <c r="AY34" i="82"/>
  <c r="AZ34" i="82"/>
  <c r="BA34" i="82"/>
  <c r="BB34" i="82"/>
  <c r="BC34" i="82"/>
  <c r="BD34" i="82"/>
  <c r="BE34" i="82"/>
  <c r="BF34" i="82"/>
  <c r="BG34" i="82"/>
  <c r="BH34" i="82"/>
  <c r="BI34" i="82"/>
  <c r="BJ34" i="82"/>
  <c r="BK34" i="82"/>
  <c r="BL34" i="82"/>
  <c r="BM34" i="82"/>
  <c r="BN34" i="82"/>
  <c r="BO34" i="82"/>
  <c r="BP34" i="82"/>
  <c r="BQ34" i="82"/>
  <c r="BR34" i="82"/>
  <c r="BS34" i="82"/>
  <c r="BT34" i="82"/>
  <c r="BU34" i="82"/>
  <c r="BV34" i="82"/>
  <c r="BW34" i="82"/>
  <c r="AF35" i="82"/>
  <c r="AG35" i="82"/>
  <c r="AH35" i="82"/>
  <c r="AI35" i="82"/>
  <c r="AJ35" i="82"/>
  <c r="AK35" i="82"/>
  <c r="AL35" i="82"/>
  <c r="AM35" i="82"/>
  <c r="AN35" i="82"/>
  <c r="AO35" i="82"/>
  <c r="AP35" i="82"/>
  <c r="AQ35" i="82"/>
  <c r="AR35" i="82"/>
  <c r="AS35" i="82"/>
  <c r="AT35" i="82"/>
  <c r="AU35" i="82"/>
  <c r="AV35" i="82"/>
  <c r="AW35" i="82"/>
  <c r="AX35" i="82"/>
  <c r="AY35" i="82"/>
  <c r="AZ35" i="82"/>
  <c r="BA35" i="82"/>
  <c r="BB35" i="82"/>
  <c r="BC35" i="82"/>
  <c r="BD35" i="82"/>
  <c r="BE35" i="82"/>
  <c r="BF35" i="82"/>
  <c r="BG35" i="82"/>
  <c r="BH35" i="82"/>
  <c r="BI35" i="82"/>
  <c r="BJ35" i="82"/>
  <c r="BK35" i="82"/>
  <c r="BL35" i="82"/>
  <c r="BM35" i="82"/>
  <c r="BN35" i="82"/>
  <c r="BO35" i="82"/>
  <c r="BP35" i="82"/>
  <c r="BQ35" i="82"/>
  <c r="BR35" i="82"/>
  <c r="BS35" i="82"/>
  <c r="BT35" i="82"/>
  <c r="BU35" i="82"/>
  <c r="BV35" i="82"/>
  <c r="BW35" i="82"/>
  <c r="AF36" i="82"/>
  <c r="AG36" i="82"/>
  <c r="AH36" i="82"/>
  <c r="AI36" i="82"/>
  <c r="AJ36" i="82"/>
  <c r="AK36" i="82"/>
  <c r="AL36" i="82"/>
  <c r="AM36" i="82"/>
  <c r="AN36" i="82"/>
  <c r="AO36" i="82"/>
  <c r="AP36" i="82"/>
  <c r="AQ36" i="82"/>
  <c r="AR36" i="82"/>
  <c r="AS36" i="82"/>
  <c r="AT36" i="82"/>
  <c r="AU36" i="82"/>
  <c r="AV36" i="82"/>
  <c r="AW36" i="82"/>
  <c r="AX36" i="82"/>
  <c r="AY36" i="82"/>
  <c r="AZ36" i="82"/>
  <c r="BA36" i="82"/>
  <c r="BB36" i="82"/>
  <c r="BC36" i="82"/>
  <c r="BD36" i="82"/>
  <c r="BE36" i="82"/>
  <c r="BF36" i="82"/>
  <c r="BG36" i="82"/>
  <c r="BH36" i="82"/>
  <c r="BI36" i="82"/>
  <c r="BJ36" i="82"/>
  <c r="BK36" i="82"/>
  <c r="BL36" i="82"/>
  <c r="BM36" i="82"/>
  <c r="BN36" i="82"/>
  <c r="BO36" i="82"/>
  <c r="BP36" i="82"/>
  <c r="BQ36" i="82"/>
  <c r="BR36" i="82"/>
  <c r="BS36" i="82"/>
  <c r="BT36" i="82"/>
  <c r="BU36" i="82"/>
  <c r="BV36" i="82"/>
  <c r="BW36" i="82"/>
  <c r="AF37" i="82"/>
  <c r="AG37" i="82"/>
  <c r="AH37" i="82"/>
  <c r="AI37" i="82"/>
  <c r="AJ37" i="82"/>
  <c r="AK37" i="82"/>
  <c r="AL37" i="82"/>
  <c r="AM37" i="82"/>
  <c r="AN37" i="82"/>
  <c r="AO37" i="82"/>
  <c r="AP37" i="82"/>
  <c r="AQ37" i="82"/>
  <c r="AR37" i="82"/>
  <c r="AS37" i="82"/>
  <c r="AT37" i="82"/>
  <c r="AU37" i="82"/>
  <c r="AV37" i="82"/>
  <c r="AW37" i="82"/>
  <c r="AX37" i="82"/>
  <c r="AY37" i="82"/>
  <c r="AZ37" i="82"/>
  <c r="BA37" i="82"/>
  <c r="BB37" i="82"/>
  <c r="BC37" i="82"/>
  <c r="BD37" i="82"/>
  <c r="BE37" i="82"/>
  <c r="BF37" i="82"/>
  <c r="BG37" i="82"/>
  <c r="BH37" i="82"/>
  <c r="BI37" i="82"/>
  <c r="BJ37" i="82"/>
  <c r="BK37" i="82"/>
  <c r="BL37" i="82"/>
  <c r="BM37" i="82"/>
  <c r="BN37" i="82"/>
  <c r="BO37" i="82"/>
  <c r="BP37" i="82"/>
  <c r="BQ37" i="82"/>
  <c r="BR37" i="82"/>
  <c r="BS37" i="82"/>
  <c r="BT37" i="82"/>
  <c r="BU37" i="82"/>
  <c r="BV37" i="82"/>
  <c r="BW37" i="82"/>
  <c r="AF38" i="82"/>
  <c r="AG38" i="82"/>
  <c r="AH38" i="82"/>
  <c r="AI38" i="82"/>
  <c r="AJ38" i="82"/>
  <c r="AK38" i="82"/>
  <c r="AL38" i="82"/>
  <c r="AM38" i="82"/>
  <c r="AN38" i="82"/>
  <c r="AO38" i="82"/>
  <c r="AP38" i="82"/>
  <c r="AQ38" i="82"/>
  <c r="AR38" i="82"/>
  <c r="AS38" i="82"/>
  <c r="AT38" i="82"/>
  <c r="AU38" i="82"/>
  <c r="AV38" i="82"/>
  <c r="AW38" i="82"/>
  <c r="AX38" i="82"/>
  <c r="AY38" i="82"/>
  <c r="AZ38" i="82"/>
  <c r="BA38" i="82"/>
  <c r="BB38" i="82"/>
  <c r="BC38" i="82"/>
  <c r="BD38" i="82"/>
  <c r="BE38" i="82"/>
  <c r="BF38" i="82"/>
  <c r="BG38" i="82"/>
  <c r="BH38" i="82"/>
  <c r="BI38" i="82"/>
  <c r="BJ38" i="82"/>
  <c r="BK38" i="82"/>
  <c r="BL38" i="82"/>
  <c r="BM38" i="82"/>
  <c r="BN38" i="82"/>
  <c r="BO38" i="82"/>
  <c r="BP38" i="82"/>
  <c r="BQ38" i="82"/>
  <c r="BR38" i="82"/>
  <c r="BS38" i="82"/>
  <c r="BT38" i="82"/>
  <c r="BU38" i="82"/>
  <c r="BV38" i="82"/>
  <c r="BW38" i="82"/>
  <c r="AC38" i="82"/>
  <c r="AD38" i="82"/>
  <c r="AE38" i="82"/>
  <c r="AB38" i="82"/>
  <c r="Z35" i="82"/>
  <c r="AA35" i="82"/>
  <c r="AB35" i="82"/>
  <c r="AC35" i="82"/>
  <c r="AD35" i="82"/>
  <c r="AE35" i="82"/>
  <c r="Y35" i="82"/>
  <c r="AB34" i="82"/>
  <c r="AC34" i="82"/>
  <c r="AD34" i="82"/>
  <c r="AE34" i="82"/>
  <c r="AA34" i="82"/>
  <c r="Z33" i="82"/>
  <c r="AA33" i="82"/>
  <c r="AB33" i="82"/>
  <c r="AC33" i="82"/>
  <c r="AD33" i="82"/>
  <c r="AE33" i="82"/>
  <c r="Y33" i="82"/>
  <c r="Y29" i="82"/>
  <c r="Z29" i="82"/>
  <c r="AA29" i="82"/>
  <c r="AB29" i="82"/>
  <c r="AC29" i="82"/>
  <c r="AD29" i="82"/>
  <c r="AE29" i="82"/>
  <c r="Y30" i="82"/>
  <c r="Z30" i="82"/>
  <c r="AA30" i="82"/>
  <c r="AB30" i="82"/>
  <c r="AC30" i="82"/>
  <c r="AD30" i="82"/>
  <c r="AE30" i="82"/>
  <c r="Y31" i="82"/>
  <c r="Z31" i="82"/>
  <c r="AA31" i="82"/>
  <c r="AB31" i="82"/>
  <c r="AC31" i="82"/>
  <c r="AD31" i="82"/>
  <c r="AE31" i="82"/>
  <c r="Y32" i="82"/>
  <c r="Z32" i="82"/>
  <c r="AA32" i="82"/>
  <c r="AB32" i="82"/>
  <c r="AC32" i="82"/>
  <c r="AD32" i="82"/>
  <c r="AE32" i="82"/>
  <c r="Y36" i="82"/>
  <c r="Z36" i="82"/>
  <c r="AA36" i="82"/>
  <c r="AB36" i="82"/>
  <c r="AC36" i="82"/>
  <c r="AD36" i="82"/>
  <c r="AE36" i="82"/>
  <c r="Y37" i="82"/>
  <c r="Z37" i="82"/>
  <c r="AA37" i="82"/>
  <c r="AB37" i="82"/>
  <c r="AC37" i="82"/>
  <c r="AD37" i="82"/>
  <c r="AE37" i="82"/>
  <c r="Y38" i="82"/>
  <c r="Z38" i="82"/>
  <c r="AA38" i="82"/>
  <c r="X30" i="82"/>
  <c r="X31" i="82"/>
  <c r="X32" i="82"/>
  <c r="X35" i="82"/>
  <c r="X36" i="82"/>
  <c r="X37" i="82"/>
  <c r="X38" i="82"/>
  <c r="AA19" i="82"/>
  <c r="AB19" i="82"/>
  <c r="AC19" i="82"/>
  <c r="AD19" i="82"/>
  <c r="AE19" i="82"/>
  <c r="AA20" i="82"/>
  <c r="AB20" i="82"/>
  <c r="AC20" i="82"/>
  <c r="AD20" i="82"/>
  <c r="AE20" i="82"/>
  <c r="AA21" i="82"/>
  <c r="AB21" i="82"/>
  <c r="AC21" i="82"/>
  <c r="AD21" i="82"/>
  <c r="AE21" i="82"/>
  <c r="Z21" i="82"/>
  <c r="Z20" i="82"/>
  <c r="Z19" i="82"/>
  <c r="Y19" i="82"/>
  <c r="Y20" i="82"/>
  <c r="Z15" i="82"/>
  <c r="AA15" i="82"/>
  <c r="AB15" i="82"/>
  <c r="AC15" i="82"/>
  <c r="AD15" i="82"/>
  <c r="AE15" i="82"/>
  <c r="Y15" i="82"/>
  <c r="Z14" i="82"/>
  <c r="AA14" i="82"/>
  <c r="AB14" i="82"/>
  <c r="AC14" i="82"/>
  <c r="AD14" i="82"/>
  <c r="AE14" i="82"/>
  <c r="Y14"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A13" i="82"/>
  <c r="BB13" i="82"/>
  <c r="BC13" i="82"/>
  <c r="BD13" i="82"/>
  <c r="BE13" i="82"/>
  <c r="BF13" i="82"/>
  <c r="BG13" i="82"/>
  <c r="BH13" i="82"/>
  <c r="BI13" i="82"/>
  <c r="BJ13" i="82"/>
  <c r="BK13" i="82"/>
  <c r="BL13" i="82"/>
  <c r="BM13" i="82"/>
  <c r="BN13" i="82"/>
  <c r="BO13" i="82"/>
  <c r="BP13" i="82"/>
  <c r="BQ13" i="82"/>
  <c r="BR13" i="82"/>
  <c r="BS13" i="82"/>
  <c r="BT13" i="82"/>
  <c r="BU13" i="82"/>
  <c r="BV13" i="82"/>
  <c r="BW13" i="82"/>
  <c r="Z13" i="82"/>
  <c r="Y16" i="82"/>
  <c r="Z16" i="82"/>
  <c r="AA16" i="82"/>
  <c r="AB16" i="82"/>
  <c r="AC16" i="82"/>
  <c r="AD16" i="82"/>
  <c r="AE16" i="82"/>
  <c r="Y17" i="82"/>
  <c r="Z17" i="82"/>
  <c r="AA17" i="82"/>
  <c r="AB17" i="82"/>
  <c r="AC17" i="82"/>
  <c r="AD17" i="82"/>
  <c r="AE17" i="82"/>
  <c r="Y18" i="82"/>
  <c r="Z18" i="82"/>
  <c r="AA18" i="82"/>
  <c r="AB18" i="82"/>
  <c r="AC18" i="82"/>
  <c r="AD18" i="82"/>
  <c r="AE18" i="82"/>
  <c r="Y22" i="82"/>
  <c r="Z22" i="82"/>
  <c r="AA22" i="82"/>
  <c r="AB22" i="82"/>
  <c r="AC22" i="82"/>
  <c r="AD22" i="82"/>
  <c r="AE22" i="82"/>
  <c r="Y23" i="82"/>
  <c r="Z23" i="82"/>
  <c r="AA23" i="82"/>
  <c r="AB23" i="82"/>
  <c r="AC23" i="82"/>
  <c r="AD23" i="82"/>
  <c r="AE23" i="82"/>
  <c r="Y24" i="82"/>
  <c r="Z24" i="82"/>
  <c r="AA24" i="82"/>
  <c r="AB24" i="82"/>
  <c r="AC24" i="82"/>
  <c r="AD24" i="82"/>
  <c r="AE24" i="82"/>
  <c r="Y25" i="82"/>
  <c r="Z25" i="82"/>
  <c r="AA25" i="82"/>
  <c r="AB25" i="82"/>
  <c r="AC25" i="82"/>
  <c r="AD25" i="82"/>
  <c r="AE25" i="82"/>
  <c r="Y26" i="82"/>
  <c r="Z26" i="82"/>
  <c r="AA26" i="82"/>
  <c r="AB26" i="82"/>
  <c r="AC26" i="82"/>
  <c r="AD26" i="82"/>
  <c r="AE26" i="82"/>
  <c r="Y27" i="82"/>
  <c r="Z27" i="82"/>
  <c r="AA27" i="82"/>
  <c r="AB27" i="82"/>
  <c r="AC27" i="82"/>
  <c r="AD27" i="82"/>
  <c r="AE27" i="82"/>
  <c r="Y28" i="82"/>
  <c r="Z28" i="82"/>
  <c r="AA28" i="82"/>
  <c r="AB28" i="82"/>
  <c r="AC28" i="82"/>
  <c r="AD28" i="82"/>
  <c r="AE28"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A12" i="82"/>
  <c r="BB12" i="82"/>
  <c r="BC12" i="82"/>
  <c r="BD12" i="82"/>
  <c r="BE12" i="82"/>
  <c r="BF12" i="82"/>
  <c r="BG12" i="82"/>
  <c r="BH12" i="82"/>
  <c r="BI12" i="82"/>
  <c r="BJ12" i="82"/>
  <c r="BK12" i="82"/>
  <c r="BL12" i="82"/>
  <c r="BM12" i="82"/>
  <c r="BN12" i="82"/>
  <c r="BO12" i="82"/>
  <c r="BP12" i="82"/>
  <c r="BQ12" i="82"/>
  <c r="BR12" i="82"/>
  <c r="BS12" i="82"/>
  <c r="BT12" i="82"/>
  <c r="BU12" i="82"/>
  <c r="BV12" i="82"/>
  <c r="BW12" i="82"/>
  <c r="Z12"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A11" i="82"/>
  <c r="BB11" i="82"/>
  <c r="BC11" i="82"/>
  <c r="BD11" i="82"/>
  <c r="BE11" i="82"/>
  <c r="BF11" i="82"/>
  <c r="BG11" i="82"/>
  <c r="BH11" i="82"/>
  <c r="BI11" i="82"/>
  <c r="BJ11" i="82"/>
  <c r="BK11" i="82"/>
  <c r="BL11" i="82"/>
  <c r="BM11" i="82"/>
  <c r="BN11" i="82"/>
  <c r="BO11" i="82"/>
  <c r="BP11" i="82"/>
  <c r="BQ11" i="82"/>
  <c r="BR11" i="82"/>
  <c r="BS11" i="82"/>
  <c r="BT11" i="82"/>
  <c r="BU11" i="82"/>
  <c r="BV11" i="82"/>
  <c r="BW11" i="82"/>
  <c r="Z11" i="82"/>
  <c r="Y10" i="82"/>
  <c r="Z10" i="82"/>
  <c r="AA10" i="82"/>
  <c r="AB10" i="82"/>
  <c r="AC10" i="82"/>
  <c r="AD10" i="82"/>
  <c r="AE10" i="82"/>
  <c r="X9" i="82"/>
  <c r="Y9" i="82"/>
  <c r="Z9" i="82"/>
  <c r="AA9" i="82"/>
  <c r="AB9" i="82"/>
  <c r="AC9" i="82"/>
  <c r="AD9" i="82"/>
  <c r="AE9" i="82"/>
  <c r="X10" i="82"/>
  <c r="AF69" i="81" l="1"/>
  <c r="AJ69" i="81"/>
  <c r="AD69" i="81"/>
  <c r="AH69" i="81"/>
  <c r="AL69" i="81"/>
  <c r="AB58" i="81"/>
  <c r="AD58" i="81"/>
  <c r="AF58" i="81"/>
  <c r="AJ58" i="81"/>
  <c r="K59" i="81"/>
  <c r="AC58" i="81"/>
  <c r="AE58" i="81"/>
  <c r="AG58" i="81"/>
  <c r="AI58" i="81"/>
  <c r="AK58" i="81"/>
  <c r="AH58" i="81"/>
  <c r="AL58" i="81"/>
  <c r="AA58" i="81"/>
  <c r="AB43" i="81"/>
  <c r="AD43" i="81"/>
  <c r="AF43" i="81"/>
  <c r="AH43" i="81"/>
  <c r="AL43" i="81"/>
  <c r="AA43" i="81"/>
  <c r="K44" i="81"/>
  <c r="AC43" i="81"/>
  <c r="AE43" i="81"/>
  <c r="AG43" i="81"/>
  <c r="AI43" i="81"/>
  <c r="AK43" i="81"/>
  <c r="AJ43" i="81"/>
  <c r="Y69" i="81"/>
  <c r="X15" i="82"/>
  <c r="X16" i="82"/>
  <c r="X17" i="82"/>
  <c r="X18" i="82"/>
  <c r="X19" i="82"/>
  <c r="W19" i="82" s="1"/>
  <c r="V19" i="82" s="1"/>
  <c r="X20" i="82"/>
  <c r="W20" i="82" s="1"/>
  <c r="V20" i="82" s="1"/>
  <c r="X22" i="82"/>
  <c r="X23" i="82"/>
  <c r="X24" i="82"/>
  <c r="X25" i="82"/>
  <c r="X26" i="82"/>
  <c r="X27" i="82"/>
  <c r="X28" i="82"/>
  <c r="X29" i="82"/>
  <c r="AA8" i="82"/>
  <c r="AA39" i="82" s="1"/>
  <c r="AB8" i="82"/>
  <c r="AB39" i="82" s="1"/>
  <c r="AC8" i="82"/>
  <c r="AC39" i="82" s="1"/>
  <c r="AD8" i="82"/>
  <c r="AD39" i="82" s="1"/>
  <c r="AE8" i="82"/>
  <c r="AE39" i="82" s="1"/>
  <c r="AF8" i="82"/>
  <c r="AF39" i="82" s="1"/>
  <c r="AG8" i="82"/>
  <c r="AG39" i="82" s="1"/>
  <c r="AH8" i="82"/>
  <c r="AH39" i="82" s="1"/>
  <c r="AI8" i="82"/>
  <c r="AI39" i="82" s="1"/>
  <c r="AJ8" i="82"/>
  <c r="AJ39" i="82" s="1"/>
  <c r="AK8" i="82"/>
  <c r="AK39" i="82" s="1"/>
  <c r="AL8" i="82"/>
  <c r="AL39" i="82" s="1"/>
  <c r="AM8" i="82"/>
  <c r="AM39" i="82" s="1"/>
  <c r="AN8" i="82"/>
  <c r="AN39" i="82" s="1"/>
  <c r="AO8" i="82"/>
  <c r="AO39" i="82" s="1"/>
  <c r="AP8" i="82"/>
  <c r="AP39" i="82" s="1"/>
  <c r="AQ8" i="82"/>
  <c r="AQ39" i="82" s="1"/>
  <c r="AR8" i="82"/>
  <c r="AR39" i="82" s="1"/>
  <c r="AS8" i="82"/>
  <c r="AS39" i="82" s="1"/>
  <c r="AT8" i="82"/>
  <c r="AT39" i="82" s="1"/>
  <c r="AU8" i="82"/>
  <c r="AU39" i="82" s="1"/>
  <c r="AV8" i="82"/>
  <c r="AV39" i="82" s="1"/>
  <c r="AW8" i="82"/>
  <c r="AW39" i="82" s="1"/>
  <c r="AX8" i="82"/>
  <c r="AX39" i="82" s="1"/>
  <c r="AY8" i="82"/>
  <c r="AY39" i="82" s="1"/>
  <c r="AZ8" i="82"/>
  <c r="AZ39" i="82" s="1"/>
  <c r="BA8" i="82"/>
  <c r="BA39" i="82" s="1"/>
  <c r="BB8" i="82"/>
  <c r="BB39" i="82" s="1"/>
  <c r="BC8" i="82"/>
  <c r="BC39" i="82" s="1"/>
  <c r="BD8" i="82"/>
  <c r="BD39" i="82" s="1"/>
  <c r="BE8" i="82"/>
  <c r="BE39" i="82" s="1"/>
  <c r="BF8" i="82"/>
  <c r="BF39" i="82" s="1"/>
  <c r="BG8" i="82"/>
  <c r="BG39" i="82" s="1"/>
  <c r="BH8" i="82"/>
  <c r="BH39" i="82" s="1"/>
  <c r="BI8" i="82"/>
  <c r="BI39" i="82" s="1"/>
  <c r="BJ8" i="82"/>
  <c r="BJ39" i="82" s="1"/>
  <c r="BK8" i="82"/>
  <c r="BK39" i="82" s="1"/>
  <c r="BL8" i="82"/>
  <c r="BL39" i="82" s="1"/>
  <c r="BM8" i="82"/>
  <c r="BM39" i="82" s="1"/>
  <c r="BN8" i="82"/>
  <c r="BN39" i="82" s="1"/>
  <c r="BO8" i="82"/>
  <c r="BO39" i="82" s="1"/>
  <c r="BP8" i="82"/>
  <c r="BP39" i="82" s="1"/>
  <c r="BQ8" i="82"/>
  <c r="BQ39" i="82" s="1"/>
  <c r="BR8" i="82"/>
  <c r="BR39" i="82" s="1"/>
  <c r="BS8" i="82"/>
  <c r="BS39" i="82" s="1"/>
  <c r="BT8" i="82"/>
  <c r="BT39" i="82" s="1"/>
  <c r="BU8" i="82"/>
  <c r="BU39" i="82" s="1"/>
  <c r="BV8" i="82"/>
  <c r="BV39" i="82" s="1"/>
  <c r="BW8" i="82"/>
  <c r="BW39" i="82" s="1"/>
  <c r="Z8" i="82"/>
  <c r="Y8" i="82"/>
  <c r="W2" i="82"/>
  <c r="Y42" i="82" s="1"/>
  <c r="AB73" i="81" l="1"/>
  <c r="Y47" i="82"/>
  <c r="K60" i="81"/>
  <c r="AC59" i="81"/>
  <c r="AG59" i="81"/>
  <c r="AK59" i="81"/>
  <c r="AB59" i="81"/>
  <c r="AD59" i="81"/>
  <c r="AF59" i="81"/>
  <c r="AH59" i="81"/>
  <c r="AJ59" i="81"/>
  <c r="AL59" i="81"/>
  <c r="AA59" i="81"/>
  <c r="AE59" i="81"/>
  <c r="AI59" i="81"/>
  <c r="K45" i="81"/>
  <c r="AE44" i="81"/>
  <c r="AI44" i="81"/>
  <c r="AB44" i="81"/>
  <c r="AD44" i="81"/>
  <c r="AF44" i="81"/>
  <c r="AH44" i="81"/>
  <c r="AJ44" i="81"/>
  <c r="AL44" i="81"/>
  <c r="AA44" i="81"/>
  <c r="AC44" i="81"/>
  <c r="AG44" i="81"/>
  <c r="AK44" i="81"/>
  <c r="F43" i="82"/>
  <c r="H39" i="82"/>
  <c r="D39" i="82"/>
  <c r="C39" i="82"/>
  <c r="S38" i="82"/>
  <c r="O38" i="82"/>
  <c r="N38" i="82"/>
  <c r="O37" i="82"/>
  <c r="N37" i="82"/>
  <c r="E37" i="82"/>
  <c r="O35" i="82"/>
  <c r="N35" i="82"/>
  <c r="P34" i="82"/>
  <c r="J34" i="82"/>
  <c r="P33" i="82"/>
  <c r="J33" i="82"/>
  <c r="X33" i="82" s="1"/>
  <c r="S32" i="82"/>
  <c r="O32" i="82"/>
  <c r="N32" i="82"/>
  <c r="O29" i="82"/>
  <c r="N29" i="82"/>
  <c r="O21" i="82"/>
  <c r="L21" i="82"/>
  <c r="L39" i="82" s="1"/>
  <c r="J21" i="82"/>
  <c r="O20" i="82"/>
  <c r="N20" i="82"/>
  <c r="O19" i="82"/>
  <c r="N19" i="82"/>
  <c r="S15" i="82"/>
  <c r="S39" i="82" s="1"/>
  <c r="O15" i="82"/>
  <c r="N15" i="82"/>
  <c r="P15" i="82" s="1"/>
  <c r="O14" i="82"/>
  <c r="P14" i="82" s="1"/>
  <c r="E14" i="82"/>
  <c r="J14" i="82" s="1"/>
  <c r="X14" i="82" s="1"/>
  <c r="W14" i="82" s="1"/>
  <c r="V14" i="82" s="1"/>
  <c r="O13" i="82"/>
  <c r="P13" i="82" s="1"/>
  <c r="E13" i="82"/>
  <c r="J13" i="82" s="1"/>
  <c r="O12" i="82"/>
  <c r="P12" i="82" s="1"/>
  <c r="E12" i="82"/>
  <c r="J12" i="82" s="1"/>
  <c r="O11" i="82"/>
  <c r="P11" i="82" s="1"/>
  <c r="E11" i="82"/>
  <c r="J11" i="82" s="1"/>
  <c r="O10" i="82"/>
  <c r="N10" i="82"/>
  <c r="P10" i="82" s="1"/>
  <c r="AD60" i="81" l="1"/>
  <c r="AJ60" i="81"/>
  <c r="K61" i="81"/>
  <c r="AC60" i="81"/>
  <c r="AE60" i="81"/>
  <c r="AG60" i="81"/>
  <c r="AI60" i="81"/>
  <c r="AK60" i="81"/>
  <c r="AB60" i="81"/>
  <c r="AF60" i="81"/>
  <c r="AH60" i="81"/>
  <c r="AL60" i="81"/>
  <c r="AA60" i="81"/>
  <c r="AD45" i="81"/>
  <c r="AH45" i="81"/>
  <c r="AA45" i="81"/>
  <c r="K46" i="81"/>
  <c r="AC45" i="81"/>
  <c r="AE45" i="81"/>
  <c r="AG45" i="81"/>
  <c r="AI45" i="81"/>
  <c r="AK45" i="81"/>
  <c r="AB45" i="81"/>
  <c r="AF45" i="81"/>
  <c r="AJ45" i="81"/>
  <c r="AL45" i="81"/>
  <c r="Y12" i="82"/>
  <c r="X12" i="82"/>
  <c r="W12" i="82" s="1"/>
  <c r="V12" i="82" s="1"/>
  <c r="Y13" i="82"/>
  <c r="X13" i="82"/>
  <c r="W13" i="82" s="1"/>
  <c r="V13" i="82" s="1"/>
  <c r="P29" i="82"/>
  <c r="P32" i="82"/>
  <c r="P37" i="82"/>
  <c r="Y11" i="82"/>
  <c r="X11" i="82"/>
  <c r="W11" i="82" s="1"/>
  <c r="V11" i="82" s="1"/>
  <c r="Y21" i="82"/>
  <c r="X21" i="82"/>
  <c r="W21" i="82" s="1"/>
  <c r="V21" i="82" s="1"/>
  <c r="Y34" i="82"/>
  <c r="Z34" i="82"/>
  <c r="Z39" i="82" s="1"/>
  <c r="X34" i="82"/>
  <c r="O39" i="82"/>
  <c r="P19" i="82"/>
  <c r="P20" i="82"/>
  <c r="P35" i="82"/>
  <c r="E39" i="82"/>
  <c r="P38" i="82"/>
  <c r="P39" i="82"/>
  <c r="S41" i="82" s="1"/>
  <c r="F42" i="82"/>
  <c r="N21" i="82"/>
  <c r="P21" i="82" s="1"/>
  <c r="N39" i="82"/>
  <c r="Q13" i="77"/>
  <c r="Q12" i="77"/>
  <c r="Q11" i="77"/>
  <c r="Q10" i="77"/>
  <c r="Q9" i="77"/>
  <c r="Q8" i="77"/>
  <c r="K62" i="81" l="1"/>
  <c r="AC61" i="81"/>
  <c r="AG61" i="81"/>
  <c r="AK61" i="81"/>
  <c r="AB61" i="81"/>
  <c r="AD61" i="81"/>
  <c r="AF61" i="81"/>
  <c r="AH61" i="81"/>
  <c r="AJ61" i="81"/>
  <c r="AL61" i="81"/>
  <c r="AA61" i="81"/>
  <c r="AE61" i="81"/>
  <c r="AI61" i="81"/>
  <c r="K47" i="81"/>
  <c r="AC46" i="81"/>
  <c r="AG46" i="81"/>
  <c r="AK46" i="81"/>
  <c r="AB46" i="81"/>
  <c r="AD46" i="81"/>
  <c r="AF46" i="81"/>
  <c r="AH46" i="81"/>
  <c r="AJ46" i="81"/>
  <c r="AL46" i="81"/>
  <c r="AA46" i="81"/>
  <c r="AE46" i="81"/>
  <c r="AI46" i="81"/>
  <c r="B40" i="82"/>
  <c r="E50" i="82"/>
  <c r="Y39" i="82"/>
  <c r="X39" i="82"/>
  <c r="AD62" i="81" l="1"/>
  <c r="AJ62" i="81"/>
  <c r="K63" i="81"/>
  <c r="AC62" i="81"/>
  <c r="AE62" i="81"/>
  <c r="AG62" i="81"/>
  <c r="AI62" i="81"/>
  <c r="AK62" i="81"/>
  <c r="AB62" i="81"/>
  <c r="AF62" i="81"/>
  <c r="AH62" i="81"/>
  <c r="AL62" i="81"/>
  <c r="AA62" i="81"/>
  <c r="K48" i="81"/>
  <c r="Y43" i="82"/>
  <c r="P12" i="77"/>
  <c r="R12" i="77" s="1"/>
  <c r="P11" i="77"/>
  <c r="R11" i="77" s="1"/>
  <c r="P10" i="77"/>
  <c r="R10" i="77" s="1"/>
  <c r="P9" i="77"/>
  <c r="R9" i="77" s="1"/>
  <c r="P8" i="77"/>
  <c r="R8" i="77" s="1"/>
  <c r="M12" i="77"/>
  <c r="M11" i="77"/>
  <c r="M7" i="77"/>
  <c r="K64" i="81" l="1"/>
  <c r="AC63" i="81"/>
  <c r="AG63" i="81"/>
  <c r="AB63" i="81"/>
  <c r="AD63" i="81"/>
  <c r="AF63" i="81"/>
  <c r="AH63" i="81"/>
  <c r="AJ63" i="81"/>
  <c r="AL63" i="81"/>
  <c r="AA63" i="81"/>
  <c r="AE63" i="81"/>
  <c r="AI63" i="81"/>
  <c r="AK63" i="81"/>
  <c r="AB64" i="81" l="1"/>
  <c r="K65" i="81"/>
  <c r="AC64" i="81"/>
  <c r="AE64" i="81"/>
  <c r="AG64" i="81"/>
  <c r="AI64" i="81"/>
  <c r="AK64" i="81"/>
  <c r="AJ64" i="81"/>
  <c r="AD64" i="81"/>
  <c r="AH64" i="81"/>
  <c r="AL64" i="81"/>
  <c r="AF64" i="81"/>
  <c r="AA64" i="81"/>
  <c r="D33" i="86" l="1"/>
  <c r="D1" i="86" s="1"/>
  <c r="D1" i="87"/>
  <c r="Y44" i="82"/>
  <c r="Z43" i="82" s="1"/>
  <c r="H42" i="87"/>
  <c r="K66" i="81"/>
  <c r="AB65" i="81"/>
  <c r="AD65" i="81"/>
  <c r="AF65" i="81"/>
  <c r="AH65" i="81"/>
  <c r="AJ65" i="81"/>
  <c r="AL65" i="81"/>
  <c r="AA65" i="81"/>
  <c r="AE65" i="81"/>
  <c r="AI65" i="81"/>
  <c r="AC65" i="81"/>
  <c r="AG65" i="81"/>
  <c r="AK65" i="81"/>
  <c r="AC66" i="81" l="1"/>
  <c r="AE66" i="81"/>
  <c r="AG66" i="81"/>
  <c r="AI66" i="81"/>
  <c r="AK66" i="81"/>
  <c r="AB66" i="81"/>
  <c r="AF66" i="81"/>
  <c r="AJ66" i="81"/>
  <c r="AA66" i="81"/>
  <c r="AD66" i="81"/>
  <c r="AH66" i="81"/>
  <c r="AL66" i="81"/>
  <c r="G59" i="80"/>
  <c r="C59" i="80"/>
  <c r="G35" i="80"/>
  <c r="C35" i="80"/>
  <c r="G18" i="80"/>
  <c r="G8" i="80"/>
  <c r="C8" i="80"/>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R4" i="77"/>
  <c r="R3" i="77"/>
  <c r="R14" i="77" l="1"/>
  <c r="R35" i="77"/>
  <c r="U34" i="77" s="1"/>
  <c r="AH9" i="71"/>
  <c r="AG9" i="71"/>
  <c r="AE9" i="71"/>
  <c r="AF9" i="71" s="1"/>
  <c r="AD9" i="71"/>
  <c r="Q9" i="71"/>
  <c r="P9" i="71"/>
  <c r="O9" i="71"/>
  <c r="N9" i="71"/>
  <c r="R24" i="77" l="1"/>
  <c r="R18" i="77"/>
  <c r="R25" i="77"/>
  <c r="R19" i="77"/>
  <c r="AH10" i="71"/>
  <c r="AG10" i="71"/>
  <c r="AE10" i="71"/>
  <c r="AF10" i="71" s="1"/>
  <c r="AD10" i="71"/>
  <c r="Q10" i="71"/>
  <c r="P10" i="71"/>
  <c r="O10" i="71"/>
  <c r="N10" i="71"/>
  <c r="R5" i="77" l="1"/>
  <c r="U5" i="77" l="1"/>
  <c r="E24" i="43"/>
  <c r="D18" i="77" l="1"/>
  <c r="D17" i="77"/>
  <c r="D16" i="77"/>
  <c r="D10" i="77"/>
  <c r="D15" i="77"/>
  <c r="D9" i="77"/>
  <c r="Q32" i="43"/>
  <c r="P32" i="43"/>
  <c r="O32" i="43"/>
  <c r="N32" i="43"/>
  <c r="M32" i="43"/>
  <c r="AH11" i="71"/>
  <c r="AG11" i="71"/>
  <c r="AE11" i="71"/>
  <c r="AF11" i="71" s="1"/>
  <c r="AD11" i="71"/>
  <c r="Q11" i="71"/>
  <c r="P11" i="71"/>
  <c r="O11" i="71"/>
  <c r="N11" i="71"/>
  <c r="AH12" i="71" l="1"/>
  <c r="AG12" i="71"/>
  <c r="AE12" i="71"/>
  <c r="AF12" i="71" s="1"/>
  <c r="AD12" i="71"/>
  <c r="Q12" i="71"/>
  <c r="P12" i="71"/>
  <c r="O12" i="71"/>
  <c r="N12" i="71"/>
  <c r="E23" i="77" l="1"/>
  <c r="D29" i="77"/>
  <c r="AH13" i="71"/>
  <c r="AG13" i="71"/>
  <c r="AE13" i="71"/>
  <c r="AF13" i="71" s="1"/>
  <c r="AD13" i="71"/>
  <c r="Q13" i="71"/>
  <c r="P13" i="71"/>
  <c r="O13" i="71"/>
  <c r="N13" i="71"/>
  <c r="E29"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G1" i="88"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AB74" i="81" s="1"/>
  <c r="AC73" i="81" s="1"/>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F71" i="37"/>
  <c r="G71" i="37" s="1"/>
  <c r="J15" i="37"/>
  <c r="W15" i="37" s="1"/>
  <c r="AT6" i="3"/>
  <c r="H5" i="3"/>
  <c r="AA25" i="21"/>
  <c r="H19" i="40"/>
  <c r="U19" i="40"/>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9" i="3"/>
  <c r="AZ63"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AZ17" i="3" s="1"/>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G54" i="43" s="1"/>
  <c r="K54" i="43" s="1"/>
  <c r="J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50" i="3"/>
  <c r="AZ58" i="3"/>
  <c r="AZ77"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8" i="3"/>
  <c r="AZ107" i="3"/>
  <c r="AZ111" i="3"/>
  <c r="K12" i="1"/>
  <c r="M12" i="1" s="1"/>
  <c r="S13" i="1"/>
  <c r="AR13" i="1" s="1"/>
  <c r="R13" i="1"/>
  <c r="J51" i="67"/>
  <c r="C42" i="1"/>
  <c r="C28" i="88"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A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28" i="15"/>
  <c r="M29" i="15"/>
  <c r="F38" i="88"/>
  <c r="M28" i="67"/>
  <c r="F42" i="88"/>
  <c r="E11" i="76"/>
  <c r="M24" i="67"/>
  <c r="B13" i="76"/>
  <c r="F42" i="67"/>
  <c r="F36" i="88"/>
  <c r="J15" i="88"/>
  <c r="L47" i="67"/>
  <c r="AO13" i="1"/>
  <c r="M6" i="88"/>
  <c r="E7" i="76"/>
  <c r="B12" i="76"/>
  <c r="F7" i="67"/>
  <c r="F38" i="15"/>
  <c r="M9" i="88"/>
  <c r="B11" i="76"/>
  <c r="F16" i="88"/>
  <c r="E10" i="76"/>
  <c r="B10" i="76"/>
  <c r="M26" i="88"/>
  <c r="M9" i="15"/>
  <c r="F26" i="67"/>
  <c r="M26" i="67"/>
  <c r="F9" i="88"/>
  <c r="F5" i="73"/>
  <c r="M22" i="88"/>
  <c r="F26" i="15"/>
  <c r="M22" i="15"/>
  <c r="M6" i="15"/>
  <c r="F6" i="73"/>
  <c r="M8" i="67"/>
  <c r="F7" i="15"/>
  <c r="B9" i="76"/>
  <c r="C76" i="67"/>
  <c r="E2" i="68"/>
  <c r="M22" i="67"/>
  <c r="J15" i="67"/>
  <c r="C76" i="88"/>
  <c r="B8" i="76"/>
  <c r="F6" i="67"/>
  <c r="F37" i="15"/>
  <c r="E13" i="76"/>
  <c r="F8" i="88"/>
  <c r="F13" i="67"/>
  <c r="M9" i="67"/>
  <c r="F9" i="67"/>
  <c r="M26" i="15"/>
  <c r="M8" i="88"/>
  <c r="F13" i="88"/>
  <c r="F20" i="31"/>
  <c r="J15" i="15"/>
  <c r="E8" i="76"/>
  <c r="L47" i="88"/>
  <c r="M24" i="15"/>
  <c r="E2" i="69"/>
  <c r="F4" i="73"/>
  <c r="F8" i="15"/>
  <c r="F26" i="88"/>
  <c r="F40" i="15"/>
  <c r="F7" i="73"/>
  <c r="L48" i="67"/>
  <c r="F40" i="67"/>
  <c r="M23" i="67"/>
  <c r="M8" i="15"/>
  <c r="M24" i="88"/>
  <c r="F3" i="73"/>
  <c r="M6" i="67"/>
  <c r="M23" i="15"/>
  <c r="E12" i="76"/>
  <c r="F40" i="88"/>
  <c r="F36" i="67"/>
  <c r="L47" i="15"/>
  <c r="M23" i="88"/>
  <c r="E9" i="76"/>
  <c r="F43" i="15"/>
  <c r="M27" i="88"/>
  <c r="M28" i="88"/>
  <c r="F16" i="15"/>
  <c r="F38" i="67"/>
  <c r="F6" i="88"/>
  <c r="F37" i="88"/>
  <c r="F16" i="67"/>
  <c r="F43" i="67"/>
  <c r="F8" i="67"/>
  <c r="C76" i="15"/>
  <c r="F36" i="15"/>
  <c r="B7" i="76"/>
  <c r="M29" i="67"/>
  <c r="F37" i="67"/>
  <c r="F42" i="15"/>
  <c r="F9" i="15"/>
  <c r="F13" i="15"/>
  <c r="G44" i="43" l="1"/>
  <c r="G44" i="87"/>
  <c r="C44" i="87" s="1"/>
  <c r="G44" i="86"/>
  <c r="C44" i="86" s="1"/>
  <c r="J1" i="73"/>
  <c r="J51" i="84"/>
  <c r="J51" i="88"/>
  <c r="M59" i="88" s="1"/>
  <c r="G23" i="87"/>
  <c r="G23" i="86"/>
  <c r="J51" i="85"/>
  <c r="F8" i="1"/>
  <c r="M7" i="1"/>
  <c r="AP6" i="1"/>
  <c r="K8" i="1"/>
  <c r="AP8" i="1" s="1"/>
  <c r="C36" i="69" s="1"/>
  <c r="B4" i="77"/>
  <c r="C18" i="9"/>
  <c r="D18" i="9" s="1"/>
  <c r="F51" i="88"/>
  <c r="Q71" i="88"/>
  <c r="F68" i="88"/>
  <c r="F66" i="88"/>
  <c r="C27" i="88"/>
  <c r="F64" i="88"/>
  <c r="F65" i="88"/>
  <c r="L59" i="88"/>
  <c r="G26" i="12"/>
  <c r="G22" i="69"/>
  <c r="BL18" i="3"/>
  <c r="BL20" i="3"/>
  <c r="BL23" i="3"/>
  <c r="BL27" i="3"/>
  <c r="BL29" i="3"/>
  <c r="BL35" i="3"/>
  <c r="BA39" i="3"/>
  <c r="BL53" i="3"/>
  <c r="AZ53" i="3" s="1"/>
  <c r="BA54" i="3"/>
  <c r="AZ54" i="3" s="1"/>
  <c r="BA55" i="3"/>
  <c r="AZ55" i="3" s="1"/>
  <c r="BL60" i="3"/>
  <c r="BL64" i="3"/>
  <c r="BA65" i="3"/>
  <c r="AZ65" i="3" s="1"/>
  <c r="BA66" i="3"/>
  <c r="AZ66" i="3" s="1"/>
  <c r="BA67" i="3"/>
  <c r="AZ67" i="3" s="1"/>
  <c r="BL69" i="3"/>
  <c r="AZ69" i="3" s="1"/>
  <c r="BA70" i="3"/>
  <c r="AZ70" i="3" s="1"/>
  <c r="BA71" i="3"/>
  <c r="AZ71" i="3" s="1"/>
  <c r="BA72" i="3"/>
  <c r="AZ72" i="3" s="1"/>
  <c r="BL74" i="3"/>
  <c r="AZ74" i="3" s="1"/>
  <c r="BL78" i="3"/>
  <c r="BL80" i="3"/>
  <c r="AZ80" i="3" s="1"/>
  <c r="BA81" i="3"/>
  <c r="AZ81" i="3" s="1"/>
  <c r="BA82" i="3"/>
  <c r="AZ82" i="3" s="1"/>
  <c r="BA83" i="3"/>
  <c r="AZ83" i="3" s="1"/>
  <c r="BA84" i="3"/>
  <c r="AZ84" i="3" s="1"/>
  <c r="BA85" i="3"/>
  <c r="AZ85" i="3" s="1"/>
  <c r="BA86" i="3"/>
  <c r="AZ86" i="3" s="1"/>
  <c r="BA18" i="3"/>
  <c r="AZ18" i="3" s="1"/>
  <c r="BA20" i="3"/>
  <c r="AZ20" i="3" s="1"/>
  <c r="BA22" i="3"/>
  <c r="AZ22" i="3" s="1"/>
  <c r="BA23" i="3"/>
  <c r="AZ23" i="3" s="1"/>
  <c r="BA25" i="3"/>
  <c r="AZ25" i="3" s="1"/>
  <c r="BA26" i="3"/>
  <c r="AZ26" i="3" s="1"/>
  <c r="BA27" i="3"/>
  <c r="AZ27" i="3" s="1"/>
  <c r="BA30" i="3"/>
  <c r="AZ30" i="3" s="1"/>
  <c r="BA31" i="3"/>
  <c r="AZ31" i="3" s="1"/>
  <c r="BA32" i="3"/>
  <c r="AZ32" i="3" s="1"/>
  <c r="BA33" i="3"/>
  <c r="AZ33" i="3" s="1"/>
  <c r="BA35" i="3"/>
  <c r="AZ35" i="3" s="1"/>
  <c r="BA36" i="3"/>
  <c r="AZ36" i="3" s="1"/>
  <c r="BA37" i="3"/>
  <c r="AZ37" i="3" s="1"/>
  <c r="BA38" i="3"/>
  <c r="BA40" i="3"/>
  <c r="AZ40" i="3" s="1"/>
  <c r="BA41" i="3"/>
  <c r="AZ41" i="3" s="1"/>
  <c r="M9" i="1"/>
  <c r="B7" i="1"/>
  <c r="E7" i="1" s="1"/>
  <c r="G1" i="85"/>
  <c r="G1" i="84"/>
  <c r="H69" i="43"/>
  <c r="O7" i="1"/>
  <c r="P7" i="1" s="1"/>
  <c r="J51" i="15"/>
  <c r="F6" i="1"/>
  <c r="I24" i="43" s="1"/>
  <c r="C24" i="43" s="1"/>
  <c r="C24" i="12"/>
  <c r="F9" i="1"/>
  <c r="K50" i="43"/>
  <c r="J50" i="43" s="1"/>
  <c r="D50" i="43" s="1"/>
  <c r="M54" i="43"/>
  <c r="N54" i="43" s="1"/>
  <c r="D54" i="43"/>
  <c r="B73" i="43"/>
  <c r="B79" i="43"/>
  <c r="B75" i="43"/>
  <c r="F34" i="15"/>
  <c r="F62" i="15" s="1"/>
  <c r="F34" i="67"/>
  <c r="F62" i="67" s="1"/>
  <c r="B41" i="1"/>
  <c r="C21" i="68"/>
  <c r="C40" i="69"/>
  <c r="F7" i="1"/>
  <c r="BA29" i="3"/>
  <c r="AZ29" i="3" s="1"/>
  <c r="BA52" i="3"/>
  <c r="AZ52" i="3" s="1"/>
  <c r="BL15" i="3"/>
  <c r="AZ15" i="3" s="1"/>
  <c r="BL19" i="3"/>
  <c r="AZ19" i="3" s="1"/>
  <c r="BL21" i="3"/>
  <c r="AZ21" i="3" s="1"/>
  <c r="BL24" i="3"/>
  <c r="AZ24" i="3" s="1"/>
  <c r="BL28" i="3"/>
  <c r="AZ28" i="3" s="1"/>
  <c r="BL34" i="3"/>
  <c r="BL39" i="3"/>
  <c r="AZ39" i="3" s="1"/>
  <c r="BL45" i="3"/>
  <c r="AZ45" i="3" s="1"/>
  <c r="BL48" i="3"/>
  <c r="F29" i="6"/>
  <c r="F30" i="6" s="1"/>
  <c r="G14" i="3"/>
  <c r="G5" i="3" s="1"/>
  <c r="E15" i="71"/>
  <c r="E14" i="71" s="1"/>
  <c r="E13" i="71" s="1"/>
  <c r="E12" i="71" s="1"/>
  <c r="V16" i="71"/>
  <c r="D20" i="71"/>
  <c r="U20" i="71" s="1"/>
  <c r="T20" i="71"/>
  <c r="V20" i="71"/>
  <c r="AZ585" i="3"/>
  <c r="D17" i="71"/>
  <c r="C16" i="71"/>
  <c r="G28" i="6"/>
  <c r="G30" i="6" s="1"/>
  <c r="G31" i="6" s="1"/>
  <c r="S41" i="34"/>
  <c r="AA41" i="34"/>
  <c r="AZ557" i="3"/>
  <c r="AC11" i="35"/>
  <c r="J34" i="35"/>
  <c r="H34" i="35"/>
  <c r="F34" i="35"/>
  <c r="U43" i="33"/>
  <c r="U46" i="33"/>
  <c r="AA13" i="35"/>
  <c r="H36" i="35"/>
  <c r="J36" i="35"/>
  <c r="H38" i="40"/>
  <c r="J38" i="40"/>
  <c r="H39" i="40"/>
  <c r="AZ399" i="3"/>
  <c r="AZ404" i="3"/>
  <c r="AZ414" i="3"/>
  <c r="AZ421" i="3"/>
  <c r="AZ430" i="3"/>
  <c r="AZ440" i="3"/>
  <c r="AZ449" i="3"/>
  <c r="AZ453" i="3"/>
  <c r="AZ455" i="3"/>
  <c r="AZ460" i="3"/>
  <c r="AZ471" i="3"/>
  <c r="AZ476" i="3"/>
  <c r="AZ478" i="3"/>
  <c r="AZ208" i="3"/>
  <c r="AZ211" i="3"/>
  <c r="AZ219" i="3"/>
  <c r="AZ236" i="3"/>
  <c r="AZ252" i="3"/>
  <c r="F23" i="36"/>
  <c r="H23" i="36"/>
  <c r="AZ409" i="3"/>
  <c r="AZ416" i="3"/>
  <c r="AZ425" i="3"/>
  <c r="AZ464" i="3"/>
  <c r="AZ467" i="3"/>
  <c r="AZ480" i="3"/>
  <c r="AZ482" i="3"/>
  <c r="AZ486" i="3"/>
  <c r="AZ488" i="3"/>
  <c r="AZ230" i="3"/>
  <c r="AZ246" i="3"/>
  <c r="AZ267" i="3"/>
  <c r="AZ284" i="3"/>
  <c r="AZ289" i="3"/>
  <c r="AZ292" i="3"/>
  <c r="AZ294" i="3"/>
  <c r="AZ300" i="3"/>
  <c r="AZ118" i="3"/>
  <c r="AZ121" i="3"/>
  <c r="AZ134" i="3"/>
  <c r="AZ137" i="3"/>
  <c r="AZ145" i="3"/>
  <c r="AZ161" i="3"/>
  <c r="AZ177" i="3"/>
  <c r="AZ193" i="3"/>
  <c r="AZ34" i="3"/>
  <c r="AZ38" i="3"/>
  <c r="AZ44" i="3"/>
  <c r="AZ48" i="3"/>
  <c r="AZ60" i="3"/>
  <c r="AZ64" i="3"/>
  <c r="AZ78" i="3"/>
  <c r="AZ91" i="3"/>
  <c r="AZ98" i="3"/>
  <c r="AZ104" i="3"/>
  <c r="AZ108" i="3"/>
  <c r="AB21" i="21"/>
  <c r="AC21" i="34"/>
  <c r="T40" i="71"/>
  <c r="D40" i="71"/>
  <c r="T44" i="71"/>
  <c r="D44" i="71"/>
  <c r="S21" i="21"/>
  <c r="U18" i="36"/>
  <c r="D27" i="71"/>
  <c r="AB27" i="71"/>
  <c r="S28" i="71"/>
  <c r="X32" i="71"/>
  <c r="AA29" i="71"/>
  <c r="Y9" i="71"/>
  <c r="Z9" i="71" s="1"/>
  <c r="Y10" i="71"/>
  <c r="Z10" i="71" s="1"/>
  <c r="AA9" i="71"/>
  <c r="AA10" i="71"/>
  <c r="AB24" i="71"/>
  <c r="Y21" i="71"/>
  <c r="Z21" i="71" s="1"/>
  <c r="AB23" i="7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AB17" i="71"/>
  <c r="X24" i="71"/>
  <c r="Y24" i="71"/>
  <c r="Z24" i="71" s="1"/>
  <c r="AB15" i="71"/>
  <c r="AB11" i="71"/>
  <c r="AB14" i="71"/>
  <c r="X11" i="71"/>
  <c r="Y12" i="71"/>
  <c r="Z12" i="71" s="1"/>
  <c r="Y13" i="71"/>
  <c r="Z13" i="71" s="1"/>
  <c r="Y23" i="71"/>
  <c r="Z23" i="71" s="1"/>
  <c r="Y22" i="71"/>
  <c r="Z22" i="71" s="1"/>
  <c r="X15" i="71"/>
  <c r="AA15" i="71"/>
  <c r="AB12" i="71"/>
  <c r="AB13" i="71"/>
  <c r="AA11" i="71"/>
  <c r="AA13"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F66" i="67"/>
  <c r="L59" i="15"/>
  <c r="N59" i="15"/>
  <c r="M59" i="15"/>
  <c r="F66" i="15"/>
  <c r="Q71" i="67"/>
  <c r="F64" i="15"/>
  <c r="C27" i="67"/>
  <c r="F71" i="67"/>
  <c r="C27" i="15"/>
  <c r="F65" i="15"/>
  <c r="N59" i="67"/>
  <c r="L59" i="67"/>
  <c r="L58" i="67"/>
  <c r="M59" i="67"/>
  <c r="B13" i="70"/>
  <c r="M7" i="67"/>
  <c r="J6" i="67" s="1"/>
  <c r="F50" i="67"/>
  <c r="F68" i="67"/>
  <c r="F64" i="67"/>
  <c r="F68" i="15"/>
  <c r="D9" i="69"/>
  <c r="F9" i="84"/>
  <c r="D4" i="73"/>
  <c r="F36" i="85"/>
  <c r="M23" i="85"/>
  <c r="F40" i="85"/>
  <c r="M9" i="84"/>
  <c r="F42" i="84"/>
  <c r="C16" i="15"/>
  <c r="M8" i="85"/>
  <c r="F42" i="85"/>
  <c r="L48" i="15"/>
  <c r="F7" i="88"/>
  <c r="M24" i="84"/>
  <c r="M22" i="85"/>
  <c r="F9" i="85"/>
  <c r="L48" i="84"/>
  <c r="F13" i="84"/>
  <c r="F16" i="85"/>
  <c r="L48" i="88"/>
  <c r="F7" i="85"/>
  <c r="F13" i="85"/>
  <c r="D6" i="73"/>
  <c r="F26" i="84"/>
  <c r="M26" i="84"/>
  <c r="J15" i="84"/>
  <c r="M29" i="84"/>
  <c r="F16" i="84"/>
  <c r="C76" i="85"/>
  <c r="M29" i="88"/>
  <c r="M24" i="85"/>
  <c r="F8" i="85"/>
  <c r="M22" i="84"/>
  <c r="F43" i="85"/>
  <c r="F6" i="85"/>
  <c r="D5" i="73"/>
  <c r="F37" i="85"/>
  <c r="F40" i="84"/>
  <c r="M26" i="85"/>
  <c r="C16" i="67"/>
  <c r="L47" i="85"/>
  <c r="M29" i="85"/>
  <c r="F38" i="85"/>
  <c r="F7" i="84"/>
  <c r="F6" i="15"/>
  <c r="F43" i="88"/>
  <c r="M8" i="84"/>
  <c r="M9" i="85"/>
  <c r="C76" i="84"/>
  <c r="F38" i="84"/>
  <c r="M28" i="84"/>
  <c r="M6" i="85"/>
  <c r="D7" i="73"/>
  <c r="F43" i="84"/>
  <c r="L48" i="85"/>
  <c r="J15" i="85"/>
  <c r="L47" i="84"/>
  <c r="M28" i="85"/>
  <c r="F26" i="85"/>
  <c r="F6" i="84"/>
  <c r="F36" i="84"/>
  <c r="M23" i="84"/>
  <c r="F37" i="84"/>
  <c r="D3" i="73"/>
  <c r="M6" i="84"/>
  <c r="F8" i="84"/>
  <c r="J7" i="36" l="1"/>
  <c r="N59" i="88"/>
  <c r="J7" i="37"/>
  <c r="J53" i="88"/>
  <c r="Q52" i="88" s="1"/>
  <c r="J57" i="88"/>
  <c r="J55" i="88" s="1"/>
  <c r="J58" i="88" s="1"/>
  <c r="Q50" i="88" s="1"/>
  <c r="I54" i="88"/>
  <c r="L58" i="88"/>
  <c r="Q60" i="88" s="1"/>
  <c r="H7" i="36"/>
  <c r="P28" i="86"/>
  <c r="O23" i="86"/>
  <c r="P25" i="86"/>
  <c r="P27" i="86"/>
  <c r="M24" i="86"/>
  <c r="P29" i="86"/>
  <c r="P26" i="86"/>
  <c r="C23" i="86"/>
  <c r="A1" i="79"/>
  <c r="P27" i="87"/>
  <c r="M24" i="87"/>
  <c r="P26" i="87"/>
  <c r="P28" i="87"/>
  <c r="O23" i="87"/>
  <c r="P25" i="87"/>
  <c r="P29" i="87"/>
  <c r="C23" i="87"/>
  <c r="C29" i="77"/>
  <c r="G8" i="1"/>
  <c r="C6" i="15"/>
  <c r="C32" i="15" s="1"/>
  <c r="I24" i="86"/>
  <c r="C24" i="86" s="1"/>
  <c r="T2" i="86" s="1"/>
  <c r="V2" i="86" s="1"/>
  <c r="M7" i="88"/>
  <c r="J6" i="88" s="1"/>
  <c r="J19" i="88" s="1"/>
  <c r="C6" i="88"/>
  <c r="C32" i="88" s="1"/>
  <c r="F50" i="88"/>
  <c r="C49" i="88" s="1"/>
  <c r="C61" i="88" s="1"/>
  <c r="F71" i="88"/>
  <c r="B3" i="3"/>
  <c r="E478" i="3" s="1"/>
  <c r="D10" i="68"/>
  <c r="M8" i="1"/>
  <c r="Q74" i="88"/>
  <c r="Q61" i="88"/>
  <c r="Q73" i="88"/>
  <c r="F11" i="88"/>
  <c r="M11" i="88"/>
  <c r="F32" i="85"/>
  <c r="F60" i="85" s="1"/>
  <c r="F28" i="85"/>
  <c r="C28" i="85" s="1"/>
  <c r="M18" i="85"/>
  <c r="F32" i="84"/>
  <c r="F60" i="84" s="1"/>
  <c r="F28" i="84"/>
  <c r="C28" i="84" s="1"/>
  <c r="M18" i="84"/>
  <c r="I24" i="87"/>
  <c r="C24" i="87" s="1"/>
  <c r="G6" i="1"/>
  <c r="E450" i="3"/>
  <c r="K16" i="1"/>
  <c r="E150" i="3"/>
  <c r="BA5" i="3"/>
  <c r="Q71" i="85"/>
  <c r="F51" i="85"/>
  <c r="L59" i="85"/>
  <c r="N59" i="85"/>
  <c r="M59" i="85"/>
  <c r="F64" i="85"/>
  <c r="C6" i="85"/>
  <c r="F71" i="85"/>
  <c r="F50" i="85"/>
  <c r="M7" i="85"/>
  <c r="J6" i="85" s="1"/>
  <c r="F68" i="85"/>
  <c r="C27" i="85"/>
  <c r="F65" i="85"/>
  <c r="F66" i="85"/>
  <c r="Q71" i="84"/>
  <c r="F71" i="84"/>
  <c r="F66" i="84"/>
  <c r="F50" i="84"/>
  <c r="M7" i="84"/>
  <c r="J6" i="84" s="1"/>
  <c r="F64" i="84"/>
  <c r="F65" i="84"/>
  <c r="F68" i="84"/>
  <c r="F51" i="84"/>
  <c r="C27" i="84"/>
  <c r="C6" i="84"/>
  <c r="L59" i="84"/>
  <c r="Q61" i="84" s="1"/>
  <c r="N59" i="84"/>
  <c r="M59" i="84"/>
  <c r="J53" i="85"/>
  <c r="L56" i="85"/>
  <c r="I54" i="85"/>
  <c r="J57" i="85"/>
  <c r="J55" i="85" s="1"/>
  <c r="J58" i="85" s="1"/>
  <c r="Q50" i="85" s="1"/>
  <c r="L58" i="85"/>
  <c r="L57" i="85"/>
  <c r="L60" i="85"/>
  <c r="G9" i="1"/>
  <c r="F11" i="85"/>
  <c r="M11" i="85"/>
  <c r="J53" i="15"/>
  <c r="L56" i="15" s="1"/>
  <c r="I54" i="15"/>
  <c r="J57" i="15"/>
  <c r="J55" i="15" s="1"/>
  <c r="J58" i="15" s="1"/>
  <c r="Q50" i="15" s="1"/>
  <c r="L58" i="15"/>
  <c r="Q73" i="15" s="1"/>
  <c r="L58" i="84"/>
  <c r="I54" i="84"/>
  <c r="J57" i="84"/>
  <c r="J55" i="84" s="1"/>
  <c r="J58" i="84" s="1"/>
  <c r="Q50" i="84" s="1"/>
  <c r="J53" i="84"/>
  <c r="G7" i="1"/>
  <c r="M55" i="43"/>
  <c r="N55" i="43" s="1"/>
  <c r="K55" i="43"/>
  <c r="K53" i="43"/>
  <c r="M53" i="43"/>
  <c r="N53" i="43" s="1"/>
  <c r="M52" i="43"/>
  <c r="N52" i="43" s="1"/>
  <c r="K52" i="43"/>
  <c r="K56" i="43"/>
  <c r="M56" i="43"/>
  <c r="N56" i="43" s="1"/>
  <c r="M58" i="43"/>
  <c r="N58" i="43" s="1"/>
  <c r="K58" i="43"/>
  <c r="K57" i="43"/>
  <c r="J57" i="43" s="1"/>
  <c r="D57" i="43" s="1"/>
  <c r="M57" i="43"/>
  <c r="N57" i="43" s="1"/>
  <c r="M51" i="43"/>
  <c r="N51" i="43" s="1"/>
  <c r="K51" i="43"/>
  <c r="F11" i="84"/>
  <c r="M11" i="84"/>
  <c r="F48" i="9"/>
  <c r="O52" i="9" s="1"/>
  <c r="F30" i="11"/>
  <c r="F31" i="12"/>
  <c r="C31" i="12" s="1"/>
  <c r="M18" i="67"/>
  <c r="F30" i="69"/>
  <c r="M18" i="15"/>
  <c r="D68" i="9"/>
  <c r="F30" i="68"/>
  <c r="F28" i="67"/>
  <c r="C28" i="67" s="1"/>
  <c r="F52" i="9"/>
  <c r="F32" i="67"/>
  <c r="F60" i="67" s="1"/>
  <c r="F32" i="15"/>
  <c r="F60" i="15" s="1"/>
  <c r="F28" i="15"/>
  <c r="C28" i="15" s="1"/>
  <c r="F54" i="9"/>
  <c r="AZ5" i="3"/>
  <c r="AY6" i="3" s="1"/>
  <c r="D3" i="6" s="1"/>
  <c r="C14" i="74" s="1"/>
  <c r="BL5" i="3"/>
  <c r="P6" i="1"/>
  <c r="C13" i="12" s="1"/>
  <c r="X6" i="3"/>
  <c r="E246" i="3"/>
  <c r="E385" i="3"/>
  <c r="AI6" i="3"/>
  <c r="E423" i="3"/>
  <c r="E263" i="3"/>
  <c r="E191" i="3"/>
  <c r="E135" i="3"/>
  <c r="E161" i="3"/>
  <c r="E445" i="3"/>
  <c r="E563" i="3"/>
  <c r="E69" i="3"/>
  <c r="E215" i="3"/>
  <c r="E387" i="3"/>
  <c r="M6" i="3"/>
  <c r="E514" i="3"/>
  <c r="E201" i="3"/>
  <c r="E431" i="3"/>
  <c r="E509" i="3"/>
  <c r="E322" i="3"/>
  <c r="E526" i="3"/>
  <c r="E441" i="3"/>
  <c r="E210" i="3"/>
  <c r="E447" i="3"/>
  <c r="E477" i="3"/>
  <c r="E585" i="3"/>
  <c r="E549" i="3"/>
  <c r="E351" i="3"/>
  <c r="E72" i="3"/>
  <c r="E562" i="3"/>
  <c r="E573" i="3"/>
  <c r="E99" i="3"/>
  <c r="E44" i="3"/>
  <c r="E331" i="3"/>
  <c r="E186" i="3"/>
  <c r="E27" i="3"/>
  <c r="E476" i="3"/>
  <c r="E505" i="3"/>
  <c r="E414" i="3"/>
  <c r="E515" i="3"/>
  <c r="E107" i="3"/>
  <c r="E269" i="3"/>
  <c r="E567" i="3"/>
  <c r="E318" i="3"/>
  <c r="E279" i="3"/>
  <c r="E111" i="3"/>
  <c r="E433" i="3"/>
  <c r="E571" i="3"/>
  <c r="E457" i="3"/>
  <c r="E458" i="3"/>
  <c r="E519" i="3"/>
  <c r="E45" i="3"/>
  <c r="E511"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9" i="3"/>
  <c r="E323" i="3"/>
  <c r="E513" i="3"/>
  <c r="E21" i="3"/>
  <c r="E50" i="3"/>
  <c r="E102" i="3"/>
  <c r="E20" i="3"/>
  <c r="E80" i="3"/>
  <c r="E62" i="3"/>
  <c r="E113" i="3"/>
  <c r="E176" i="3"/>
  <c r="E158" i="3"/>
  <c r="E218" i="3"/>
  <c r="E287" i="3"/>
  <c r="E265" i="3"/>
  <c r="E308" i="3"/>
  <c r="E365" i="3"/>
  <c r="E326" i="3"/>
  <c r="E524" i="3"/>
  <c r="E22" i="3"/>
  <c r="E101" i="3"/>
  <c r="E83" i="3"/>
  <c r="E68" i="3"/>
  <c r="E51" i="3"/>
  <c r="E63" i="3"/>
  <c r="E81" i="3"/>
  <c r="E154" i="3"/>
  <c r="E118" i="3"/>
  <c r="E179" i="3"/>
  <c r="E264" i="3"/>
  <c r="E222" i="3"/>
  <c r="E283" i="3"/>
  <c r="E309"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122" i="3"/>
  <c r="E453" i="3"/>
  <c r="E461" i="3"/>
  <c r="E85" i="3"/>
  <c r="E136" i="3"/>
  <c r="K1" i="73"/>
  <c r="F66" i="71"/>
  <c r="Q67" i="71"/>
  <c r="AA23" i="36"/>
  <c r="S23" i="36"/>
  <c r="AC38" i="40"/>
  <c r="W38" i="40"/>
  <c r="W36" i="35"/>
  <c r="AC36" i="35"/>
  <c r="AB34" i="35"/>
  <c r="U34" i="35"/>
  <c r="U16" i="71"/>
  <c r="B15" i="71"/>
  <c r="B14" i="71" s="1"/>
  <c r="B13" i="71" s="1"/>
  <c r="B12" i="71" s="1"/>
  <c r="S16" i="71"/>
  <c r="AB23" i="36"/>
  <c r="U23" i="36"/>
  <c r="U39" i="40"/>
  <c r="AB39" i="40"/>
  <c r="AB38" i="40"/>
  <c r="U38" i="40"/>
  <c r="AB36" i="35"/>
  <c r="U36" i="35"/>
  <c r="AA34" i="35"/>
  <c r="S34" i="35"/>
  <c r="AC34" i="35"/>
  <c r="W34" i="35"/>
  <c r="C15" i="71"/>
  <c r="T16" i="71"/>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L21" i="9" s="1"/>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F1" i="67"/>
  <c r="Q52" i="67"/>
  <c r="Q61" i="67"/>
  <c r="Q74" i="67"/>
  <c r="Q74" i="15"/>
  <c r="Q61" i="15"/>
  <c r="AE11" i="1"/>
  <c r="F27" i="68"/>
  <c r="AE12" i="1"/>
  <c r="AE10" i="1"/>
  <c r="C16" i="84"/>
  <c r="G1" i="73"/>
  <c r="F41" i="67"/>
  <c r="C16" i="85"/>
  <c r="C16" i="88"/>
  <c r="F1" i="88" l="1"/>
  <c r="L56" i="88"/>
  <c r="T6" i="87"/>
  <c r="V6" i="87" s="1"/>
  <c r="C41" i="87"/>
  <c r="C42" i="87"/>
  <c r="C42" i="86"/>
  <c r="C41" i="86"/>
  <c r="E314" i="3"/>
  <c r="AS6" i="3"/>
  <c r="E31" i="3"/>
  <c r="J10" i="88"/>
  <c r="J5" i="88" s="1"/>
  <c r="J26" i="88" s="1"/>
  <c r="G16" i="1"/>
  <c r="F10" i="39" s="1"/>
  <c r="AA10" i="39" s="1"/>
  <c r="T13" i="86"/>
  <c r="V13" i="86" s="1"/>
  <c r="T14" i="87"/>
  <c r="V14" i="87" s="1"/>
  <c r="T6" i="86"/>
  <c r="V6" i="86" s="1"/>
  <c r="C39" i="86"/>
  <c r="C40" i="87"/>
  <c r="T16" i="86"/>
  <c r="V16" i="86" s="1"/>
  <c r="T9" i="86"/>
  <c r="V9" i="86" s="1"/>
  <c r="T8" i="86"/>
  <c r="V8" i="86" s="1"/>
  <c r="C37" i="86"/>
  <c r="C37" i="87"/>
  <c r="E37" i="87" s="1"/>
  <c r="C39" i="87"/>
  <c r="T4" i="87"/>
  <c r="V4" i="87" s="1"/>
  <c r="T15" i="86"/>
  <c r="V15" i="86" s="1"/>
  <c r="T14" i="86"/>
  <c r="V14" i="86" s="1"/>
  <c r="T11" i="86"/>
  <c r="V11" i="86" s="1"/>
  <c r="C40" i="86"/>
  <c r="T5" i="86"/>
  <c r="V5" i="86" s="1"/>
  <c r="T10" i="86"/>
  <c r="V10" i="86" s="1"/>
  <c r="C33" i="88"/>
  <c r="T7" i="86"/>
  <c r="V7" i="86" s="1"/>
  <c r="T4" i="86"/>
  <c r="V4" i="86" s="1"/>
  <c r="T12" i="86"/>
  <c r="V12" i="86" s="1"/>
  <c r="T3" i="86"/>
  <c r="V3" i="86" s="1"/>
  <c r="C38" i="86"/>
  <c r="J18" i="88"/>
  <c r="E3" i="6"/>
  <c r="B14" i="74" s="1"/>
  <c r="E527" i="3"/>
  <c r="E271" i="3"/>
  <c r="E384" i="3"/>
  <c r="E193" i="3"/>
  <c r="E162" i="3"/>
  <c r="C36" i="68"/>
  <c r="E352" i="3"/>
  <c r="E217" i="3"/>
  <c r="AJ6" i="3"/>
  <c r="E247" i="3"/>
  <c r="E570" i="3"/>
  <c r="E335" i="3"/>
  <c r="E278" i="3"/>
  <c r="E535" i="3"/>
  <c r="E61" i="3"/>
  <c r="E382" i="3"/>
  <c r="E518" i="3"/>
  <c r="E336" i="3"/>
  <c r="E268" i="3"/>
  <c r="E579" i="3"/>
  <c r="E311" i="3"/>
  <c r="AB6" i="3"/>
  <c r="E189" i="3"/>
  <c r="E172" i="3"/>
  <c r="E290" i="3"/>
  <c r="E245" i="3"/>
  <c r="E578" i="3"/>
  <c r="E293" i="3"/>
  <c r="E583" i="3"/>
  <c r="C53" i="88"/>
  <c r="C48" i="88" s="1"/>
  <c r="C10" i="88"/>
  <c r="C5" i="88" s="1"/>
  <c r="J10" i="85"/>
  <c r="J5" i="85" s="1"/>
  <c r="J24" i="85" s="1"/>
  <c r="T13" i="87"/>
  <c r="V13" i="87" s="1"/>
  <c r="T7" i="87"/>
  <c r="V7" i="87" s="1"/>
  <c r="T8" i="87"/>
  <c r="V8" i="87" s="1"/>
  <c r="T3" i="87"/>
  <c r="V3" i="87" s="1"/>
  <c r="T2" i="87"/>
  <c r="V2" i="87" s="1"/>
  <c r="T10" i="87"/>
  <c r="V10" i="87" s="1"/>
  <c r="T9" i="87"/>
  <c r="V9" i="87" s="1"/>
  <c r="T15" i="87"/>
  <c r="V15" i="87" s="1"/>
  <c r="T11" i="87"/>
  <c r="V11" i="87" s="1"/>
  <c r="T5" i="87"/>
  <c r="V5" i="87" s="1"/>
  <c r="T16" i="87"/>
  <c r="V16" i="87" s="1"/>
  <c r="T12" i="87"/>
  <c r="V12" i="87" s="1"/>
  <c r="C38" i="87"/>
  <c r="G38" i="87" s="1"/>
  <c r="I38" i="87" s="1"/>
  <c r="H6" i="3"/>
  <c r="Q74" i="84"/>
  <c r="C49" i="84"/>
  <c r="C61" i="84" s="1"/>
  <c r="Q60" i="15"/>
  <c r="J10" i="84"/>
  <c r="J5" i="84" s="1"/>
  <c r="J24" i="84" s="1"/>
  <c r="C32" i="84"/>
  <c r="C33" i="84"/>
  <c r="J18" i="85"/>
  <c r="J19" i="85"/>
  <c r="C49" i="85"/>
  <c r="C61" i="85" s="1"/>
  <c r="J19" i="84"/>
  <c r="J18" i="84"/>
  <c r="C32" i="85"/>
  <c r="C33" i="85"/>
  <c r="Q74" i="85"/>
  <c r="Q61" i="85"/>
  <c r="G37" i="87"/>
  <c r="I37" i="87" s="1"/>
  <c r="E40" i="87"/>
  <c r="G40" i="87"/>
  <c r="I40" i="87" s="1"/>
  <c r="E38" i="87"/>
  <c r="E39" i="87"/>
  <c r="G39" i="87"/>
  <c r="I39" i="87" s="1"/>
  <c r="Q57" i="85"/>
  <c r="Q66" i="85"/>
  <c r="Q60" i="85"/>
  <c r="Q73" i="85"/>
  <c r="Q52" i="85"/>
  <c r="F1" i="85"/>
  <c r="F1" i="15"/>
  <c r="C53" i="85"/>
  <c r="C10" i="85"/>
  <c r="C5" i="85" s="1"/>
  <c r="Q52" i="15"/>
  <c r="H10" i="40"/>
  <c r="AB10" i="40" s="1"/>
  <c r="J10" i="39"/>
  <c r="W10" i="39" s="1"/>
  <c r="L56" i="84"/>
  <c r="Q52" i="84"/>
  <c r="F1" i="84"/>
  <c r="Q60" i="84"/>
  <c r="Q73" i="84"/>
  <c r="J51" i="43"/>
  <c r="D51" i="43"/>
  <c r="J58" i="43"/>
  <c r="D58" i="43"/>
  <c r="J52" i="43"/>
  <c r="D52" i="43"/>
  <c r="J55" i="43"/>
  <c r="D55" i="43"/>
  <c r="J56" i="43"/>
  <c r="D56" i="43"/>
  <c r="J53" i="43"/>
  <c r="D53" i="43"/>
  <c r="C53" i="84"/>
  <c r="C10" i="84"/>
  <c r="C5" i="84" s="1"/>
  <c r="F48" i="68"/>
  <c r="C48" i="68"/>
  <c r="C30" i="68"/>
  <c r="C48" i="11"/>
  <c r="C30" i="11"/>
  <c r="F48" i="69"/>
  <c r="C48" i="69"/>
  <c r="C30" i="69"/>
  <c r="AC6" i="3"/>
  <c r="B40" i="1"/>
  <c r="E65" i="39"/>
  <c r="Q66" i="71"/>
  <c r="Q65" i="71"/>
  <c r="D15" i="71"/>
  <c r="C14" i="71"/>
  <c r="B11" i="71"/>
  <c r="B10" i="71" s="1"/>
  <c r="B9" i="71" s="1"/>
  <c r="B8" i="71" s="1"/>
  <c r="B7" i="71" s="1"/>
  <c r="B6" i="71" s="1"/>
  <c r="B5" i="71" s="1"/>
  <c r="S12" i="71"/>
  <c r="AC7" i="34"/>
  <c r="V49" i="34" s="1"/>
  <c r="I49" i="34" s="1"/>
  <c r="U7" i="34"/>
  <c r="AA7" i="34"/>
  <c r="R49" i="34" s="1"/>
  <c r="AG11" i="1"/>
  <c r="AG9" i="1"/>
  <c r="AG10" i="1"/>
  <c r="AG8" i="1"/>
  <c r="AG12"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AE6" i="1"/>
  <c r="C17" i="88"/>
  <c r="AE9" i="1"/>
  <c r="M27" i="85"/>
  <c r="AE7" i="1"/>
  <c r="J10" i="40" l="1"/>
  <c r="AC10" i="40" s="1"/>
  <c r="G41" i="86"/>
  <c r="I41" i="86" s="1"/>
  <c r="E41" i="86"/>
  <c r="E42" i="86"/>
  <c r="G42" i="86"/>
  <c r="I42" i="86" s="1"/>
  <c r="G42" i="87"/>
  <c r="I42" i="87" s="1"/>
  <c r="E42" i="87"/>
  <c r="E41" i="87"/>
  <c r="G41" i="87"/>
  <c r="I41" i="87" s="1"/>
  <c r="E6" i="3"/>
  <c r="H10" i="39"/>
  <c r="U10" i="39" s="1"/>
  <c r="F10" i="40"/>
  <c r="S10" i="40" s="1"/>
  <c r="S10" i="39"/>
  <c r="J24" i="88"/>
  <c r="E39" i="86"/>
  <c r="G39" i="86"/>
  <c r="I39" i="86" s="1"/>
  <c r="E37" i="86"/>
  <c r="G37" i="86"/>
  <c r="I37" i="86" s="1"/>
  <c r="G38" i="86"/>
  <c r="I38" i="86" s="1"/>
  <c r="E38" i="86"/>
  <c r="E40" i="86"/>
  <c r="G40" i="86"/>
  <c r="I40" i="86" s="1"/>
  <c r="E8" i="70"/>
  <c r="C66" i="88"/>
  <c r="C60" i="88"/>
  <c r="L36" i="87"/>
  <c r="Q36" i="87" s="1"/>
  <c r="F24" i="88"/>
  <c r="C38" i="88"/>
  <c r="U10" i="40"/>
  <c r="W10" i="40"/>
  <c r="AB10" i="39"/>
  <c r="C48" i="84"/>
  <c r="C60" i="84" s="1"/>
  <c r="C48" i="85"/>
  <c r="C66" i="85" s="1"/>
  <c r="F24" i="85"/>
  <c r="C24" i="85" s="1"/>
  <c r="L36" i="86"/>
  <c r="AG6" i="1"/>
  <c r="C38" i="85"/>
  <c r="AG7" i="1"/>
  <c r="E50" i="43"/>
  <c r="B48" i="43" s="1"/>
  <c r="C28" i="43" s="1"/>
  <c r="L36" i="43"/>
  <c r="P36" i="43" s="1"/>
  <c r="F24" i="84"/>
  <c r="C38" i="84"/>
  <c r="F25" i="12"/>
  <c r="C26" i="12" s="1"/>
  <c r="D25" i="12" s="1"/>
  <c r="F22" i="68"/>
  <c r="C44" i="68" s="1"/>
  <c r="D41" i="68" s="1"/>
  <c r="F24" i="67"/>
  <c r="C24" i="67" s="1"/>
  <c r="F24" i="15"/>
  <c r="C24" i="15" s="1"/>
  <c r="F22" i="11"/>
  <c r="C23" i="11" s="1"/>
  <c r="F22" i="69"/>
  <c r="F41" i="69" s="1"/>
  <c r="D14" i="71"/>
  <c r="C13"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15"/>
  <c r="M27" i="84"/>
  <c r="C17" i="85"/>
  <c r="C17" i="15"/>
  <c r="C14" i="67"/>
  <c r="M27" i="15"/>
  <c r="C17" i="67"/>
  <c r="F41" i="84"/>
  <c r="C14" i="88"/>
  <c r="F41" i="85"/>
  <c r="C17" i="84"/>
  <c r="D30" i="6" l="1"/>
  <c r="AA10" i="40"/>
  <c r="B5" i="77"/>
  <c r="D14" i="77" s="1"/>
  <c r="C18" i="88"/>
  <c r="C15" i="88"/>
  <c r="L37" i="87"/>
  <c r="Q37" i="87" s="1"/>
  <c r="N36" i="87"/>
  <c r="O36" i="87"/>
  <c r="P36" i="87"/>
  <c r="M36" i="87"/>
  <c r="C24" i="88"/>
  <c r="F69" i="85"/>
  <c r="C66" i="84"/>
  <c r="E7" i="70"/>
  <c r="F69" i="84"/>
  <c r="F69" i="15"/>
  <c r="C60" i="85"/>
  <c r="P36" i="86"/>
  <c r="N36" i="86"/>
  <c r="L37" i="86"/>
  <c r="Q36" i="86"/>
  <c r="O36" i="86"/>
  <c r="M36" i="86"/>
  <c r="T13" i="43"/>
  <c r="V13" i="43" s="1"/>
  <c r="T9" i="43"/>
  <c r="V9" i="43" s="1"/>
  <c r="T16" i="43"/>
  <c r="V16" i="43" s="1"/>
  <c r="T12" i="43"/>
  <c r="V12" i="43" s="1"/>
  <c r="T8" i="43"/>
  <c r="V8" i="43" s="1"/>
  <c r="T3" i="43"/>
  <c r="V3" i="43" s="1"/>
  <c r="T6" i="43"/>
  <c r="V6" i="43" s="1"/>
  <c r="C37" i="43"/>
  <c r="C39" i="43"/>
  <c r="C38" i="43"/>
  <c r="T15" i="43"/>
  <c r="V15" i="43" s="1"/>
  <c r="T11" i="43"/>
  <c r="V11" i="43" s="1"/>
  <c r="T7" i="43"/>
  <c r="V7" i="43" s="1"/>
  <c r="T14" i="43"/>
  <c r="V14" i="43" s="1"/>
  <c r="T10" i="43"/>
  <c r="V10" i="43" s="1"/>
  <c r="T4" i="43"/>
  <c r="V4" i="43" s="1"/>
  <c r="T2" i="43"/>
  <c r="V2" i="43" s="1"/>
  <c r="T5" i="43"/>
  <c r="V5" i="43" s="1"/>
  <c r="C40" i="43"/>
  <c r="C41" i="43"/>
  <c r="C42" i="43"/>
  <c r="M36" i="43"/>
  <c r="N36" i="43"/>
  <c r="Q36" i="43"/>
  <c r="O36" i="43"/>
  <c r="L37" i="43"/>
  <c r="P37" i="43" s="1"/>
  <c r="C24" i="84"/>
  <c r="F41" i="68"/>
  <c r="C26" i="69"/>
  <c r="D22" i="69" s="1"/>
  <c r="C44" i="11"/>
  <c r="D41" i="11" s="1"/>
  <c r="H22" i="6"/>
  <c r="H25" i="6"/>
  <c r="R25" i="6" s="1"/>
  <c r="R12" i="1" s="1"/>
  <c r="C26" i="68"/>
  <c r="D22" i="68" s="1"/>
  <c r="C26" i="11"/>
  <c r="D22" i="11" s="1"/>
  <c r="C24" i="11"/>
  <c r="C25" i="11"/>
  <c r="C44" i="69"/>
  <c r="D41" i="69"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4" i="85"/>
  <c r="C14" i="84"/>
  <c r="C19" i="88" l="1"/>
  <c r="C20" i="88" s="1"/>
  <c r="C26" i="88" s="1"/>
  <c r="P37" i="87"/>
  <c r="O37" i="87"/>
  <c r="N37" i="87"/>
  <c r="M37" i="87"/>
  <c r="C15" i="84"/>
  <c r="C18" i="84"/>
  <c r="C18" i="85"/>
  <c r="C15" i="85"/>
  <c r="Q37" i="86"/>
  <c r="O37" i="86"/>
  <c r="M37" i="86"/>
  <c r="P37" i="86"/>
  <c r="N37" i="86"/>
  <c r="E42" i="43"/>
  <c r="G42" i="43"/>
  <c r="I42" i="43" s="1"/>
  <c r="E40" i="43"/>
  <c r="G40" i="43"/>
  <c r="I40" i="43" s="1"/>
  <c r="E39" i="43"/>
  <c r="G39" i="43"/>
  <c r="I39" i="43" s="1"/>
  <c r="E41" i="43"/>
  <c r="G41" i="43"/>
  <c r="I41" i="43" s="1"/>
  <c r="G38" i="43"/>
  <c r="I38" i="43" s="1"/>
  <c r="E38" i="43"/>
  <c r="G37" i="43"/>
  <c r="I37" i="43" s="1"/>
  <c r="E37" i="43"/>
  <c r="Q37" i="43"/>
  <c r="M37" i="43"/>
  <c r="N37" i="43"/>
  <c r="O37" i="43"/>
  <c r="C22" i="11"/>
  <c r="C31" i="1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8" l="1"/>
  <c r="C29" i="88" s="1"/>
  <c r="D13" i="77" s="1"/>
  <c r="D12" i="77" s="1"/>
  <c r="D11" i="77" s="1"/>
  <c r="E11" i="77" s="1"/>
  <c r="E7" i="77" s="1"/>
  <c r="C27" i="77" s="1"/>
  <c r="J59" i="88"/>
  <c r="J60" i="88" s="1"/>
  <c r="C19" i="84"/>
  <c r="C20" i="84" s="1"/>
  <c r="C26" i="84" s="1"/>
  <c r="G3" i="87"/>
  <c r="G3" i="86"/>
  <c r="G3" i="43"/>
  <c r="C19" i="85"/>
  <c r="C20" i="85" s="1"/>
  <c r="C26" i="85" s="1"/>
  <c r="C21" i="12"/>
  <c r="C22"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26" i="77" l="1"/>
  <c r="D27" i="77"/>
  <c r="D26" i="77" s="1"/>
  <c r="E27" i="77"/>
  <c r="E26" i="77" s="1"/>
  <c r="E32" i="77" s="1"/>
  <c r="C36" i="88"/>
  <c r="C13" i="88"/>
  <c r="C75" i="88" s="1"/>
  <c r="D7" i="77"/>
  <c r="Q49" i="88"/>
  <c r="J14" i="88"/>
  <c r="J22" i="88" s="1"/>
  <c r="C57" i="88"/>
  <c r="C64" i="88" s="1"/>
  <c r="Q48" i="88"/>
  <c r="C30" i="12"/>
  <c r="C28" i="12" s="1"/>
  <c r="C23" i="84"/>
  <c r="C29" i="84" s="1"/>
  <c r="H26" i="43"/>
  <c r="G26" i="43"/>
  <c r="B116" i="43"/>
  <c r="J26" i="43"/>
  <c r="E26" i="43"/>
  <c r="N370" i="46"/>
  <c r="Z7" i="43"/>
  <c r="F26" i="43"/>
  <c r="N94" i="46"/>
  <c r="B116" i="87"/>
  <c r="G26" i="87"/>
  <c r="J26" i="87"/>
  <c r="E26" i="87"/>
  <c r="Z7" i="87"/>
  <c r="F26" i="87"/>
  <c r="H26" i="87"/>
  <c r="B116" i="86"/>
  <c r="F26" i="86"/>
  <c r="G26" i="86"/>
  <c r="H26" i="86"/>
  <c r="J26" i="86"/>
  <c r="E26" i="86"/>
  <c r="Z7" i="86"/>
  <c r="C23" i="85"/>
  <c r="C29" i="85" s="1"/>
  <c r="J59" i="85" s="1"/>
  <c r="J60" i="85" s="1"/>
  <c r="AC7" i="21"/>
  <c r="V48" i="21" s="1"/>
  <c r="I48" i="21" s="1"/>
  <c r="C27" i="12"/>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8"/>
  <c r="F35" i="84"/>
  <c r="F35" i="67"/>
  <c r="M21" i="67"/>
  <c r="M21" i="88"/>
  <c r="M21" i="84"/>
  <c r="F35" i="85"/>
  <c r="M21" i="15"/>
  <c r="F35" i="15"/>
  <c r="M21" i="85"/>
  <c r="D32" i="77" l="1"/>
  <c r="C32" i="77"/>
  <c r="C56" i="88"/>
  <c r="C65" i="88" s="1"/>
  <c r="J13" i="88"/>
  <c r="J23" i="88" s="1"/>
  <c r="Q70" i="88"/>
  <c r="C37" i="88"/>
  <c r="J20" i="88"/>
  <c r="J17" i="88" s="1"/>
  <c r="F63" i="88"/>
  <c r="C62" i="88" s="1"/>
  <c r="C59" i="88" s="1"/>
  <c r="C34" i="88"/>
  <c r="C31" i="88" s="1"/>
  <c r="D26" i="87"/>
  <c r="C25" i="87" s="1"/>
  <c r="C33" i="87" s="1"/>
  <c r="C34" i="87" s="1"/>
  <c r="E34" i="87" s="1"/>
  <c r="C31" i="87" s="1"/>
  <c r="C32" i="12"/>
  <c r="B2" i="12" s="1"/>
  <c r="B3" i="12" s="1"/>
  <c r="D26" i="86"/>
  <c r="C25" i="86" s="1"/>
  <c r="C33" i="86" s="1"/>
  <c r="E33" i="86" s="1"/>
  <c r="C30" i="86" s="1"/>
  <c r="B2" i="86" s="1"/>
  <c r="B3" i="86" s="1"/>
  <c r="D26" i="43"/>
  <c r="C25" i="43" s="1"/>
  <c r="C33" i="43" s="1"/>
  <c r="I121" i="86"/>
  <c r="J121" i="86" s="1"/>
  <c r="K121" i="86" s="1"/>
  <c r="L121" i="86" s="1"/>
  <c r="M121" i="86" s="1"/>
  <c r="I120" i="86"/>
  <c r="J120" i="86" s="1"/>
  <c r="K120" i="86" s="1"/>
  <c r="L120" i="86" s="1"/>
  <c r="M120" i="86" s="1"/>
  <c r="I118" i="86"/>
  <c r="J118" i="86" s="1"/>
  <c r="K118" i="86" s="1"/>
  <c r="L118" i="86" s="1"/>
  <c r="M118" i="86" s="1"/>
  <c r="B122" i="86"/>
  <c r="C122" i="86" s="1"/>
  <c r="B121" i="86"/>
  <c r="C121" i="86" s="1"/>
  <c r="B120" i="86"/>
  <c r="C120" i="86" s="1"/>
  <c r="B119" i="86"/>
  <c r="C119" i="86" s="1"/>
  <c r="B118" i="86"/>
  <c r="I122" i="86"/>
  <c r="J122" i="86" s="1"/>
  <c r="K122" i="86" s="1"/>
  <c r="L122" i="86" s="1"/>
  <c r="M122" i="86" s="1"/>
  <c r="G121" i="86"/>
  <c r="H121" i="86" s="1"/>
  <c r="I119" i="86"/>
  <c r="J119" i="86" s="1"/>
  <c r="K119" i="86" s="1"/>
  <c r="L119" i="86" s="1"/>
  <c r="M119" i="86" s="1"/>
  <c r="D122" i="86"/>
  <c r="E122" i="86" s="1"/>
  <c r="F122" i="86" s="1"/>
  <c r="G122" i="86" s="1"/>
  <c r="H122" i="86" s="1"/>
  <c r="D121" i="86"/>
  <c r="E121" i="86" s="1"/>
  <c r="F121" i="86" s="1"/>
  <c r="D120" i="86"/>
  <c r="E120" i="86" s="1"/>
  <c r="F120" i="86" s="1"/>
  <c r="G120" i="86" s="1"/>
  <c r="H120" i="86" s="1"/>
  <c r="D119" i="86"/>
  <c r="E119" i="86" s="1"/>
  <c r="F119" i="86" s="1"/>
  <c r="G119" i="86" s="1"/>
  <c r="H119" i="86" s="1"/>
  <c r="D118" i="86"/>
  <c r="E118" i="86" s="1"/>
  <c r="F118" i="86" s="1"/>
  <c r="G118" i="86" s="1"/>
  <c r="H118" i="86" s="1"/>
  <c r="I121" i="87"/>
  <c r="J121" i="87" s="1"/>
  <c r="K121" i="87" s="1"/>
  <c r="L121" i="87" s="1"/>
  <c r="M121" i="87" s="1"/>
  <c r="I120" i="87"/>
  <c r="J120" i="87" s="1"/>
  <c r="K120" i="87" s="1"/>
  <c r="L120" i="87" s="1"/>
  <c r="M120" i="87" s="1"/>
  <c r="I118" i="87"/>
  <c r="J118" i="87" s="1"/>
  <c r="K118" i="87" s="1"/>
  <c r="L118" i="87" s="1"/>
  <c r="M118" i="87" s="1"/>
  <c r="B122" i="87"/>
  <c r="C122" i="87" s="1"/>
  <c r="B121" i="87"/>
  <c r="C121" i="87" s="1"/>
  <c r="B120" i="87"/>
  <c r="C120" i="87" s="1"/>
  <c r="B119" i="87"/>
  <c r="C119" i="87" s="1"/>
  <c r="B118" i="87"/>
  <c r="I122" i="87"/>
  <c r="J122" i="87" s="1"/>
  <c r="K122" i="87" s="1"/>
  <c r="L122" i="87" s="1"/>
  <c r="M122" i="87" s="1"/>
  <c r="G121" i="87"/>
  <c r="H121" i="87" s="1"/>
  <c r="I119" i="87"/>
  <c r="J119" i="87" s="1"/>
  <c r="K119" i="87" s="1"/>
  <c r="L119" i="87" s="1"/>
  <c r="M119"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J59" i="84"/>
  <c r="J60" i="84" s="1"/>
  <c r="Q48" i="84" s="1"/>
  <c r="C36" i="84"/>
  <c r="C13" i="84"/>
  <c r="C57" i="84"/>
  <c r="C64" i="84" s="1"/>
  <c r="J14" i="84"/>
  <c r="Q49" i="84"/>
  <c r="C34" i="86"/>
  <c r="E34" i="86" s="1"/>
  <c r="C31" i="86" s="1"/>
  <c r="E38" i="77"/>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Q48" i="85"/>
  <c r="L46" i="85"/>
  <c r="C57" i="85"/>
  <c r="C64" i="85" s="1"/>
  <c r="C13" i="85"/>
  <c r="Q49" i="85"/>
  <c r="C36" i="85"/>
  <c r="J14" i="85"/>
  <c r="J20" i="85"/>
  <c r="J17" i="85" s="1"/>
  <c r="F63" i="85"/>
  <c r="C62" i="85" s="1"/>
  <c r="C59" i="85" s="1"/>
  <c r="C34" i="85"/>
  <c r="C31" i="85" s="1"/>
  <c r="AC7" i="35"/>
  <c r="V38" i="35" s="1"/>
  <c r="I38" i="35" s="1"/>
  <c r="F63" i="84"/>
  <c r="C62" i="84" s="1"/>
  <c r="C59" i="84" s="1"/>
  <c r="C34" i="84"/>
  <c r="C31" i="84" s="1"/>
  <c r="J20" i="84"/>
  <c r="J17" i="8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88" l="1"/>
  <c r="C67" i="88" s="1"/>
  <c r="J16" i="88"/>
  <c r="J25" i="88" s="1"/>
  <c r="C30" i="88"/>
  <c r="C39" i="88" s="1"/>
  <c r="C80" i="88" s="1"/>
  <c r="C79" i="88" s="1"/>
  <c r="E33" i="87"/>
  <c r="C30" i="87" s="1"/>
  <c r="B2" i="87" s="1"/>
  <c r="C118" i="43"/>
  <c r="D116" i="43" s="1"/>
  <c r="E33" i="43"/>
  <c r="C30" i="43" s="1"/>
  <c r="C34" i="43"/>
  <c r="E34" i="43" s="1"/>
  <c r="C31" i="43" s="1"/>
  <c r="C118" i="87"/>
  <c r="D116" i="87" s="1"/>
  <c r="C118" i="86"/>
  <c r="D116" i="86" s="1"/>
  <c r="J13" i="84"/>
  <c r="J23" i="84" s="1"/>
  <c r="J22" i="84"/>
  <c r="C75" i="84"/>
  <c r="C37" i="84"/>
  <c r="C30" i="84" s="1"/>
  <c r="C39" i="84" s="1"/>
  <c r="I39" i="84" s="1"/>
  <c r="Q70" i="84"/>
  <c r="C56" i="84"/>
  <c r="C65" i="84" s="1"/>
  <c r="C58" i="84" s="1"/>
  <c r="C67" i="84" s="1"/>
  <c r="C68" i="84" s="1"/>
  <c r="C71" i="84" s="1"/>
  <c r="C75" i="85"/>
  <c r="Q70" i="85"/>
  <c r="C56" i="85"/>
  <c r="C65" i="85" s="1"/>
  <c r="C58" i="85" s="1"/>
  <c r="C67" i="85" s="1"/>
  <c r="C68" i="85" s="1"/>
  <c r="C71" i="85" s="1"/>
  <c r="C37" i="85"/>
  <c r="C30" i="85" s="1"/>
  <c r="C39" i="85" s="1"/>
  <c r="J13" i="85"/>
  <c r="J23" i="85" s="1"/>
  <c r="J22" i="85"/>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L51" i="85"/>
  <c r="AE8" i="1"/>
  <c r="Q69" i="88" l="1"/>
  <c r="Q68" i="88" s="1"/>
  <c r="B3" i="87"/>
  <c r="J16" i="84"/>
  <c r="J25" i="84" s="1"/>
  <c r="J26" i="84" s="1"/>
  <c r="J29" i="84" s="1"/>
  <c r="E2" i="76"/>
  <c r="C80" i="84"/>
  <c r="C79" i="84" s="1"/>
  <c r="C40" i="84"/>
  <c r="C46" i="84" s="1"/>
  <c r="Q69" i="84"/>
  <c r="Q68" i="84" s="1"/>
  <c r="B2" i="43"/>
  <c r="C6" i="68" s="1"/>
  <c r="C7" i="68" s="1"/>
  <c r="C5" i="68" s="1"/>
  <c r="C40" i="85"/>
  <c r="Q69" i="85"/>
  <c r="Q68" i="85" s="1"/>
  <c r="C80" i="85"/>
  <c r="C79" i="85" s="1"/>
  <c r="J16" i="85"/>
  <c r="J25" i="85" s="1"/>
  <c r="J26" i="85" s="1"/>
  <c r="J29" i="85" s="1"/>
  <c r="Q67" i="85"/>
  <c r="C6" i="71"/>
  <c r="D7"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B6" i="76"/>
  <c r="L51" i="84"/>
  <c r="F41" i="88"/>
  <c r="L51" i="88"/>
  <c r="L51" i="67"/>
  <c r="L57" i="88" l="1"/>
  <c r="L60" i="88" s="1"/>
  <c r="Q66" i="88" s="1"/>
  <c r="Q67" i="88"/>
  <c r="L57" i="84"/>
  <c r="L60" i="84" s="1"/>
  <c r="Q66" i="84" s="1"/>
  <c r="Q67" i="84"/>
  <c r="Q69" i="15"/>
  <c r="Q68" i="15" s="1"/>
  <c r="I39" i="15"/>
  <c r="F69" i="88"/>
  <c r="C68" i="88" s="1"/>
  <c r="C71" i="88" s="1"/>
  <c r="C40" i="88"/>
  <c r="C43" i="88" s="1"/>
  <c r="J29" i="88"/>
  <c r="C20" i="68"/>
  <c r="C23" i="68"/>
  <c r="C83" i="84"/>
  <c r="C82" i="84" s="1"/>
  <c r="Q56" i="84"/>
  <c r="C43" i="84"/>
  <c r="Q47" i="84"/>
  <c r="Q53" i="84" s="1"/>
  <c r="Q65" i="84"/>
  <c r="B2" i="76"/>
  <c r="B3" i="76" s="1"/>
  <c r="B3" i="43"/>
  <c r="Q47" i="85"/>
  <c r="Q53" i="85" s="1"/>
  <c r="Q56" i="85"/>
  <c r="Q62" i="85" s="1"/>
  <c r="C83" i="85"/>
  <c r="C82" i="85" s="1"/>
  <c r="B2" i="85"/>
  <c r="B3" i="85" s="1"/>
  <c r="C46" i="85"/>
  <c r="C43" i="85"/>
  <c r="Q65" i="85"/>
  <c r="Q75" i="85" s="1"/>
  <c r="L46" i="84"/>
  <c r="B2" i="84" s="1"/>
  <c r="B3" i="84"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6"/>
  <c r="D2" i="37"/>
  <c r="D38" i="77" l="1"/>
  <c r="D39" i="77" s="1"/>
  <c r="F36" i="77"/>
  <c r="C38" i="77"/>
  <c r="C39" i="77" s="1"/>
  <c r="E39" i="77"/>
  <c r="Q57" i="88"/>
  <c r="L46" i="88"/>
  <c r="Q57" i="84"/>
  <c r="Q62" i="84" s="1"/>
  <c r="C83" i="88"/>
  <c r="C82" i="88" s="1"/>
  <c r="Q47" i="88"/>
  <c r="Q53" i="88" s="1"/>
  <c r="Q56" i="88"/>
  <c r="Q65" i="88"/>
  <c r="Q75" i="88" s="1"/>
  <c r="B2" i="88"/>
  <c r="B3" i="88" s="1"/>
  <c r="C46" i="88"/>
  <c r="Q75" i="84"/>
  <c r="C25" i="68"/>
  <c r="C22" i="68" s="1"/>
  <c r="C28" i="68"/>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10" i="1"/>
  <c r="AO7" i="1"/>
  <c r="AO9" i="1"/>
  <c r="C40" i="77" l="1"/>
  <c r="Q62" i="88"/>
  <c r="C31" i="68"/>
  <c r="C52" i="68" s="1"/>
  <c r="B2" i="68" s="1"/>
  <c r="B3" i="68" s="1"/>
  <c r="L46" i="15"/>
  <c r="B2" i="15" s="1"/>
  <c r="B3"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C20" i="9"/>
  <c r="C41" i="77" l="1"/>
  <c r="B2" i="77"/>
  <c r="C21" i="9"/>
  <c r="C102" i="9"/>
  <c r="C57" i="68"/>
  <c r="C56" i="68" s="1"/>
  <c r="C103" i="9"/>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8" i="70" l="1"/>
  <c r="B3" i="77"/>
  <c r="B2" i="70"/>
  <c r="B3" i="70" s="1"/>
  <c r="C42" i="40"/>
  <c r="C43" i="40"/>
  <c r="E47" i="40"/>
  <c r="F47" i="40" s="1"/>
  <c r="E46" i="40"/>
  <c r="F46" i="40" s="1"/>
  <c r="I47" i="40"/>
  <c r="J47" i="40" s="1"/>
  <c r="D19" i="9"/>
  <c r="D20" i="9"/>
  <c r="D21" i="9" l="1"/>
  <c r="D22" i="9"/>
  <c r="D102" i="9"/>
  <c r="G19" i="9"/>
  <c r="G21" i="9" s="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D35" i="9"/>
  <c r="C32" i="9" l="1"/>
  <c r="M21" i="9"/>
  <c r="C35" i="9"/>
  <c r="C34" i="9" s="1"/>
  <c r="D34" i="9"/>
  <c r="B6" i="74" l="1"/>
  <c r="D6" i="74" s="1"/>
  <c r="F118" i="9"/>
  <c r="F4" i="52" s="1"/>
  <c r="B51" i="72" s="1"/>
  <c r="D118" i="9"/>
  <c r="D119" i="9" s="1"/>
  <c r="D5" i="52" s="1"/>
  <c r="B49" i="72" s="1"/>
  <c r="H118" i="9"/>
  <c r="H4" i="52" l="1"/>
  <c r="D14" i="74"/>
  <c r="G118" i="9"/>
  <c r="G4" i="52" s="1"/>
  <c r="B52" i="72" s="1"/>
  <c r="F119" i="9"/>
  <c r="F5" i="52" s="1"/>
  <c r="B53" i="72" s="1"/>
  <c r="H119" i="9"/>
  <c r="H5" i="52" s="1"/>
  <c r="H101" i="9"/>
  <c r="I118" i="9"/>
  <c r="D4" i="52"/>
  <c r="B47" i="72" s="1"/>
  <c r="C104" i="9"/>
  <c r="F14" i="74" l="1"/>
  <c r="E14" i="74"/>
  <c r="B5" i="74"/>
  <c r="D5" i="74" s="1"/>
  <c r="D45" i="9"/>
  <c r="M48" i="9"/>
  <c r="H107" i="9"/>
  <c r="D5" i="53"/>
  <c r="C105" i="9"/>
  <c r="I4" i="52"/>
  <c r="H102" i="9"/>
  <c r="E118" i="9"/>
  <c r="E4" i="52" s="1"/>
  <c r="B48" i="72" s="1"/>
  <c r="D7" i="53" l="1"/>
  <c r="B21" i="72" s="1"/>
  <c r="C5" i="74"/>
  <c r="D122" i="9"/>
  <c r="D13" i="53"/>
  <c r="H108" i="9"/>
  <c r="D53" i="9"/>
  <c r="D52" i="9"/>
  <c r="D55" i="9"/>
  <c r="M53" i="9" s="1"/>
  <c r="C85" i="9"/>
  <c r="C64" i="9"/>
  <c r="C63" i="9" s="1"/>
  <c r="C67" i="9" s="1"/>
  <c r="C78" i="9"/>
  <c r="C73" i="9" s="1"/>
  <c r="C93" i="9"/>
  <c r="C86" i="9" s="1"/>
  <c r="C72" i="9"/>
  <c r="B20" i="72"/>
  <c r="D6" i="53"/>
  <c r="B22" i="72" s="1"/>
  <c r="C95" i="9" l="1"/>
  <c r="C96" i="9" s="1"/>
  <c r="E96" i="9" s="1"/>
  <c r="E97" i="9" s="1"/>
  <c r="C79" i="9"/>
  <c r="C80" i="9" s="1"/>
  <c r="E80" i="9" s="1"/>
  <c r="E81" i="9" s="1"/>
  <c r="D59" i="9"/>
  <c r="M55" i="9" s="1"/>
  <c r="C68" i="9"/>
  <c r="D54" i="9" s="1"/>
  <c r="D14" i="53"/>
  <c r="B32" i="72" s="1"/>
  <c r="B30" i="72"/>
  <c r="D15" i="53"/>
  <c r="B31" i="72" s="1"/>
  <c r="C6" i="74"/>
  <c r="D123" i="9"/>
  <c r="D9" i="52" s="1"/>
  <c r="D8" i="52"/>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lenovo</author>
    <author>Lenovo User</author>
  </authors>
  <commentList>
    <comment ref="Y23" authorId="0">
      <text>
        <r>
          <rPr>
            <b/>
            <sz val="12"/>
            <rFont val="宋体"/>
            <family val="3"/>
            <charset val="134"/>
          </rPr>
          <t>lenovo:</t>
        </r>
        <r>
          <rPr>
            <sz val="9"/>
            <rFont val="宋体"/>
            <family val="3"/>
            <charset val="134"/>
          </rPr>
          <t xml:space="preserve">
103167.24+6332.76</t>
        </r>
      </text>
    </comment>
    <comment ref="D33" authorId="0">
      <text>
        <r>
          <rPr>
            <b/>
            <sz val="9"/>
            <color indexed="81"/>
            <rFont val="宋体"/>
            <family val="3"/>
            <charset val="134"/>
          </rPr>
          <t>lenovo:</t>
        </r>
        <r>
          <rPr>
            <sz val="9"/>
            <color indexed="81"/>
            <rFont val="宋体"/>
            <family val="3"/>
            <charset val="134"/>
          </rPr>
          <t xml:space="preserve">
合同签订建筑面积为789.69平方米</t>
        </r>
      </text>
    </comment>
    <comment ref="F33" authorId="1">
      <text>
        <r>
          <rPr>
            <b/>
            <sz val="12"/>
            <rFont val="宋体"/>
            <family val="3"/>
            <charset val="134"/>
          </rPr>
          <t>17米为通道面积</t>
        </r>
        <r>
          <rPr>
            <sz val="9"/>
            <rFont val="Tahoma"/>
            <family val="2"/>
            <charset val="134"/>
          </rPr>
          <t xml:space="preserve">
</t>
        </r>
      </text>
    </comment>
    <comment ref="G33" authorId="1">
      <text>
        <r>
          <rPr>
            <b/>
            <sz val="12"/>
            <rFont val="宋体"/>
            <family val="3"/>
            <charset val="134"/>
          </rPr>
          <t>17米为通道面积</t>
        </r>
        <r>
          <rPr>
            <sz val="9"/>
            <rFont val="Tahoma"/>
            <family val="2"/>
            <charset val="134"/>
          </rPr>
          <t xml:space="preserve">
</t>
        </r>
      </text>
    </comment>
    <comment ref="Y67" authorId="0">
      <text>
        <r>
          <rPr>
            <b/>
            <sz val="14"/>
            <rFont val="宋体"/>
            <family val="3"/>
            <charset val="134"/>
          </rPr>
          <t>lenovo:</t>
        </r>
        <r>
          <rPr>
            <sz val="14"/>
            <rFont val="宋体"/>
            <family val="3"/>
            <charset val="134"/>
          </rPr>
          <t xml:space="preserve">
2313643..74+142058.01</t>
        </r>
      </text>
    </comment>
  </commentList>
</comments>
</file>

<file path=xl/comments28.xml><?xml version="1.0" encoding="utf-8"?>
<comments xmlns="http://schemas.openxmlformats.org/spreadsheetml/2006/main">
  <authors>
    <author>lenovo</author>
    <author>雨林木风</author>
  </authors>
  <commentList>
    <comment ref="P10" authorId="0">
      <text>
        <r>
          <rPr>
            <b/>
            <sz val="9"/>
            <rFont val="宋体"/>
            <family val="3"/>
            <charset val="134"/>
          </rPr>
          <t>lenovo:</t>
        </r>
        <r>
          <rPr>
            <sz val="9"/>
            <rFont val="宋体"/>
            <family val="3"/>
            <charset val="134"/>
          </rPr>
          <t xml:space="preserve">
806/1203合计315718.76</t>
        </r>
      </text>
    </comment>
    <comment ref="A41" authorId="1">
      <text>
        <r>
          <rPr>
            <b/>
            <sz val="9"/>
            <rFont val="宋体"/>
            <family val="3"/>
            <charset val="134"/>
          </rPr>
          <t>雨林木风:</t>
        </r>
        <r>
          <rPr>
            <sz val="9"/>
            <rFont val="宋体"/>
            <family val="3"/>
            <charset val="134"/>
          </rPr>
          <t xml:space="preserve">
总建筑面积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<sst xmlns="http://schemas.openxmlformats.org/spreadsheetml/2006/main" count="10773" uniqueCount="4144">
  <si>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</si>
  <si>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</si>
  <si>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</si>
  <si>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</si>
  <si>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</si>
  <si>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</si>
  <si>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</si>
  <si>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</si>
  <si>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</si>
  <si>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</si>
  <si>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</si>
  <si>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</si>
  <si>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</si>
  <si>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</si>
  <si>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</si>
  <si>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</si>
  <si>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</si>
  <si>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</si>
  <si>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</si>
  <si>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</si>
  <si>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</si>
  <si>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</si>
  <si>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</si>
  <si>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</si>
  <si>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</si>
  <si>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</si>
  <si>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</si>
  <si>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</si>
  <si>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</si>
  <si>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</si>
  <si>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</si>
  <si>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</si>
  <si>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</si>
  <si>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</si>
  <si>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</si>
  <si>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</si>
  <si>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</si>
  <si>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</si>
  <si>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</si>
  <si>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</si>
  <si>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</si>
  <si>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</si>
  <si>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</si>
  <si>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</si>
  <si>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</si>
  <si>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</si>
  <si>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</si>
  <si>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</si>
  <si>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</si>
  <si>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</si>
  <si>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</si>
  <si>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</si>
  <si>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</si>
  <si>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</si>
  <si>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</si>
  <si>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</si>
  <si>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</si>
  <si>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</si>
  <si>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</si>
  <si>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</si>
  <si>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</si>
  <si>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</si>
  <si>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</si>
  <si>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</si>
  <si>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</si>
  <si>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</si>
  <si>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</si>
  <si>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</si>
  <si>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</si>
  <si>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</si>
  <si>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</si>
  <si>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</si>
  <si>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</si>
  <si>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</si>
  <si>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</si>
  <si>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</si>
  <si>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</si>
  <si>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</si>
  <si>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</si>
  <si>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</si>
  <si>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</si>
  <si>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</si>
  <si>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</si>
  <si>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</si>
  <si>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</si>
  <si>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</si>
  <si>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</si>
  <si>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</si>
  <si>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</si>
  <si>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</si>
  <si>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</si>
  <si>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</si>
  <si>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</si>
  <si>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</si>
  <si>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</si>
  <si>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</si>
  <si>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</si>
  <si>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</si>
  <si>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</si>
  <si>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</si>
  <si>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</si>
  <si>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</si>
  <si>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</si>
  <si>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</si>
  <si>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</si>
  <si>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</si>
  <si>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</si>
  <si>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</si>
  <si>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</si>
  <si>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</si>
  <si>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</si>
  <si>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</si>
  <si>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</si>
  <si>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</si>
  <si>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</si>
  <si>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</si>
  <si>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</si>
  <si>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</si>
  <si>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</si>
  <si>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</si>
  <si>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</si>
  <si>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</si>
  <si>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</si>
  <si>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</si>
  <si>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</si>
  <si>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</si>
  <si>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</si>
  <si>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</si>
  <si>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</si>
  <si>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</si>
  <si>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</si>
  <si>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</si>
  <si>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</si>
  <si>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</si>
  <si>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</si>
  <si>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</si>
  <si>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</si>
  <si>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</si>
  <si>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</si>
  <si>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</si>
  <si>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</si>
  <si>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</si>
  <si>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</si>
  <si>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</si>
  <si>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</si>
  <si>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</si>
  <si>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</si>
  <si>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</si>
  <si>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</si>
  <si>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</si>
  <si>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</si>
  <si>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</si>
  <si>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</si>
  <si>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</si>
  <si>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</si>
  <si>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</si>
  <si>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</si>
  <si>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</si>
  <si>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</si>
  <si>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</si>
  <si>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</si>
  <si>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</si>
  <si>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</si>
  <si>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</si>
  <si>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</si>
  <si>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</si>
  <si>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</si>
  <si>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</si>
  <si>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</si>
  <si>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</si>
  <si>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</si>
  <si>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</si>
  <si>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</si>
  <si>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</si>
  <si>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</si>
  <si>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</si>
  <si>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</si>
  <si>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</si>
  <si>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</si>
  <si>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</si>
  <si>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</si>
  <si>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</si>
  <si>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</si>
  <si>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</si>
  <si>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</si>
  <si>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</si>
  <si>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</si>
  <si>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</si>
  <si>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</si>
  <si>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</si>
  <si>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</si>
  <si>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</si>
  <si>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</si>
  <si>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</si>
  <si>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</si>
  <si>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</si>
  <si>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</si>
  <si>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</si>
  <si>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</si>
  <si>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</si>
  <si>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</si>
  <si>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</si>
  <si>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</si>
  <si>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</si>
  <si>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</si>
  <si>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</si>
  <si>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</si>
  <si>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</si>
  <si>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</si>
  <si>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</si>
  <si>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</si>
  <si>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</si>
  <si>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</si>
  <si>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</si>
  <si>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</si>
  <si>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</si>
  <si>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</si>
  <si>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</si>
  <si>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</si>
  <si>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</si>
  <si>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</si>
  <si>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</si>
  <si>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</si>
  <si>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</si>
  <si>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</si>
  <si>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</si>
  <si>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</si>
  <si>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</si>
  <si>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</si>
  <si>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</si>
  <si>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</si>
  <si>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</si>
  <si>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</si>
  <si>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</si>
  <si>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</si>
  <si>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</si>
  <si>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</si>
  <si>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</si>
  <si>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</si>
  <si>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</si>
  <si>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</si>
  <si>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</si>
  <si>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</si>
  <si>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</si>
  <si>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</si>
  <si>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</si>
  <si>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</si>
  <si>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</si>
  <si>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</si>
  <si>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</si>
  <si>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</si>
  <si>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</si>
  <si>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</si>
  <si>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</si>
  <si>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</si>
  <si>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</si>
  <si>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</si>
  <si>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</si>
  <si>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</si>
  <si>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</si>
  <si>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</si>
  <si>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</si>
  <si>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</si>
  <si>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</si>
  <si>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</si>
  <si>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</si>
  <si>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</si>
  <si>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</si>
  <si>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</si>
  <si>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</si>
  <si>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</si>
  <si>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</si>
  <si>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</si>
  <si>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</si>
  <si>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</si>
  <si>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</si>
  <si>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</si>
  <si>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</si>
  <si>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</si>
  <si>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</si>
  <si>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</si>
  <si>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</si>
  <si>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</si>
  <si>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</si>
  <si>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</si>
  <si>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</si>
  <si>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</si>
  <si>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</si>
  <si>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</si>
  <si>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</si>
  <si>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</si>
  <si>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</si>
  <si>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</si>
  <si>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</si>
  <si>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</si>
  <si>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</si>
  <si>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</si>
  <si>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</si>
  <si>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</si>
  <si>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</si>
  <si>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</si>
  <si>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</si>
  <si>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</si>
  <si>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</si>
  <si>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</si>
  <si>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</si>
  <si>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</si>
  <si>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</si>
  <si>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</si>
  <si>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</si>
  <si>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</si>
  <si>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</si>
  <si>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</si>
  <si>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</si>
  <si>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</si>
  <si>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</si>
  <si>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</si>
  <si>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</si>
  <si>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</si>
  <si>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</si>
  <si>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</si>
  <si>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</si>
  <si>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</si>
  <si>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</si>
  <si>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</si>
  <si>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</si>
  <si>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</si>
  <si>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</si>
  <si>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</si>
  <si>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</si>
  <si>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</si>
  <si>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</si>
  <si>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</si>
  <si>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</si>
  <si>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</si>
  <si>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</si>
  <si>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</si>
  <si>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</si>
  <si>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</si>
  <si>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</si>
  <si>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</si>
  <si>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</si>
  <si>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</si>
  <si>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</si>
  <si>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</si>
  <si>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</si>
  <si>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</si>
  <si>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</si>
  <si>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</si>
  <si>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</si>
  <si>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</si>
  <si>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</si>
  <si>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</si>
  <si>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</si>
  <si>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</si>
  <si>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</si>
  <si>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</si>
  <si>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</si>
  <si>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</si>
  <si>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</si>
  <si>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</si>
  <si>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</si>
  <si>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</si>
  <si>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</si>
  <si>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</si>
  <si>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</si>
  <si>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</si>
  <si>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</si>
  <si>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</si>
  <si>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</si>
  <si>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</si>
  <si>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</si>
  <si>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</si>
  <si>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</si>
  <si>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</si>
  <si>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</si>
  <si>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</si>
  <si>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</si>
  <si>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</si>
  <si>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</si>
  <si>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</si>
  <si>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</si>
  <si>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</si>
  <si>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</si>
  <si>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</si>
  <si>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</si>
  <si>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</si>
  <si>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</si>
  <si>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</si>
  <si>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</si>
  <si>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</si>
  <si>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</si>
  <si>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</si>
  <si>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</si>
  <si>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</si>
  <si>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</si>
  <si>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</si>
  <si>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</si>
  <si>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</si>
  <si>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</si>
  <si>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</si>
  <si>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</si>
  <si>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</si>
  <si>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</si>
  <si>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</si>
  <si>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</si>
  <si>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</si>
  <si>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</si>
  <si>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</si>
  <si>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</si>
  <si>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</si>
  <si>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</si>
  <si>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</si>
  <si>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</si>
  <si>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</si>
  <si>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</si>
  <si>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</si>
  <si>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</si>
  <si>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</si>
  <si>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</si>
  <si>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</si>
  <si>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</si>
  <si>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</si>
  <si>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</si>
  <si>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</si>
  <si>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</si>
  <si>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</si>
  <si>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</si>
  <si>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</si>
  <si>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</si>
  <si>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</si>
  <si>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</si>
  <si>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</si>
  <si>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</si>
  <si>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</si>
  <si>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</si>
  <si>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</si>
  <si>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</si>
  <si>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</si>
  <si>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</si>
  <si>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</si>
  <si>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</si>
  <si>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</si>
  <si>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</si>
  <si>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</si>
  <si>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</si>
  <si>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</si>
  <si>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</si>
  <si>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</si>
  <si>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</si>
  <si>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</si>
  <si>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</si>
  <si>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</si>
  <si>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</si>
  <si>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</si>
  <si>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</si>
  <si>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</si>
  <si>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</si>
  <si>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</si>
  <si>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</si>
  <si>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</si>
  <si>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</si>
  <si>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</si>
  <si>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</si>
  <si>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</si>
  <si>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</si>
  <si>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</si>
  <si>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</si>
  <si>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</si>
  <si>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</si>
  <si>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</si>
  <si>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</si>
  <si>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</si>
  <si>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</si>
  <si>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</si>
  <si>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</si>
  <si>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</si>
  <si>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</si>
  <si>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</si>
  <si>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</si>
  <si>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</si>
  <si>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</si>
  <si>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</si>
  <si>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</si>
  <si>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</si>
  <si>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</si>
  <si>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</si>
  <si>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</si>
  <si>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</si>
  <si>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</si>
  <si>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</si>
  <si>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</si>
  <si>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</si>
  <si>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</si>
  <si>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</si>
  <si>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</si>
  <si>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</si>
  <si>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</si>
  <si>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</si>
  <si>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</si>
  <si>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</si>
  <si>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</si>
  <si>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</si>
  <si>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</si>
  <si>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</si>
  <si>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</si>
  <si>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</si>
  <si>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</si>
  <si>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</si>
  <si>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</si>
  <si>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</si>
  <si>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</si>
  <si>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</si>
  <si>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</si>
  <si>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</si>
  <si>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</si>
  <si>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</si>
  <si>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</si>
  <si>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</si>
  <si>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</si>
  <si>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</si>
  <si>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</si>
  <si>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</si>
  <si>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</si>
  <si>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</si>
  <si>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</si>
  <si>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</si>
  <si>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</si>
  <si>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</si>
  <si>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</si>
  <si>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</si>
  <si>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</si>
  <si>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</si>
  <si>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</si>
  <si>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</si>
  <si>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</si>
  <si>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</si>
  <si>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</si>
  <si>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</si>
  <si>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</si>
  <si>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</si>
  <si>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</si>
  <si>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</si>
  <si>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</si>
  <si>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</si>
  <si>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</si>
  <si>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</si>
  <si>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</si>
  <si>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</si>
  <si>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</si>
  <si>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</si>
  <si>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</si>
  <si>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</si>
  <si>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</si>
  <si>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</si>
  <si>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</si>
  <si>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</si>
  <si>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</si>
  <si>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</si>
  <si>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</si>
  <si>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</si>
  <si>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</si>
  <si>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</si>
  <si>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</si>
  <si>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</si>
  <si>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</si>
  <si>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</si>
  <si>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</si>
  <si>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</si>
  <si>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</si>
  <si>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</si>
  <si>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</si>
  <si>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</si>
  <si>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</si>
  <si>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</si>
  <si>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</si>
  <si>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</si>
  <si>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</si>
  <si>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</si>
  <si>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</si>
  <si>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</si>
  <si>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</si>
  <si>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</si>
  <si>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</si>
  <si>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</si>
  <si>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</si>
  <si>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</si>
  <si>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</si>
  <si>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</si>
  <si>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</si>
  <si>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</si>
  <si>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</si>
  <si>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</si>
  <si>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</si>
  <si>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</si>
  <si>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</si>
  <si>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</si>
  <si>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</si>
  <si>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</si>
  <si>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</si>
  <si>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</si>
  <si>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</si>
  <si>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</si>
  <si>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</si>
  <si>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</si>
  <si>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</si>
  <si>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</si>
  <si>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</si>
  <si>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</si>
  <si>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</si>
  <si>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</si>
  <si>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</si>
  <si>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</si>
  <si>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</si>
  <si>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</si>
  <si>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</si>
  <si>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</si>
  <si>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</si>
  <si>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</si>
  <si>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</si>
  <si>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</si>
  <si>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</si>
  <si>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</si>
  <si>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</si>
  <si>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</si>
  <si>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</si>
  <si>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</si>
  <si>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</si>
  <si>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</si>
  <si>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</si>
  <si>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</si>
  <si>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</si>
  <si>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</si>
  <si>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</si>
  <si>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</si>
  <si>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</si>
  <si>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</si>
  <si>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</si>
  <si>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</si>
  <si>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</si>
  <si>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</si>
  <si>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</si>
  <si>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</si>
  <si>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</si>
  <si>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</si>
  <si>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</si>
  <si>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</si>
  <si>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</si>
  <si>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</si>
  <si>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</si>
  <si>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</si>
  <si>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</si>
  <si>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</si>
  <si>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</si>
  <si>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</si>
  <si>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</si>
  <si>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</si>
  <si>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</si>
  <si>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</si>
  <si>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</si>
  <si>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</si>
  <si>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</si>
  <si>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</si>
  <si>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</si>
  <si>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</si>
  <si>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</si>
  <si>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</si>
  <si>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</si>
  <si>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</si>
  <si>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</si>
  <si>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</si>
  <si>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</si>
  <si>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</si>
  <si>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</si>
  <si>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</si>
  <si>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</si>
  <si>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</si>
  <si>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</si>
  <si>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</si>
  <si>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</si>
  <si>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</si>
  <si>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</si>
  <si>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</si>
  <si>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</si>
  <si>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</si>
  <si>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</si>
  <si>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</si>
  <si>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</si>
  <si>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</si>
  <si>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</si>
  <si>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</si>
  <si>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</si>
  <si>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</si>
  <si>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</si>
  <si>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</si>
  <si>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</si>
  <si>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</si>
  <si>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</si>
  <si>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</si>
  <si>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</si>
  <si>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</si>
  <si>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</si>
  <si>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</si>
  <si>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</si>
  <si>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</si>
  <si>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</si>
  <si>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</si>
  <si>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</si>
  <si>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</si>
  <si>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</si>
  <si>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</si>
  <si>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</si>
  <si>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</si>
  <si>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</si>
  <si>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</si>
  <si>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</si>
  <si>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</si>
  <si>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</si>
  <si>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</si>
  <si>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</si>
  <si>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</si>
  <si>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</si>
  <si>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</si>
  <si>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</si>
  <si>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</si>
  <si>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</si>
  <si>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</si>
  <si>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</si>
  <si>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</si>
  <si>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</si>
  <si>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</si>
  <si>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</si>
  <si>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</si>
  <si>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</si>
  <si>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</si>
  <si>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</si>
  <si>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</si>
  <si>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</si>
  <si>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</si>
  <si>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</si>
  <si>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</si>
  <si>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</si>
  <si>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</si>
  <si>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</si>
  <si>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</si>
  <si>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</si>
  <si>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</si>
  <si>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</si>
  <si>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</si>
  <si>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</si>
  <si>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</si>
  <si>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</si>
  <si>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</si>
  <si>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</si>
  <si>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</si>
  <si>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</si>
  <si>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</si>
  <si>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</si>
  <si>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</si>
  <si>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</si>
  <si>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</si>
  <si>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</si>
  <si>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</si>
  <si>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</si>
  <si>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</si>
  <si>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</si>
  <si>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</si>
  <si>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</si>
  <si>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</si>
  <si>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</si>
  <si>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</si>
  <si>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</si>
  <si>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</si>
  <si>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</si>
  <si>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</si>
  <si>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</si>
  <si>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</si>
  <si>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</si>
  <si>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</si>
  <si>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</si>
  <si>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</si>
  <si>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</si>
  <si>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</si>
  <si>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</si>
  <si>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</si>
  <si>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</si>
  <si>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</si>
  <si>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</si>
  <si>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</si>
  <si>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</si>
  <si>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</si>
  <si>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</si>
  <si>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</si>
  <si>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</si>
  <si>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</si>
  <si>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</si>
  <si>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</si>
  <si>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</si>
  <si>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</si>
  <si>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</si>
  <si>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</si>
  <si>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</si>
  <si>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</si>
  <si>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</si>
  <si>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</si>
  <si>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</si>
  <si>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</si>
  <si>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</si>
  <si>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</si>
  <si>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</si>
  <si>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</si>
  <si>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</si>
  <si>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</si>
  <si>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</si>
  <si>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</si>
  <si>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</si>
  <si>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</si>
  <si>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</si>
  <si>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</si>
  <si>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</si>
  <si>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</si>
  <si>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</si>
  <si>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</si>
  <si>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</si>
  <si>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</si>
  <si>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</si>
  <si>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</si>
  <si>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</si>
  <si>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</si>
  <si>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</si>
  <si>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</si>
  <si>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</si>
  <si>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</si>
  <si>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</si>
  <si>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</si>
  <si>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</si>
  <si>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</si>
  <si>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</si>
  <si>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</si>
  <si>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</si>
  <si>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</si>
  <si>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</si>
  <si>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</si>
  <si>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</si>
  <si>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</si>
  <si>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</si>
  <si>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</si>
  <si>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</si>
  <si>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</si>
  <si>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</si>
  <si>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</si>
  <si>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</si>
  <si>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</si>
  <si>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</si>
  <si>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</si>
  <si>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</si>
  <si>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</si>
  <si>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</si>
  <si>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</si>
  <si>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</si>
  <si>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</si>
  <si>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</si>
  <si>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</si>
  <si>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</si>
  <si>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</si>
  <si>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</si>
  <si>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</si>
  <si>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</si>
  <si>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</si>
  <si>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</si>
  <si>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</si>
  <si>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</si>
  <si>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</si>
  <si>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</si>
  <si>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</si>
  <si>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</si>
  <si>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</si>
  <si>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</si>
  <si>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</si>
  <si>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</si>
  <si>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</si>
  <si>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</si>
  <si>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</si>
  <si>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</si>
  <si>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</si>
  <si>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</si>
  <si>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</si>
  <si>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</si>
  <si>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</si>
  <si>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</si>
  <si>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</si>
  <si>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</si>
  <si>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</si>
  <si>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</si>
  <si>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</si>
  <si>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</si>
  <si>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</si>
  <si>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</si>
  <si>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</si>
  <si>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</si>
  <si>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</si>
  <si>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</si>
  <si>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</si>
  <si>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</si>
  <si>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</si>
  <si>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</si>
  <si>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</si>
  <si>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</si>
  <si>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</si>
  <si>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</si>
  <si>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</si>
  <si>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</si>
  <si>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</si>
  <si>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</si>
  <si>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</si>
  <si>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</si>
  <si>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</si>
  <si>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</si>
  <si>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</si>
  <si>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</si>
  <si>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</si>
  <si>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</si>
  <si>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</si>
  <si>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</si>
  <si>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</si>
  <si>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</si>
  <si>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</si>
  <si>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</si>
  <si>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</si>
  <si>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</si>
  <si>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</si>
  <si>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</si>
  <si>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</si>
  <si>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</si>
  <si>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</si>
  <si>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</si>
  <si>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</si>
  <si>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</si>
  <si>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</si>
  <si>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</si>
  <si>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</si>
  <si>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</si>
  <si>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</si>
  <si>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</si>
  <si>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</si>
  <si>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</si>
  <si>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</si>
  <si>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</si>
  <si>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</si>
  <si>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</si>
  <si>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</si>
  <si>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</si>
  <si>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</si>
  <si>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</si>
  <si>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</si>
  <si>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</si>
  <si>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</si>
  <si>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</si>
  <si>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</si>
  <si>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</si>
  <si>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</si>
  <si>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</si>
  <si>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</si>
  <si>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</si>
  <si>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</si>
  <si>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</si>
  <si>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</si>
  <si>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</si>
  <si>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</si>
  <si>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</si>
  <si>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</si>
  <si>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</si>
  <si>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</si>
  <si>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</si>
  <si>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</si>
  <si>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</si>
  <si>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</si>
  <si>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</si>
  <si>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</si>
  <si>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</si>
  <si>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</si>
  <si>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</si>
  <si>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</si>
  <si>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</si>
  <si>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</si>
  <si>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</si>
  <si>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</si>
  <si>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</si>
  <si>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</si>
  <si>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</si>
  <si>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</si>
  <si>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</si>
  <si>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</si>
  <si>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</si>
  <si>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</si>
  <si>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</si>
  <si>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</si>
  <si>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</si>
  <si>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</si>
  <si>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</si>
  <si>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</si>
  <si>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</si>
  <si>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</si>
  <si>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</si>
  <si>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</si>
  <si>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</si>
  <si>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</si>
  <si>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</si>
  <si>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</si>
  <si>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</si>
  <si>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</si>
  <si>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</si>
  <si>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</si>
  <si>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</si>
  <si>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</si>
  <si>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</si>
  <si>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</si>
  <si>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</si>
  <si>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</si>
  <si>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</si>
  <si>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</si>
  <si>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</si>
  <si>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</si>
  <si>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</si>
  <si>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</si>
  <si>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</si>
  <si>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</si>
  <si>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</si>
  <si>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</si>
  <si>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</si>
  <si>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</si>
  <si>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</si>
  <si>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</si>
  <si>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</si>
  <si>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</si>
  <si>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</si>
  <si>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</si>
  <si>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</si>
  <si>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</si>
  <si>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</si>
  <si>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</si>
  <si>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</si>
  <si>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</si>
  <si>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</si>
  <si>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</si>
  <si>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</si>
  <si>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</si>
  <si>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</si>
  <si>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</si>
  <si>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</si>
  <si>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</si>
  <si>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</si>
  <si>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</si>
  <si>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</si>
  <si>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</si>
  <si>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</si>
  <si>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</si>
  <si>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</si>
  <si>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</si>
  <si>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</si>
  <si>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</si>
  <si>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</si>
  <si>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</si>
  <si>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</si>
  <si>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</si>
  <si>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</si>
  <si>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</si>
  <si>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</si>
  <si>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</si>
  <si>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</si>
  <si>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</si>
  <si>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</si>
  <si>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</si>
  <si>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</si>
  <si>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</si>
  <si>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</si>
  <si>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</si>
  <si>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</si>
  <si>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</si>
  <si>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</si>
  <si>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</si>
  <si>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</si>
  <si>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</si>
  <si>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</si>
  <si>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</si>
  <si>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</si>
  <si>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</si>
  <si>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</si>
  <si>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</si>
  <si>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</si>
  <si>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</si>
  <si>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</si>
  <si>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</si>
  <si>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</si>
  <si>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</si>
  <si>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</si>
  <si>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</si>
  <si>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</si>
  <si>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</si>
  <si>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</si>
  <si>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</si>
  <si>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</si>
  <si>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</si>
  <si>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</si>
  <si>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</si>
  <si>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</si>
  <si>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</si>
  <si>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</si>
  <si>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</si>
  <si>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</si>
  <si>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</si>
  <si>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</si>
  <si>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</si>
  <si>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</si>
  <si>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</si>
  <si>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</si>
  <si>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</si>
  <si>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</si>
  <si>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</si>
  <si>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</si>
  <si>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</si>
  <si>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</si>
  <si>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</si>
  <si>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</si>
  <si>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</si>
  <si>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</si>
  <si>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</si>
  <si>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</si>
  <si>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</si>
  <si>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</si>
  <si>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</si>
  <si>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</si>
  <si>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</si>
  <si>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</si>
  <si>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</si>
  <si>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</si>
  <si>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</si>
  <si>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</si>
  <si>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</si>
  <si>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</si>
  <si>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</si>
  <si>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</si>
  <si>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</si>
  <si>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</si>
  <si>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</si>
  <si>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</si>
  <si>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</si>
  <si>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</si>
  <si>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</si>
  <si>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</si>
  <si>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</si>
  <si>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</si>
  <si>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</si>
  <si>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</si>
  <si>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</si>
  <si>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</si>
  <si>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</si>
  <si>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</si>
  <si>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</si>
  <si>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</si>
  <si>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</si>
  <si>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</si>
  <si>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</si>
  <si>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</si>
  <si>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</si>
  <si>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</si>
  <si>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</si>
  <si>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</si>
  <si>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</si>
  <si>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</si>
  <si>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</si>
  <si>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</si>
  <si>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</si>
  <si>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</si>
  <si>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</si>
  <si>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</si>
  <si>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</si>
  <si>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</si>
  <si>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</si>
  <si>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</si>
  <si>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</si>
  <si>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</si>
  <si>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</si>
  <si>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</si>
  <si>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</si>
  <si>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</si>
  <si>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</si>
  <si>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</si>
  <si>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</si>
  <si>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</si>
  <si>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</si>
  <si>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</si>
  <si>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</si>
  <si>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</si>
  <si>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</si>
  <si>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</si>
  <si>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</si>
  <si>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</si>
  <si>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</si>
  <si>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</si>
  <si>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</si>
  <si>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</si>
  <si>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</si>
  <si>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</si>
  <si>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</si>
  <si>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</si>
  <si>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</si>
  <si>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</si>
  <si>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</si>
  <si>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</si>
  <si>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</si>
  <si>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</si>
  <si>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</si>
  <si>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</si>
  <si>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</si>
  <si>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</si>
  <si>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</si>
  <si>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</si>
  <si>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</si>
  <si>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</si>
  <si>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</si>
  <si>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</si>
  <si>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</si>
  <si>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</si>
  <si>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</si>
  <si>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</si>
  <si>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</si>
  <si>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</si>
  <si>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</si>
  <si>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</si>
  <si>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</si>
  <si>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</si>
  <si>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</si>
  <si>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</si>
  <si>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</si>
  <si>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</si>
  <si>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</si>
  <si>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</si>
  <si>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</si>
  <si>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</si>
  <si>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</si>
  <si>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</si>
  <si>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</si>
  <si>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</si>
  <si>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</si>
  <si>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</si>
  <si>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</si>
  <si>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</si>
  <si>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</si>
  <si>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</si>
  <si>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</si>
  <si>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</si>
  <si>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</si>
  <si>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</si>
  <si>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</si>
  <si>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</si>
  <si>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</si>
  <si>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</si>
  <si>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</si>
  <si>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</si>
  <si>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</si>
  <si>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</si>
  <si>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</si>
  <si>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</si>
  <si>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</si>
  <si>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</si>
  <si>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</si>
  <si>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</si>
  <si>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</si>
  <si>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</si>
  <si>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</si>
  <si>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</si>
  <si>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</si>
  <si>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</si>
  <si>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</si>
  <si>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</si>
  <si>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</si>
  <si>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</si>
  <si>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</si>
  <si>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</si>
  <si>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</si>
  <si>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</si>
  <si>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</si>
  <si>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</si>
  <si>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</si>
  <si>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</si>
  <si>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</si>
  <si>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</si>
  <si>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</si>
  <si>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</si>
  <si>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</si>
  <si>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</si>
  <si>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</si>
  <si>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</si>
  <si>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</si>
  <si>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</si>
  <si>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</si>
  <si>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</si>
  <si>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</si>
  <si>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</si>
  <si>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</si>
  <si>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</si>
  <si>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</si>
  <si>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</si>
  <si>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</si>
  <si>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</si>
  <si>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</si>
  <si>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</si>
  <si>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</si>
  <si>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</si>
  <si>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</si>
  <si>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</si>
  <si>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</si>
  <si>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</si>
  <si>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</si>
  <si>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</si>
  <si>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</si>
  <si>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</si>
  <si>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</si>
  <si>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</si>
  <si>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</si>
  <si>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</si>
  <si>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</si>
  <si>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</si>
  <si>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</si>
  <si>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</si>
  <si>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</si>
  <si>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</si>
  <si>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</si>
  <si>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</si>
  <si>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</si>
  <si>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</si>
  <si>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</si>
  <si>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</si>
  <si>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</si>
  <si>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</si>
  <si>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</si>
  <si>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</si>
  <si>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</si>
  <si>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</si>
  <si>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</si>
  <si>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</si>
  <si>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</si>
  <si>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</si>
  <si>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</si>
  <si>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</si>
  <si>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</si>
  <si>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</si>
  <si>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</si>
  <si>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</si>
  <si>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</si>
  <si>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</si>
  <si>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</si>
  <si>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</si>
  <si>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</si>
  <si>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</si>
  <si>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</si>
  <si>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</si>
  <si>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</si>
  <si>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</si>
  <si>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</si>
  <si>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</si>
  <si>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</si>
  <si>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</si>
  <si>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</si>
  <si>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</si>
  <si>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</si>
  <si>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</si>
  <si>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</si>
  <si>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</si>
  <si>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</si>
  <si>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</si>
  <si>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</si>
  <si>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</si>
  <si>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</si>
  <si>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</si>
  <si>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</si>
  <si>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</si>
  <si>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</si>
  <si>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</si>
  <si>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</si>
  <si>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</si>
  <si>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</si>
  <si>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</si>
  <si>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</si>
  <si>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</si>
  <si>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</si>
  <si>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</si>
  <si>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</si>
  <si>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</si>
  <si>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</si>
  <si>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</si>
  <si>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</si>
  <si>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</si>
  <si>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</si>
  <si>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</si>
  <si>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</si>
  <si>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</si>
  <si>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</si>
  <si>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</si>
  <si>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</si>
  <si>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</si>
  <si>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</si>
  <si>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</si>
  <si>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</si>
  <si>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</si>
  <si>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</si>
  <si>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</si>
  <si>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</si>
  <si>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</si>
  <si>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</si>
  <si>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</si>
  <si>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</si>
  <si>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</si>
  <si>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</si>
  <si>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</si>
  <si>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</si>
  <si>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</si>
  <si>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</si>
  <si>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</si>
  <si>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</si>
  <si>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</si>
  <si>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</si>
  <si>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</si>
  <si>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</si>
  <si>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</si>
  <si>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</si>
  <si>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</si>
  <si>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</si>
  <si>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</si>
  <si>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</si>
  <si>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</si>
  <si>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</si>
  <si>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</si>
  <si>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</si>
  <si>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</si>
  <si>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</si>
  <si>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</si>
  <si>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</si>
  <si>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</si>
  <si>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</si>
  <si>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</si>
  <si>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</si>
  <si>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</si>
  <si>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</si>
  <si>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</si>
  <si>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</si>
  <si>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</si>
  <si>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</si>
  <si>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</si>
  <si>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</si>
  <si>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</si>
  <si>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</si>
  <si>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</si>
  <si>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</si>
  <si>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</si>
  <si>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</si>
  <si>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</si>
  <si>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</si>
  <si>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</si>
  <si>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</si>
  <si>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</si>
  <si>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</si>
  <si>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</si>
  <si>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</si>
  <si>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</si>
  <si>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</si>
  <si>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</si>
  <si>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</si>
  <si>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</si>
  <si>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</si>
  <si>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</si>
  <si>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</si>
  <si>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</si>
  <si>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</si>
  <si>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</si>
  <si>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</si>
  <si>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</si>
  <si>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</si>
  <si>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</si>
  <si>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</si>
  <si>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</si>
  <si>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</si>
  <si>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</si>
  <si>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</si>
  <si>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</si>
  <si>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</si>
  <si>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</si>
  <si>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</si>
  <si>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</si>
  <si>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</si>
  <si>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</si>
  <si>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</si>
  <si>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</si>
  <si>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</si>
  <si>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</si>
  <si>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</si>
  <si>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</si>
  <si>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</si>
  <si>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</si>
  <si>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</si>
  <si>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</si>
  <si>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</si>
  <si>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</si>
  <si>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</si>
  <si>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</si>
  <si>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</si>
  <si>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</si>
  <si>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</si>
  <si>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</si>
  <si>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</si>
  <si>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</si>
  <si>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</si>
  <si>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</si>
  <si>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</si>
  <si>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</si>
  <si>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</si>
  <si>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</si>
  <si>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</si>
  <si>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</si>
  <si>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</si>
  <si>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</si>
  <si>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</si>
  <si>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</si>
  <si>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</si>
  <si>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</si>
  <si>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</si>
  <si>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</si>
  <si>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</si>
  <si>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</si>
  <si>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</si>
  <si>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</si>
  <si>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</si>
  <si>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</si>
  <si>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</si>
  <si>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</si>
  <si>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</si>
  <si>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</si>
  <si>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</si>
  <si>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</si>
  <si>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</si>
  <si>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</si>
  <si>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</si>
  <si>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</si>
  <si>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</si>
  <si>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</si>
  <si>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</si>
  <si>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</si>
  <si>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</si>
  <si>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</si>
  <si>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</si>
  <si>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</si>
  <si>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</si>
  <si>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</si>
  <si>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</si>
  <si>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</si>
  <si>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</si>
  <si>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</si>
  <si>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</si>
  <si>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</si>
  <si>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</si>
  <si>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</si>
  <si>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</si>
  <si>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</si>
  <si>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</si>
  <si>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</si>
  <si>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</si>
  <si>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</si>
  <si>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</si>
  <si>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</si>
  <si>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</si>
  <si>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</si>
  <si>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</si>
  <si>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</si>
  <si>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</si>
  <si>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</si>
  <si>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</si>
  <si>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</si>
  <si>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</si>
  <si>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</si>
  <si>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</si>
  <si>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</si>
  <si>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</si>
  <si>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</si>
  <si>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</si>
  <si>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</si>
  <si>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</si>
  <si>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</si>
  <si>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</si>
  <si>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</si>
  <si>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</si>
  <si>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</si>
  <si>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</si>
  <si>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</si>
  <si>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</si>
  <si>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</si>
  <si>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</si>
  <si>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</si>
  <si>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</si>
  <si>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</si>
  <si>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</si>
  <si>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</si>
  <si>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</si>
  <si>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</si>
  <si>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</si>
  <si>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</si>
  <si>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</si>
  <si>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</si>
  <si>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</si>
  <si>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</si>
  <si>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</si>
  <si>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</si>
  <si>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</si>
  <si>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</si>
  <si>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</si>
  <si>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</si>
  <si>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</si>
  <si>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</si>
  <si>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</si>
  <si>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</si>
  <si>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</si>
  <si>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</si>
  <si>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</si>
  <si>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</si>
  <si>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</si>
  <si>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</si>
  <si>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</si>
  <si>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</si>
  <si>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</si>
  <si>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</si>
  <si>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</si>
  <si>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</si>
  <si>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</si>
  <si>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</si>
  <si>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</si>
  <si>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</si>
  <si>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</si>
  <si>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</si>
  <si>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</si>
  <si>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</si>
  <si>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</si>
  <si>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</si>
  <si>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</si>
  <si>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</si>
  <si>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</si>
  <si>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</si>
  <si>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</si>
  <si>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</si>
  <si>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</si>
  <si>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</si>
  <si>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</si>
  <si>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</si>
  <si>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</si>
  <si>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</si>
  <si>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</si>
  <si>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</si>
  <si>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</si>
  <si>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</si>
  <si>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</si>
  <si>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</si>
  <si>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</si>
  <si>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</si>
  <si>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</si>
  <si>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</si>
  <si>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</si>
  <si>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</si>
  <si>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</si>
  <si>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</si>
  <si>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</si>
  <si>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</si>
  <si>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</si>
  <si>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</si>
  <si>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</si>
  <si>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</si>
  <si>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</si>
  <si>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</si>
  <si>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</si>
  <si>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</si>
  <si>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</si>
  <si>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</si>
  <si>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</si>
  <si>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</si>
  <si>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</si>
  <si>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</si>
  <si>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</si>
  <si>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</si>
  <si>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</si>
  <si>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</si>
  <si>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</si>
  <si>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</si>
  <si>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</si>
  <si>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</si>
  <si>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</si>
  <si>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</si>
  <si>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</si>
  <si>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</si>
  <si>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</si>
  <si>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</si>
  <si>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</si>
  <si>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</si>
  <si>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</si>
  <si>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</si>
  <si>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</si>
  <si>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</si>
  <si>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</si>
  <si>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</si>
  <si>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</si>
  <si>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</si>
  <si>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</si>
  <si>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</si>
  <si>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</si>
  <si>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</si>
  <si>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</si>
  <si>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</si>
  <si>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</si>
  <si>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</si>
  <si>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</si>
  <si>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</si>
  <si>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</si>
  <si>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</si>
  <si>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</si>
  <si>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</si>
  <si>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</si>
  <si>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</si>
  <si>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</si>
  <si>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</si>
  <si>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</si>
  <si>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</si>
  <si>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</si>
  <si>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</si>
  <si>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</si>
  <si>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</si>
  <si>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</si>
  <si>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</si>
  <si>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</si>
  <si>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</si>
  <si>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</si>
  <si>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</si>
  <si>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</si>
  <si>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</si>
  <si>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</si>
  <si>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</si>
  <si>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</si>
  <si>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</si>
  <si>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</si>
  <si>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</si>
  <si>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</si>
  <si>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</si>
  <si>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</si>
  <si>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</si>
  <si>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</si>
  <si>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</si>
  <si>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</si>
  <si>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</si>
  <si>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</si>
  <si>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</si>
  <si>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</si>
  <si>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</si>
  <si>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</si>
  <si>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</si>
  <si>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</si>
  <si>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</si>
  <si>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</si>
  <si>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</si>
  <si>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</si>
  <si>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</si>
  <si>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</si>
  <si>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</si>
  <si>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</si>
  <si>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</si>
  <si>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</si>
  <si>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</si>
  <si>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</si>
  <si>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</si>
  <si>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</si>
  <si>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</si>
  <si>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</si>
  <si>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</si>
  <si>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</si>
  <si>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</si>
  <si>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</si>
  <si>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</si>
  <si>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</si>
  <si>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</si>
  <si>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</si>
  <si>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</si>
  <si>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</si>
  <si>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</si>
  <si>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</si>
  <si>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</si>
  <si>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</si>
  <si>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</si>
  <si>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</si>
  <si>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</si>
  <si>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</si>
  <si>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</si>
  <si>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</si>
  <si>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</si>
  <si>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</si>
  <si>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</si>
  <si>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</si>
  <si>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</si>
  <si>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</si>
  <si>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</si>
  <si>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</si>
  <si>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</si>
  <si>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</si>
  <si>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</si>
  <si>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</si>
  <si>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</si>
  <si>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</si>
  <si>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</si>
  <si>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</si>
  <si>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</si>
  <si>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</si>
  <si>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</si>
  <si>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</si>
  <si>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</si>
  <si>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</si>
  <si>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</si>
  <si>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</si>
  <si>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</si>
  <si>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</si>
  <si>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</si>
  <si>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</si>
  <si>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</si>
  <si>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</si>
  <si>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</si>
  <si>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</si>
  <si>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</si>
  <si>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</si>
  <si>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</si>
  <si>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</si>
  <si>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</si>
  <si>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</si>
  <si>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</si>
  <si>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</si>
  <si>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</si>
  <si>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</si>
  <si>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</si>
  <si>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</si>
  <si>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</si>
  <si>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</si>
  <si>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</si>
  <si>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</si>
  <si>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</si>
  <si>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</si>
  <si>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</si>
  <si>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</si>
  <si>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</si>
  <si>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</si>
  <si>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</si>
  <si>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</si>
  <si>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</si>
  <si>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</si>
  <si>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</si>
  <si>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</si>
  <si>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</si>
  <si>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</si>
  <si>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</si>
  <si>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</si>
  <si>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</si>
  <si>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</si>
  <si>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</si>
  <si>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</si>
  <si>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</si>
  <si>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</si>
  <si>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</si>
  <si>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</si>
  <si>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</si>
  <si>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</si>
  <si>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</si>
  <si>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</si>
  <si>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</si>
  <si>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</si>
  <si>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</si>
  <si>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</si>
  <si>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</si>
  <si>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</si>
  <si>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</si>
  <si>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</si>
  <si>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</si>
  <si>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</si>
  <si>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</si>
  <si>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</si>
  <si>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</si>
  <si>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</si>
  <si>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</si>
  <si>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</si>
  <si>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</si>
  <si>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</si>
  <si>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</si>
  <si>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</si>
  <si>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</si>
  <si>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</si>
  <si>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</si>
  <si>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</si>
  <si>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</si>
  <si>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</si>
  <si>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</si>
  <si>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</si>
  <si>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</si>
  <si>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</si>
  <si>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</si>
  <si>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</si>
  <si>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</si>
  <si>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</si>
  <si>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</si>
  <si>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</si>
  <si>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</si>
  <si>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</si>
  <si>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</si>
  <si>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</si>
  <si>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</si>
  <si>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</si>
  <si>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</si>
  <si>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</si>
  <si>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</si>
  <si>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</si>
  <si>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</si>
  <si>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</si>
  <si>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</si>
  <si>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</si>
  <si>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</si>
  <si>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</si>
  <si>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</si>
  <si>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</si>
  <si>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</si>
  <si>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</si>
  <si>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</si>
  <si>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</si>
  <si>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</si>
  <si>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</si>
  <si>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</si>
  <si>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</si>
  <si>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</si>
  <si>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</si>
  <si>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</si>
  <si>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</si>
  <si>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</si>
  <si>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</si>
  <si>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</si>
  <si>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</si>
  <si>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</si>
  <si>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</si>
  <si>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</si>
  <si>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</si>
  <si>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</si>
  <si>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</si>
  <si>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</si>
  <si>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</si>
  <si>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</si>
  <si>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</si>
  <si>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</si>
  <si>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</si>
  <si>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</si>
  <si>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</si>
  <si>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</si>
  <si>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</si>
  <si>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</si>
  <si>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</si>
  <si>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</si>
  <si>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</si>
  <si>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</si>
  <si>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</si>
  <si>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</si>
  <si>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</si>
  <si>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</si>
  <si>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</si>
  <si>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</si>
  <si>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</si>
  <si>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</si>
  <si>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</si>
  <si>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</si>
  <si>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</si>
  <si>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</si>
  <si>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</si>
  <si>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</si>
  <si>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</si>
  <si>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</si>
  <si>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</si>
  <si>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</si>
  <si>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</si>
  <si>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</si>
  <si>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</si>
  <si>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</si>
  <si>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</si>
  <si>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</si>
  <si>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</si>
  <si>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</si>
  <si>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</si>
  <si>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</si>
  <si>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</si>
  <si>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</si>
  <si>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</si>
  <si>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</si>
  <si>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</si>
  <si>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</si>
  <si>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</si>
  <si>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</si>
  <si>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</si>
  <si>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</si>
  <si>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</si>
  <si>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</si>
  <si>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</si>
  <si>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</si>
  <si>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</si>
  <si>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</si>
  <si>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</si>
  <si>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</si>
  <si>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</si>
  <si>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</si>
  <si>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</si>
  <si>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</si>
  <si>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</si>
  <si>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</si>
  <si>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</si>
  <si>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</si>
  <si>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</si>
  <si>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</si>
  <si>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</si>
  <si>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</si>
  <si>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</si>
  <si>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</si>
  <si>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</si>
  <si>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</si>
  <si>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</si>
  <si>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</si>
  <si>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</si>
  <si>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</si>
  <si>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</si>
  <si>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</si>
  <si>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</si>
  <si>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</si>
  <si>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</si>
  <si>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</si>
  <si>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</si>
  <si>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</si>
  <si>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</si>
  <si>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</si>
  <si>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</si>
  <si>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</si>
  <si>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</si>
  <si>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</si>
  <si>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</si>
  <si>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</si>
  <si>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</si>
  <si>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</si>
  <si>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</si>
  <si>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</si>
  <si>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</si>
  <si>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</si>
  <si>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</si>
  <si>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</si>
  <si>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</si>
  <si>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</si>
  <si>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</si>
  <si>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</si>
  <si>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</si>
  <si>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</si>
  <si>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</si>
  <si>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</si>
  <si>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</si>
  <si>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</si>
  <si>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</si>
  <si>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</si>
  <si>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</si>
  <si>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</si>
  <si>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</si>
  <si>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</si>
  <si>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</si>
  <si>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</si>
  <si>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</si>
  <si>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</si>
  <si>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</si>
  <si>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</si>
  <si>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</si>
  <si>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</si>
  <si>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</si>
  <si>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</si>
  <si>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</si>
  <si>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</si>
  <si>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</si>
  <si>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</si>
  <si>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</si>
  <si>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</si>
  <si>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</si>
  <si>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</si>
  <si>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</si>
  <si>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</si>
  <si>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</si>
  <si>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</si>
  <si>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</si>
  <si>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</si>
  <si>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</si>
  <si>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</si>
  <si>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</si>
  <si>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</si>
  <si>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</si>
  <si>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</si>
  <si>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</si>
  <si>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</si>
  <si>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</si>
  <si>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</si>
  <si>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</si>
  <si>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</si>
  <si>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</si>
  <si>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</si>
  <si>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</si>
  <si>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</si>
  <si>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</si>
  <si>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</si>
  <si>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</si>
  <si>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</si>
  <si>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</si>
  <si>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</si>
  <si>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</si>
  <si>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</si>
  <si>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</si>
  <si>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</si>
  <si>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</si>
  <si>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</si>
  <si>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</si>
  <si>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</si>
  <si>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</si>
  <si>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</si>
  <si>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</si>
  <si>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</si>
  <si>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</si>
  <si>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</si>
  <si>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</si>
  <si>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</si>
  <si>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</si>
  <si>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</si>
  <si>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</si>
  <si>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</si>
  <si>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</si>
  <si>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</si>
  <si>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</si>
  <si>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</si>
  <si>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</si>
  <si>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</si>
  <si>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</si>
  <si>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</si>
  <si>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</si>
  <si>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</si>
  <si>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</si>
  <si>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</si>
  <si>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</si>
  <si>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</si>
  <si>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</si>
  <si>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</si>
  <si>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</si>
  <si>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</si>
  <si>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</si>
  <si>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</si>
  <si>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</si>
  <si>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</si>
  <si>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</si>
  <si>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</si>
  <si>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</si>
  <si>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</si>
  <si>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</si>
  <si>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</si>
  <si>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</si>
  <si>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</si>
  <si>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</si>
  <si>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</si>
  <si>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</si>
  <si>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</si>
  <si>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</si>
  <si>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</si>
  <si>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</si>
  <si>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</si>
  <si>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</si>
  <si>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</si>
  <si>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</si>
  <si>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</si>
  <si>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</si>
  <si>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</si>
  <si>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</si>
  <si>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</si>
  <si>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</si>
  <si>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</si>
  <si>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</si>
  <si>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</si>
  <si>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</si>
  <si>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</si>
  <si>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</si>
  <si>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</si>
  <si>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</si>
  <si>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</si>
  <si>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</si>
  <si>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</si>
  <si>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</si>
  <si>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</si>
  <si>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</si>
  <si>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</si>
  <si>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</si>
  <si>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</si>
  <si>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</si>
  <si>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</si>
  <si>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</si>
  <si>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</si>
  <si>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</si>
  <si>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</si>
  <si>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</si>
  <si>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</si>
  <si>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</si>
  <si>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</si>
  <si>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</si>
  <si>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</si>
  <si>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</si>
  <si>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</si>
  <si>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</si>
  <si>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</si>
  <si>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</si>
  <si>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</si>
  <si>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</si>
  <si>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</si>
  <si>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</si>
  <si>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</si>
  <si>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</si>
  <si>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</si>
  <si>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</si>
  <si>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</si>
  <si>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</si>
  <si>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</si>
  <si>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</si>
  <si>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</si>
  <si>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</si>
  <si>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</si>
  <si>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</si>
  <si>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</si>
  <si>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</si>
  <si>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</si>
  <si>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</si>
  <si>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</si>
  <si>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</si>
  <si>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</si>
  <si>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</si>
  <si>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</si>
  <si>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</si>
  <si>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</si>
  <si>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</si>
  <si>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</si>
  <si>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</si>
  <si>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</si>
  <si>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</si>
  <si>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</si>
  <si>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</si>
  <si>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</si>
  <si>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</si>
  <si>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</si>
  <si>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</si>
  <si>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</si>
  <si>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</si>
  <si>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</si>
  <si>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</si>
  <si>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</si>
  <si>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</si>
  <si>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</si>
  <si>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</si>
  <si>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</si>
  <si>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</si>
  <si>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</si>
  <si>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</si>
  <si>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</si>
  <si>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</si>
  <si>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</si>
  <si>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</si>
  <si>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</si>
  <si>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</si>
  <si>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</si>
  <si>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</si>
  <si>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</si>
  <si>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</si>
  <si>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</si>
  <si>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</si>
  <si>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</si>
  <si>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</si>
  <si>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</si>
  <si>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</si>
  <si>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</si>
  <si>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</si>
  <si>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</si>
  <si>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</si>
  <si>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</si>
  <si>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</si>
  <si>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</si>
  <si>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</si>
  <si>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</si>
  <si>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</si>
  <si>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</si>
  <si>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</si>
  <si>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</si>
  <si>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</si>
  <si>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</si>
  <si>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</si>
  <si>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</si>
  <si>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</si>
  <si>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</si>
  <si>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</si>
  <si>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</si>
  <si>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</si>
  <si>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</si>
  <si>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</si>
  <si>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</si>
  <si>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</si>
  <si>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</si>
  <si>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</si>
  <si>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</si>
  <si>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</si>
  <si>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</si>
  <si>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</si>
  <si>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</si>
  <si>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</si>
  <si>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</si>
  <si>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</si>
  <si>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</si>
  <si>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</si>
  <si>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</si>
  <si>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</si>
  <si>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</si>
  <si>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</si>
  <si>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</si>
  <si>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</si>
  <si>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</si>
  <si>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</si>
  <si>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</si>
  <si>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</si>
  <si>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</si>
  <si>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</si>
  <si>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</si>
  <si>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</si>
  <si>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</si>
  <si>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</si>
  <si>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</si>
  <si>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</si>
  <si>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</si>
  <si>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</si>
  <si>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</si>
  <si>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</si>
  <si>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</si>
  <si>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</si>
  <si>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</si>
  <si>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</si>
  <si>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</si>
  <si>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</si>
  <si>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</si>
  <si>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</si>
  <si>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</si>
  <si>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</si>
  <si>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</si>
  <si>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</si>
  <si>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</si>
  <si>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</si>
  <si>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</si>
  <si>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</si>
  <si>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</si>
  <si>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</si>
  <si>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</si>
  <si>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</si>
  <si>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</si>
  <si>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</si>
  <si>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</si>
  <si>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</si>
  <si>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</si>
  <si>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</si>
  <si>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</si>
  <si>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</si>
  <si>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</si>
  <si>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</si>
  <si>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</si>
  <si>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</si>
  <si>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</si>
  <si>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</si>
  <si>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</si>
  <si>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</si>
  <si>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</si>
  <si>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</si>
  <si>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</si>
  <si>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</si>
  <si>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</si>
  <si>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</si>
  <si>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</si>
  <si>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</si>
  <si>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</si>
  <si>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</si>
  <si>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</si>
  <si>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</si>
  <si>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</si>
  <si>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</si>
  <si>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</si>
  <si>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</si>
  <si>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</si>
  <si>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</si>
  <si>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</si>
  <si>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</si>
  <si>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</si>
  <si>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</si>
  <si>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</si>
  <si>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</si>
  <si>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</si>
  <si>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</si>
  <si>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</si>
  <si>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</si>
  <si>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</si>
  <si>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</si>
  <si>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</si>
  <si>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</si>
  <si>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</si>
  <si>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</si>
  <si>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</si>
  <si>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</si>
  <si>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</si>
  <si>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</si>
  <si>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</si>
  <si>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</si>
  <si>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</si>
  <si>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</si>
  <si>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</si>
  <si>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</si>
  <si>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</si>
  <si>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</si>
  <si>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</si>
  <si>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</si>
  <si>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</si>
  <si>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</si>
  <si>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</si>
  <si>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</si>
  <si>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</si>
  <si>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</si>
  <si>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</si>
  <si>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</si>
  <si>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</si>
  <si>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</si>
  <si>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</si>
  <si>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</si>
  <si>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</si>
  <si>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</si>
  <si>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</si>
  <si>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</si>
  <si>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</si>
  <si>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</si>
  <si>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</si>
  <si>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</si>
  <si>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</si>
  <si>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</si>
  <si>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</si>
  <si>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</si>
  <si>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</si>
  <si>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</si>
  <si>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</si>
  <si>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</si>
  <si>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</si>
  <si>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</si>
  <si>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</si>
  <si>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</si>
  <si>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</si>
  <si>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</si>
  <si>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</si>
  <si>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</si>
  <si>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</si>
  <si>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</si>
  <si>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</si>
  <si>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</si>
  <si>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</si>
  <si>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</si>
  <si>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</si>
  <si>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</si>
  <si>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</si>
  <si>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</si>
  <si>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</si>
  <si>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</si>
  <si>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</si>
  <si>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</si>
  <si>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</si>
  <si>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</si>
  <si>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</si>
  <si>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</si>
  <si>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</si>
  <si>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</si>
  <si>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</si>
  <si>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</si>
  <si>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</si>
  <si>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</si>
  <si>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</si>
  <si>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</si>
  <si>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</si>
  <si>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</si>
  <si>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</si>
  <si>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</si>
  <si>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</si>
  <si>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</si>
  <si>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</si>
  <si>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</si>
  <si>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</si>
  <si>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</si>
  <si>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</si>
  <si>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</si>
  <si>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</si>
  <si>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</si>
  <si>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</si>
  <si>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</si>
  <si>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</si>
  <si>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</si>
  <si>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</si>
  <si>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</si>
  <si>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</si>
  <si>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</si>
  <si>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</si>
  <si>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</si>
  <si>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</si>
  <si>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</si>
  <si>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</si>
  <si>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</si>
  <si>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</si>
  <si>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</si>
  <si>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</si>
  <si>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</si>
  <si>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</si>
  <si>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</si>
  <si>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</si>
  <si>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</si>
  <si>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</si>
  <si>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</si>
  <si>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</si>
  <si>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</si>
  <si>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</si>
  <si>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</si>
  <si>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</si>
  <si>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</si>
  <si>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</si>
  <si>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</si>
  <si>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</si>
  <si>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</si>
  <si>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</si>
  <si>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</si>
  <si>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</si>
  <si>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</si>
  <si>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</si>
  <si>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</si>
  <si>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</si>
  <si>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</si>
  <si>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</si>
  <si>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</si>
  <si>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</si>
  <si>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</si>
  <si>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</si>
  <si>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</si>
  <si>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</si>
  <si>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</si>
  <si>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</si>
  <si>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</si>
  <si>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</si>
  <si>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</si>
  <si>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</si>
  <si>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</si>
  <si>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</si>
  <si>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</si>
  <si>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</si>
  <si>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</si>
  <si>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</si>
  <si>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</si>
  <si>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</si>
  <si>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</si>
  <si>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</si>
  <si>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</si>
  <si>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</si>
  <si>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</si>
  <si>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</si>
  <si>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</si>
  <si>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</si>
  <si>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</si>
  <si>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</si>
  <si>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</si>
  <si>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</si>
  <si>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</si>
  <si>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</si>
  <si>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</si>
  <si>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</si>
  <si>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</si>
  <si>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</si>
  <si>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</si>
  <si>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</si>
  <si>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</si>
  <si>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</si>
  <si>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</si>
  <si>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</si>
  <si>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</si>
  <si>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</si>
  <si>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</si>
  <si>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</si>
  <si>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</si>
  <si>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</si>
  <si>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</si>
  <si>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</si>
  <si>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</si>
  <si>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</si>
  <si>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</si>
  <si>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</si>
  <si>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</si>
  <si>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</si>
  <si>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</si>
  <si>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</si>
  <si>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</si>
  <si>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</si>
  <si>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</si>
  <si>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</si>
  <si>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</si>
  <si>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</si>
  <si>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</si>
  <si>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</si>
  <si>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</si>
  <si>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</si>
  <si>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</si>
  <si>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</si>
  <si>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</si>
  <si>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</si>
  <si>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</si>
  <si>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</si>
  <si>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</si>
  <si>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</si>
  <si>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</si>
  <si>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</si>
  <si>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</si>
  <si>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</si>
  <si>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</si>
  <si>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</si>
  <si>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</si>
  <si>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</si>
  <si>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</si>
  <si>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</si>
  <si>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</si>
  <si>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</si>
  <si>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</si>
  <si>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</si>
  <si>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</si>
  <si>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</si>
  <si>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</si>
  <si>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</si>
  <si>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</si>
  <si>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</si>
  <si>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</si>
  <si>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</si>
  <si>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</si>
  <si>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</si>
  <si>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</si>
  <si>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</si>
  <si>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</si>
  <si>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</si>
  <si>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</si>
  <si>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</si>
  <si>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</si>
  <si>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</si>
  <si>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</si>
  <si>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</si>
  <si>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</si>
  <si>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</si>
  <si>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</si>
  <si>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</si>
  <si>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</si>
  <si>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</si>
  <si>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</si>
  <si>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</si>
  <si>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</si>
  <si>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</si>
  <si>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</si>
  <si>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</si>
  <si>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</si>
  <si>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</si>
  <si>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</si>
  <si>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</si>
  <si>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</si>
  <si>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</si>
  <si>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</si>
  <si>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</si>
  <si>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</si>
  <si>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</si>
  <si>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</si>
  <si>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</si>
  <si>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</si>
  <si>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</si>
  <si>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</si>
  <si>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</si>
  <si>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</si>
  <si>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</si>
  <si>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</si>
  <si>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</si>
  <si>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</si>
  <si>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</si>
  <si>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</si>
  <si>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</si>
  <si>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</si>
  <si>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</si>
  <si>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</si>
  <si>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</si>
  <si>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</si>
  <si>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</si>
  <si>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</si>
  <si>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</si>
  <si>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</si>
  <si>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</si>
  <si>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</si>
  <si>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</si>
  <si>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</si>
  <si>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</si>
  <si>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</si>
  <si>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</si>
  <si>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</si>
  <si>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</si>
  <si>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</si>
  <si>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</si>
  <si>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</si>
  <si>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</si>
  <si>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</si>
  <si>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</si>
  <si>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</si>
  <si>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</si>
  <si>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</si>
  <si>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</si>
  <si>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</si>
  <si>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</si>
  <si>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</si>
  <si>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</si>
  <si>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</si>
  <si>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</si>
  <si>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</si>
  <si>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</si>
  <si>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</si>
  <si>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</si>
  <si>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</si>
  <si>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</si>
  <si>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</si>
  <si>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</si>
  <si>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</si>
  <si>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</si>
  <si>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</si>
  <si>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</si>
  <si>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</si>
  <si>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</si>
  <si>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</si>
  <si>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</si>
  <si>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</si>
  <si>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</si>
  <si>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</si>
  <si>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</si>
  <si>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</si>
  <si>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</si>
  <si>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</si>
  <si>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</si>
  <si>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</si>
  <si>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</si>
  <si>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</si>
  <si>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</si>
  <si>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</si>
  <si>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</si>
  <si>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</si>
  <si>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</si>
  <si>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</si>
  <si>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</si>
  <si>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</si>
  <si>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</si>
  <si>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</si>
  <si>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</si>
  <si>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</si>
  <si>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</si>
  <si>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</si>
  <si>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</si>
  <si>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</si>
  <si>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</si>
  <si>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</si>
  <si>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</si>
  <si>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</si>
  <si>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</si>
  <si>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</si>
  <si>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</si>
  <si>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</si>
  <si>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</si>
  <si>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</si>
  <si>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</si>
  <si>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</si>
  <si>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</si>
  <si>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</si>
  <si>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</si>
  <si>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</si>
  <si>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</si>
  <si>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</si>
  <si>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</si>
  <si>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</si>
  <si>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</si>
  <si>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</si>
  <si>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</si>
  <si>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</si>
  <si>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</si>
  <si>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</si>
  <si>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</si>
  <si>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</si>
  <si>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</si>
  <si>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</si>
  <si>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</si>
  <si>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</si>
  <si>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平均增幅</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</si>
  <si>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</si>
  <si>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</si>
  <si>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</si>
  <si>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</si>
  <si>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</si>
  <si>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</si>
  <si>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</si>
  <si>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</si>
  <si>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</si>
  <si>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</si>
  <si>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</si>
  <si>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</si>
  <si>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</si>
  <si>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</si>
  <si>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</si>
  <si>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</si>
  <si>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</si>
  <si>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</si>
  <si>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</si>
  <si>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</si>
  <si>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</si>
  <si>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</si>
  <si>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</si>
  <si>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</si>
  <si>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</si>
  <si>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</si>
  <si>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</si>
  <si>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</si>
  <si>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</si>
  <si>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</si>
  <si>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</si>
  <si>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</si>
  <si>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</si>
  <si>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</si>
  <si>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</si>
  <si>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</si>
  <si>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</si>
  <si>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</si>
  <si>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</si>
  <si>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</si>
  <si>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</si>
  <si>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</si>
  <si>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</si>
  <si>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</si>
  <si>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</si>
  <si>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</si>
  <si>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</si>
  <si>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</si>
  <si>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</si>
  <si>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</si>
  <si>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</si>
  <si>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</si>
  <si>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</si>
  <si>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</si>
  <si>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</si>
  <si>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</si>
  <si>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</si>
  <si>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</si>
  <si>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</si>
  <si>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</si>
  <si>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</si>
  <si>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</si>
  <si>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</si>
  <si>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</si>
  <si>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</si>
  <si>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</si>
  <si>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</si>
  <si>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</si>
  <si>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</si>
  <si>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</si>
  <si>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</si>
  <si>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</si>
  <si>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</si>
  <si>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</si>
  <si>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</si>
  <si>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</si>
  <si>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</si>
  <si>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</si>
  <si>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</si>
  <si>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</si>
  <si>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</si>
  <si>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</si>
  <si>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</si>
  <si>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</si>
  <si>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</si>
  <si>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</si>
  <si>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</si>
  <si>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</si>
  <si>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</si>
  <si>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</si>
  <si>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</si>
  <si>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</si>
  <si>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</si>
  <si>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</si>
  <si>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</si>
  <si>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</si>
  <si>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</si>
  <si>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</si>
  <si>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</si>
  <si>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</si>
  <si>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</si>
  <si>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</si>
  <si>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</si>
  <si>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</si>
  <si>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</si>
  <si>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</si>
  <si>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</si>
  <si>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</si>
  <si>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</si>
  <si>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</si>
  <si>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</si>
  <si>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</si>
  <si>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</si>
  <si>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</si>
  <si>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</si>
  <si>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</si>
  <si>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</si>
  <si>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</si>
  <si>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</si>
  <si>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</si>
  <si>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</si>
  <si>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</si>
  <si>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</si>
  <si>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</si>
  <si>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</si>
  <si>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</si>
  <si>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</si>
  <si>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</si>
  <si>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</si>
  <si>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</si>
  <si>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</si>
  <si>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</si>
  <si>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</si>
  <si>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</si>
  <si>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</si>
  <si>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</si>
  <si>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</si>
  <si>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</si>
  <si>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</si>
  <si>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</si>
  <si>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</si>
  <si>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</si>
  <si>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</si>
  <si>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</si>
  <si>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</si>
  <si>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</si>
  <si>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</si>
  <si>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</si>
  <si>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</si>
  <si>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</si>
  <si>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</si>
  <si>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</si>
  <si>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</si>
  <si>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</si>
  <si>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</si>
  <si>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</si>
  <si>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</si>
  <si>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</si>
  <si>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</si>
  <si>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</si>
  <si>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</si>
  <si>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</si>
  <si>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</si>
  <si>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</si>
  <si>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</si>
  <si>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</si>
  <si>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</si>
  <si>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</si>
  <si>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</si>
  <si>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</si>
  <si>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</si>
  <si>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</si>
  <si>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</si>
  <si>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</si>
  <si>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</si>
  <si>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</si>
  <si>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</si>
  <si>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</si>
  <si>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</si>
  <si>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</si>
  <si>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</si>
  <si>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</si>
  <si>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</si>
  <si>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</si>
  <si>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</si>
  <si>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</si>
  <si>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</si>
  <si>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</si>
  <si>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</si>
  <si>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</si>
  <si>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</si>
  <si>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</si>
  <si>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</si>
  <si>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</si>
  <si>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</si>
  <si>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</si>
  <si>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</si>
  <si>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</si>
  <si>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</si>
  <si>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</si>
  <si>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</si>
  <si>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</si>
  <si>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</si>
  <si>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</si>
  <si>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</si>
  <si>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</si>
  <si>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</si>
  <si>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</si>
  <si>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</si>
  <si>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</si>
  <si>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</si>
  <si>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</si>
  <si>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</si>
  <si>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</si>
  <si>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</si>
  <si>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</si>
  <si>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</si>
  <si>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</si>
  <si>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</si>
  <si>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</si>
  <si>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</si>
  <si>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</si>
  <si>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</si>
  <si>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</si>
  <si>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</si>
  <si>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</si>
  <si>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</si>
  <si>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</si>
  <si>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</si>
  <si>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</si>
  <si>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</si>
  <si>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</si>
  <si>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</si>
  <si>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</si>
  <si>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</si>
  <si>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</si>
  <si>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</si>
  <si>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</si>
  <si>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</si>
  <si>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</si>
  <si>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</si>
  <si>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</si>
  <si>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</si>
  <si>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</si>
  <si>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</si>
  <si>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</si>
  <si>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</si>
  <si>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</si>
  <si>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</si>
  <si>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</si>
  <si>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</si>
  <si>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</si>
  <si>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</si>
  <si>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</si>
  <si>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</si>
  <si>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</si>
  <si>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</si>
  <si>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</si>
  <si>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</si>
  <si>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</si>
  <si>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</si>
  <si>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</si>
  <si>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</si>
  <si>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</si>
  <si>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</si>
  <si>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</si>
  <si>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</si>
  <si>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</si>
  <si>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</si>
  <si>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</si>
  <si>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</si>
  <si>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</si>
  <si>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</si>
  <si>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</si>
  <si>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</si>
  <si>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</si>
  <si>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</si>
  <si>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</si>
  <si>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</si>
  <si>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</si>
  <si>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</si>
  <si>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</si>
  <si>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</si>
  <si>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</si>
  <si>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</si>
  <si>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</si>
  <si>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</si>
  <si>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</si>
  <si>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</si>
  <si>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</si>
  <si>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</si>
  <si>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</si>
  <si>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</si>
  <si>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</si>
  <si>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</si>
  <si>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</si>
  <si>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</si>
  <si>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</si>
  <si>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</si>
  <si>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</si>
  <si>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</si>
  <si>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</si>
  <si>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</si>
  <si>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</si>
  <si>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</si>
  <si>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</si>
  <si>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</si>
  <si>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</si>
  <si>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</si>
  <si>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</si>
  <si>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</si>
  <si>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</si>
  <si>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</si>
  <si>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</si>
  <si>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</si>
  <si>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</si>
  <si>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</si>
  <si>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</si>
  <si>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</si>
  <si>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</si>
  <si>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</si>
  <si>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</si>
  <si>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</si>
  <si>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</si>
  <si>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</si>
  <si>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</si>
  <si>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</si>
  <si>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</si>
  <si>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</si>
  <si>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</si>
  <si>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</si>
  <si>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</si>
  <si>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</si>
  <si>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</si>
  <si>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</si>
  <si>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</si>
  <si>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</si>
  <si>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</si>
  <si>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</si>
  <si>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</si>
  <si>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</si>
  <si>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</si>
  <si>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</si>
  <si>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</si>
  <si>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</si>
  <si>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</si>
  <si>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</si>
  <si>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</si>
  <si>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</si>
  <si>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</si>
  <si>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</si>
  <si>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</si>
  <si>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</si>
  <si>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</si>
  <si>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</si>
  <si>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</si>
  <si>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</si>
  <si>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</si>
  <si>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</si>
  <si>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</si>
  <si>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</si>
  <si>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</si>
  <si>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</si>
  <si>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</si>
  <si>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</si>
  <si>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</si>
  <si>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</si>
  <si>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</si>
  <si>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</si>
  <si>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</si>
  <si>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</si>
  <si>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</si>
  <si>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</si>
  <si>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</si>
  <si>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</si>
  <si>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</si>
  <si>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</si>
  <si>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</si>
  <si>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</si>
  <si>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</si>
  <si>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</si>
  <si>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</si>
  <si>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</si>
  <si>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</si>
  <si>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</si>
  <si>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</si>
  <si>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</si>
  <si>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</si>
  <si>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</si>
  <si>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</si>
  <si>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</si>
  <si>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</si>
  <si>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</si>
  <si>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</si>
  <si>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</si>
  <si>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</si>
  <si>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</si>
  <si>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</si>
  <si>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</si>
  <si>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</si>
  <si>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</si>
  <si>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</si>
  <si>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</si>
  <si>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</si>
  <si>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</si>
  <si>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</si>
  <si>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</si>
  <si>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</si>
  <si>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</si>
  <si>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</si>
  <si>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</si>
  <si>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</si>
  <si>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</si>
  <si>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</si>
  <si>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</si>
  <si>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</si>
  <si>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</si>
  <si>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</si>
  <si>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</si>
  <si>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</si>
  <si>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</si>
  <si>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</si>
  <si>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</si>
  <si>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</si>
  <si>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</si>
  <si>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</si>
  <si>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</si>
  <si>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</si>
  <si>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</si>
  <si>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</si>
  <si>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</si>
  <si>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</si>
  <si>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</si>
  <si>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</si>
  <si>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</si>
  <si>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</si>
  <si>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</si>
  <si>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</si>
  <si>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</si>
  <si>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</si>
  <si>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</si>
  <si>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</si>
  <si>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</si>
  <si>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</si>
  <si>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</si>
  <si>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</si>
  <si>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</si>
  <si>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</si>
  <si>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</si>
  <si>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</si>
  <si>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</si>
  <si>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</si>
  <si>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</si>
  <si>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</si>
  <si>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</si>
  <si>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</si>
  <si>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</si>
  <si>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</si>
  <si>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</si>
  <si>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</si>
  <si>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</si>
  <si>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</si>
  <si>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</si>
  <si>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</si>
  <si>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</si>
  <si>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</si>
  <si>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</si>
  <si>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</si>
  <si>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</si>
  <si>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</si>
  <si>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</si>
  <si>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</si>
  <si>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</si>
  <si>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</si>
  <si>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</si>
  <si>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</si>
  <si>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</si>
  <si>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</si>
  <si>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</si>
  <si>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</si>
  <si>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</si>
  <si>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</si>
  <si>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</si>
  <si>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</si>
  <si>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</si>
  <si>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</si>
  <si>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</si>
  <si>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</si>
  <si>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</si>
  <si>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</si>
  <si>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</si>
  <si>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</si>
  <si>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</si>
  <si>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</si>
  <si>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</si>
  <si>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</si>
  <si>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</si>
  <si>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</si>
  <si>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</si>
  <si>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</si>
  <si>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</si>
  <si>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</si>
  <si>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</si>
  <si>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</si>
  <si>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</si>
  <si>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</si>
  <si>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</si>
  <si>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</si>
  <si>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</si>
  <si>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</si>
  <si>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</si>
  <si>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</si>
  <si>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</si>
  <si>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</si>
  <si>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</si>
  <si>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</si>
  <si>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</si>
  <si>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</si>
  <si>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</si>
  <si>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</si>
  <si>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</si>
  <si>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</si>
  <si>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</si>
  <si>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</si>
  <si>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</si>
  <si>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</si>
  <si>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</si>
  <si>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phoneticPr fontId="3" type="noConversion"/>
  </si>
  <si>
    <t>2023-1</t>
    <phoneticPr fontId="3" type="noConversion"/>
  </si>
  <si>
    <t>核定资产</t>
  </si>
  <si>
    <t>房地产市场价值</t>
  </si>
  <si>
    <t>北京市</t>
  </si>
  <si>
    <t>企业</t>
  </si>
  <si>
    <t>澳 门 中 心 区 域 分 配 表</t>
    <phoneticPr fontId="3" type="noConversion"/>
  </si>
  <si>
    <t>楼层</t>
    <phoneticPr fontId="3" type="noConversion"/>
  </si>
  <si>
    <t>军队</t>
    <phoneticPr fontId="3" type="noConversion"/>
  </si>
  <si>
    <t>濠江</t>
    <phoneticPr fontId="3" type="noConversion"/>
  </si>
  <si>
    <t>建筑面积</t>
    <phoneticPr fontId="3" type="noConversion"/>
  </si>
  <si>
    <t>房产证号码</t>
    <phoneticPr fontId="3" type="noConversion"/>
  </si>
  <si>
    <t>单元</t>
    <phoneticPr fontId="3" type="noConversion"/>
  </si>
  <si>
    <t>功能</t>
    <phoneticPr fontId="3" type="noConversion"/>
  </si>
  <si>
    <t>地下车库</t>
    <phoneticPr fontId="3" type="noConversion"/>
  </si>
  <si>
    <t>B3</t>
    <phoneticPr fontId="3" type="noConversion"/>
  </si>
  <si>
    <t>B2</t>
    <phoneticPr fontId="3" type="noConversion"/>
  </si>
  <si>
    <t>008921</t>
    <phoneticPr fontId="3" type="noConversion"/>
  </si>
  <si>
    <t>-201-2</t>
    <phoneticPr fontId="3" type="noConversion"/>
  </si>
  <si>
    <t>-202-1</t>
    <phoneticPr fontId="3" type="noConversion"/>
  </si>
  <si>
    <t>停车及设备用房</t>
    <phoneticPr fontId="3" type="noConversion"/>
  </si>
  <si>
    <t>-201-3</t>
    <phoneticPr fontId="3" type="noConversion"/>
  </si>
  <si>
    <t>B1</t>
    <phoneticPr fontId="3" type="noConversion"/>
  </si>
  <si>
    <t>008885</t>
    <phoneticPr fontId="3" type="noConversion"/>
  </si>
  <si>
    <t>-101</t>
    <phoneticPr fontId="3" type="noConversion"/>
  </si>
  <si>
    <t>-104</t>
    <phoneticPr fontId="3" type="noConversion"/>
  </si>
  <si>
    <t>商业</t>
    <phoneticPr fontId="3" type="noConversion"/>
  </si>
  <si>
    <t>小计</t>
    <phoneticPr fontId="3" type="noConversion"/>
  </si>
  <si>
    <t>商场</t>
    <phoneticPr fontId="3" type="noConversion"/>
  </si>
  <si>
    <t>-102</t>
    <phoneticPr fontId="3" type="noConversion"/>
  </si>
  <si>
    <t>008923</t>
    <phoneticPr fontId="3" type="noConversion"/>
  </si>
  <si>
    <t>102-1</t>
    <phoneticPr fontId="3" type="noConversion"/>
  </si>
  <si>
    <t>008924</t>
    <phoneticPr fontId="3" type="noConversion"/>
  </si>
  <si>
    <t>202-1</t>
    <phoneticPr fontId="3" type="noConversion"/>
  </si>
  <si>
    <t>008925</t>
    <phoneticPr fontId="3" type="noConversion"/>
  </si>
  <si>
    <t>302-1</t>
    <phoneticPr fontId="3" type="noConversion"/>
  </si>
  <si>
    <t>008926</t>
    <phoneticPr fontId="3" type="noConversion"/>
  </si>
  <si>
    <t>402-1</t>
    <phoneticPr fontId="3" type="noConversion"/>
  </si>
  <si>
    <t>办公楼</t>
    <phoneticPr fontId="3" type="noConversion"/>
  </si>
  <si>
    <t>008883</t>
    <phoneticPr fontId="3" type="noConversion"/>
  </si>
  <si>
    <t>602-1</t>
    <phoneticPr fontId="3" type="noConversion"/>
  </si>
  <si>
    <t>自用</t>
    <phoneticPr fontId="3" type="noConversion"/>
  </si>
  <si>
    <t>008929</t>
    <phoneticPr fontId="3" type="noConversion"/>
  </si>
  <si>
    <t>701-2</t>
    <phoneticPr fontId="3" type="noConversion"/>
  </si>
  <si>
    <t>办公</t>
    <phoneticPr fontId="3" type="noConversion"/>
  </si>
  <si>
    <t>出租</t>
    <phoneticPr fontId="3" type="noConversion"/>
  </si>
  <si>
    <t>008927</t>
    <phoneticPr fontId="3" type="noConversion"/>
  </si>
  <si>
    <t>801-2</t>
    <phoneticPr fontId="3" type="noConversion"/>
  </si>
  <si>
    <t>008928</t>
    <phoneticPr fontId="3" type="noConversion"/>
  </si>
  <si>
    <t>901-2</t>
    <phoneticPr fontId="3" type="noConversion"/>
  </si>
  <si>
    <t>008930</t>
    <phoneticPr fontId="3" type="noConversion"/>
  </si>
  <si>
    <t>1001-2</t>
    <phoneticPr fontId="3" type="noConversion"/>
  </si>
  <si>
    <t>008931</t>
    <phoneticPr fontId="3" type="noConversion"/>
  </si>
  <si>
    <t>1101-2</t>
    <phoneticPr fontId="3" type="noConversion"/>
  </si>
  <si>
    <t>008932</t>
    <phoneticPr fontId="3" type="noConversion"/>
  </si>
  <si>
    <t>1202-1</t>
    <phoneticPr fontId="3" type="noConversion"/>
  </si>
  <si>
    <t>008933</t>
    <phoneticPr fontId="3" type="noConversion"/>
  </si>
  <si>
    <t>1302-1</t>
    <phoneticPr fontId="3" type="noConversion"/>
  </si>
  <si>
    <t>008516</t>
    <phoneticPr fontId="3" type="noConversion"/>
  </si>
  <si>
    <t>1402-1</t>
    <phoneticPr fontId="3" type="noConversion"/>
  </si>
  <si>
    <t>酒店</t>
    <phoneticPr fontId="3" type="noConversion"/>
  </si>
  <si>
    <t>B3</t>
    <phoneticPr fontId="3" type="noConversion"/>
  </si>
  <si>
    <t>008884</t>
    <phoneticPr fontId="3" type="noConversion"/>
  </si>
  <si>
    <t>-301</t>
    <phoneticPr fontId="3" type="noConversion"/>
  </si>
  <si>
    <t>-302</t>
    <phoneticPr fontId="3" type="noConversion"/>
  </si>
  <si>
    <t>B2</t>
    <phoneticPr fontId="3" type="noConversion"/>
  </si>
  <si>
    <t>008921</t>
    <phoneticPr fontId="3" type="noConversion"/>
  </si>
  <si>
    <t>-201-1</t>
    <phoneticPr fontId="3" type="noConversion"/>
  </si>
  <si>
    <t>库房</t>
    <phoneticPr fontId="3" type="noConversion"/>
  </si>
  <si>
    <t>-202-2</t>
    <phoneticPr fontId="3" type="noConversion"/>
  </si>
  <si>
    <t>B1</t>
    <phoneticPr fontId="3" type="noConversion"/>
  </si>
  <si>
    <t>008885</t>
    <phoneticPr fontId="3" type="noConversion"/>
  </si>
  <si>
    <t>-103</t>
    <phoneticPr fontId="3" type="noConversion"/>
  </si>
  <si>
    <t>食堂</t>
    <phoneticPr fontId="3" type="noConversion"/>
  </si>
  <si>
    <t>-105-1</t>
    <phoneticPr fontId="3" type="noConversion"/>
  </si>
  <si>
    <t>酒店后勤</t>
    <phoneticPr fontId="3" type="noConversion"/>
  </si>
  <si>
    <t>夹层</t>
    <phoneticPr fontId="3" type="noConversion"/>
  </si>
  <si>
    <t>酒店办公</t>
    <phoneticPr fontId="3" type="noConversion"/>
  </si>
  <si>
    <t>008923</t>
    <phoneticPr fontId="3" type="noConversion"/>
  </si>
  <si>
    <t>102-2</t>
    <phoneticPr fontId="3" type="noConversion"/>
  </si>
  <si>
    <t>电梯厅</t>
    <phoneticPr fontId="3" type="noConversion"/>
  </si>
  <si>
    <t>008924</t>
    <phoneticPr fontId="3" type="noConversion"/>
  </si>
  <si>
    <t>202-2</t>
    <phoneticPr fontId="3" type="noConversion"/>
  </si>
  <si>
    <t>008925</t>
    <phoneticPr fontId="3" type="noConversion"/>
  </si>
  <si>
    <t>302-2</t>
    <phoneticPr fontId="3" type="noConversion"/>
  </si>
  <si>
    <t>008926</t>
    <phoneticPr fontId="3" type="noConversion"/>
  </si>
  <si>
    <t>402-2</t>
    <phoneticPr fontId="3" type="noConversion"/>
  </si>
  <si>
    <t>008883</t>
    <phoneticPr fontId="3" type="noConversion"/>
  </si>
  <si>
    <t>602-2</t>
    <phoneticPr fontId="3" type="noConversion"/>
  </si>
  <si>
    <t>008929</t>
    <phoneticPr fontId="3" type="noConversion"/>
  </si>
  <si>
    <t>701-1</t>
    <phoneticPr fontId="3" type="noConversion"/>
  </si>
  <si>
    <t>008927</t>
    <phoneticPr fontId="3" type="noConversion"/>
  </si>
  <si>
    <t>801-1</t>
    <phoneticPr fontId="3" type="noConversion"/>
  </si>
  <si>
    <t>008928</t>
    <phoneticPr fontId="3" type="noConversion"/>
  </si>
  <si>
    <t>901-1</t>
    <phoneticPr fontId="3" type="noConversion"/>
  </si>
  <si>
    <t>008930</t>
    <phoneticPr fontId="3" type="noConversion"/>
  </si>
  <si>
    <t>1001-1</t>
    <phoneticPr fontId="3" type="noConversion"/>
  </si>
  <si>
    <t>008931</t>
    <phoneticPr fontId="3" type="noConversion"/>
  </si>
  <si>
    <t>1101-1</t>
    <phoneticPr fontId="3" type="noConversion"/>
  </si>
  <si>
    <t>008932</t>
    <phoneticPr fontId="3" type="noConversion"/>
  </si>
  <si>
    <t>1202-2</t>
    <phoneticPr fontId="3" type="noConversion"/>
  </si>
  <si>
    <t>008933</t>
    <phoneticPr fontId="3" type="noConversion"/>
  </si>
  <si>
    <t>1302-2</t>
    <phoneticPr fontId="3" type="noConversion"/>
  </si>
  <si>
    <t>008516</t>
    <phoneticPr fontId="3" type="noConversion"/>
  </si>
  <si>
    <t>1402-3</t>
    <phoneticPr fontId="3" type="noConversion"/>
  </si>
  <si>
    <t>小计</t>
    <phoneticPr fontId="3" type="noConversion"/>
  </si>
  <si>
    <t>合计</t>
    <phoneticPr fontId="3" type="noConversion"/>
  </si>
  <si>
    <r>
      <t>车位数：4</t>
    </r>
    <r>
      <rPr>
        <sz val="12"/>
        <rFont val="宋体"/>
        <family val="3"/>
        <charset val="134"/>
      </rPr>
      <t>04个</t>
    </r>
    <phoneticPr fontId="3" type="noConversion"/>
  </si>
  <si>
    <t>地下</t>
  </si>
  <si>
    <t>地上</t>
  </si>
  <si>
    <t>地下车库、商场、商店</t>
    <phoneticPr fontId="134" type="noConversion"/>
  </si>
  <si>
    <t>地下车库</t>
    <phoneticPr fontId="134" type="noConversion"/>
  </si>
  <si>
    <t>其他</t>
    <phoneticPr fontId="134" type="noConversion"/>
  </si>
  <si>
    <t>架空走廊、商场、商店</t>
    <phoneticPr fontId="134" type="noConversion"/>
  </si>
  <si>
    <t>商场、商店</t>
    <phoneticPr fontId="134" type="noConversion"/>
  </si>
  <si>
    <t>酒店式公寓、商务公寓</t>
    <phoneticPr fontId="134" type="noConversion"/>
  </si>
  <si>
    <t>商业</t>
    <phoneticPr fontId="7" type="noConversion"/>
  </si>
  <si>
    <t>酒店</t>
    <phoneticPr fontId="7" type="noConversion"/>
  </si>
  <si>
    <t>地下车库</t>
    <phoneticPr fontId="7" type="noConversion"/>
  </si>
  <si>
    <t>是</t>
  </si>
  <si>
    <t>成新度</t>
  </si>
  <si>
    <t>豪华大床</t>
    <phoneticPr fontId="3" type="noConversion"/>
  </si>
  <si>
    <t>豪华双床</t>
    <phoneticPr fontId="3" type="noConversion"/>
  </si>
  <si>
    <t>超豪华大床</t>
    <phoneticPr fontId="3" type="noConversion"/>
  </si>
  <si>
    <t>超豪华双床</t>
    <phoneticPr fontId="3" type="noConversion"/>
  </si>
  <si>
    <t>行政大床</t>
    <phoneticPr fontId="3" type="noConversion"/>
  </si>
  <si>
    <t>行政双床</t>
    <phoneticPr fontId="3" type="noConversion"/>
  </si>
  <si>
    <t>紫禁城套房</t>
    <phoneticPr fontId="3" type="noConversion"/>
  </si>
  <si>
    <t>按比例</t>
  </si>
  <si>
    <t>写字楼出租情况一览表</t>
  </si>
  <si>
    <t>合同号</t>
  </si>
  <si>
    <t>房间号</t>
  </si>
  <si>
    <t>建筑面积       （平方米）</t>
  </si>
  <si>
    <t>套内建筑面积（平方米）</t>
  </si>
  <si>
    <t>出租面积    （平方米）</t>
  </si>
  <si>
    <t>承租方公司名称</t>
  </si>
  <si>
    <t>租赁期限</t>
  </si>
  <si>
    <t>基本租金         （元/月）</t>
  </si>
  <si>
    <t>平均租金         （元/日、平米）</t>
  </si>
  <si>
    <t>物业费           （元/月、平米）</t>
  </si>
  <si>
    <t>物业费合计           （元/月）</t>
  </si>
  <si>
    <t>电费</t>
  </si>
  <si>
    <t>物业费押金</t>
  </si>
  <si>
    <t>应收租金押金</t>
  </si>
  <si>
    <t>保证金合计</t>
  </si>
  <si>
    <t>备注</t>
  </si>
  <si>
    <t>免租期</t>
  </si>
  <si>
    <t>实收押金</t>
    <phoneticPr fontId="3" type="noConversion"/>
  </si>
  <si>
    <t>702-B(702)</t>
  </si>
  <si>
    <t>702-E(703)</t>
  </si>
  <si>
    <t>702-A(705)</t>
  </si>
  <si>
    <t>702-D(706)</t>
  </si>
  <si>
    <t>802-A(802)</t>
  </si>
  <si>
    <t>2017.12.18-2018.01.17</t>
  </si>
  <si>
    <r>
      <t>B12</t>
    </r>
    <r>
      <rPr>
        <sz val="12"/>
        <rFont val="宋体"/>
        <family val="3"/>
        <charset val="134"/>
      </rPr>
      <t>7-2</t>
    </r>
    <phoneticPr fontId="3" type="noConversion"/>
  </si>
  <si>
    <t>802-B(803)</t>
  </si>
  <si>
    <t>中华社会救助基金会</t>
  </si>
  <si>
    <t>2022.5.6-2024.5.5</t>
  </si>
  <si>
    <t>802-D(805)</t>
  </si>
  <si>
    <t>802-C(806)</t>
  </si>
  <si>
    <t>2020.12.15-2022.05.05</t>
  </si>
  <si>
    <t>2017.12.15-2018.01.14</t>
  </si>
  <si>
    <r>
      <t xml:space="preserve">
</t>
    </r>
    <r>
      <rPr>
        <sz val="12"/>
        <rFont val="宋体"/>
        <family val="3"/>
        <charset val="134"/>
      </rPr>
      <t>B143</t>
    </r>
    <phoneticPr fontId="3" type="noConversion"/>
  </si>
  <si>
    <t>1002-A(1002)</t>
  </si>
  <si>
    <t>北京市三雅商贸有限公司</t>
  </si>
  <si>
    <r>
      <t xml:space="preserve">2018.03.01-2023.02.28
</t>
    </r>
    <r>
      <rPr>
        <sz val="12"/>
        <rFont val="宋体"/>
        <family val="3"/>
        <charset val="134"/>
      </rPr>
      <t>2023.3.1-2024.2.29</t>
    </r>
    <phoneticPr fontId="3" type="noConversion"/>
  </si>
  <si>
    <t>2018.03.01-2021.02.28 每月租金64776.17元
2021.03.01-2023.02.28 每月租金68037.63元</t>
  </si>
  <si>
    <r>
      <t>B1</t>
    </r>
    <r>
      <rPr>
        <sz val="12"/>
        <rFont val="宋体"/>
        <family val="3"/>
        <charset val="134"/>
      </rPr>
      <t>44</t>
    </r>
    <phoneticPr fontId="3" type="noConversion"/>
  </si>
  <si>
    <t>1002-B(1003)</t>
  </si>
  <si>
    <t>北京元永皓商务有限公司</t>
  </si>
  <si>
    <t>2023.3.1-2024.2.29</t>
  </si>
  <si>
    <t>2018.03.01-2021.02.28 每月租金64845.73元
2021.03.01-2023.02.28 每月租金68110.72元</t>
  </si>
  <si>
    <t>B146</t>
    <phoneticPr fontId="3" type="noConversion"/>
  </si>
  <si>
    <t>1002-D(1005)</t>
  </si>
  <si>
    <t>北京君圆商贸有限公司</t>
  </si>
  <si>
    <t>2018.03.01-2021.02.28 每月租金49011.50元
2021.03.01-2023.02.28 每月租金51478.80元</t>
  </si>
  <si>
    <r>
      <t>B</t>
    </r>
    <r>
      <rPr>
        <sz val="12"/>
        <rFont val="宋体"/>
        <family val="3"/>
        <charset val="134"/>
      </rPr>
      <t>145</t>
    </r>
    <phoneticPr fontId="3" type="noConversion"/>
  </si>
  <si>
    <t>1002-C(1006)</t>
  </si>
  <si>
    <t>北京市欣悦金盛服饰有限公司</t>
  </si>
  <si>
    <t>2018.03.01-2023.02.28</t>
  </si>
  <si>
    <t xml:space="preserve">
(5年)
2018.03.01-2021.02.28 每月租金66529.05元
2021.03.01-2023.02.28 每月租金69878.77元</t>
  </si>
  <si>
    <r>
      <t>B1</t>
    </r>
    <r>
      <rPr>
        <sz val="12"/>
        <rFont val="宋体"/>
        <family val="3"/>
        <charset val="134"/>
      </rPr>
      <t>34</t>
    </r>
    <phoneticPr fontId="3" type="noConversion"/>
  </si>
  <si>
    <t>1102-A(1102)</t>
  </si>
  <si>
    <t>世纪蜗牛通信科技有限公司         （苏州蜗牛数字科技股份有限公司）</t>
  </si>
  <si>
    <t>2021.08.01-2023.07.31</t>
  </si>
  <si>
    <t>1102-B(1103)</t>
  </si>
  <si>
    <t>1102-D(1105)</t>
  </si>
  <si>
    <t>1102-C(1106)</t>
  </si>
  <si>
    <t>B126-2</t>
  </si>
  <si>
    <t>1202-B(1203)</t>
  </si>
  <si>
    <t>B106</t>
  </si>
  <si>
    <t>1202-A(1202)</t>
  </si>
  <si>
    <t>共青城万汇投资合伙企业（有限合伙）</t>
  </si>
  <si>
    <t>2021.03.01-2024.02.29</t>
  </si>
  <si>
    <r>
      <t>B1</t>
    </r>
    <r>
      <rPr>
        <sz val="12"/>
        <rFont val="宋体"/>
        <family val="3"/>
        <charset val="134"/>
      </rPr>
      <t>47</t>
    </r>
    <phoneticPr fontId="3" type="noConversion"/>
  </si>
  <si>
    <t>1202-C(1205)</t>
  </si>
  <si>
    <t>北京市三雅商贸有限公司</t>
    <phoneticPr fontId="3" type="noConversion"/>
  </si>
  <si>
    <t>2023.5.16-2024.5.15</t>
    <phoneticPr fontId="3" type="noConversion"/>
  </si>
  <si>
    <r>
      <t>2</t>
    </r>
    <r>
      <rPr>
        <sz val="12"/>
        <rFont val="宋体"/>
        <family val="3"/>
        <charset val="134"/>
      </rPr>
      <t>023.5.16-2023.6.30</t>
    </r>
    <phoneticPr fontId="3" type="noConversion"/>
  </si>
  <si>
    <t>1202-D(1206)</t>
  </si>
  <si>
    <t>1202-E(1207)</t>
  </si>
  <si>
    <t>1202-F(1208)</t>
  </si>
  <si>
    <t>1202-G(1209)</t>
  </si>
  <si>
    <t>1202H</t>
  </si>
  <si>
    <t>1302(A)(1302)</t>
  </si>
  <si>
    <t>1302-G(1309)</t>
  </si>
  <si>
    <r>
      <t>B</t>
    </r>
    <r>
      <rPr>
        <sz val="11"/>
        <color theme="1"/>
        <rFont val="宋体"/>
        <family val="3"/>
        <charset val="134"/>
        <scheme val="minor"/>
      </rPr>
      <t>138</t>
    </r>
  </si>
  <si>
    <t>1302B-（1303）</t>
  </si>
  <si>
    <t>北京大燕律师事务所</t>
  </si>
  <si>
    <r>
      <t>2</t>
    </r>
    <r>
      <rPr>
        <sz val="11"/>
        <color theme="1"/>
        <rFont val="宋体"/>
        <family val="3"/>
        <charset val="134"/>
        <scheme val="minor"/>
      </rPr>
      <t>021.12.01-2024.11.30</t>
    </r>
  </si>
  <si>
    <r>
      <t>1302-H</t>
    </r>
    <r>
      <rPr>
        <sz val="11"/>
        <color theme="1"/>
        <rFont val="宋体"/>
        <family val="3"/>
        <charset val="134"/>
        <scheme val="minor"/>
      </rPr>
      <t>1</t>
    </r>
    <r>
      <rPr>
        <sz val="11"/>
        <color theme="1"/>
        <rFont val="宋体"/>
        <family val="3"/>
        <charset val="134"/>
        <scheme val="minor"/>
      </rPr>
      <t>(1310)</t>
    </r>
  </si>
  <si>
    <r>
      <t>1302-H2</t>
    </r>
    <r>
      <rPr>
        <sz val="11"/>
        <color theme="1"/>
        <rFont val="宋体"/>
        <family val="3"/>
        <charset val="134"/>
        <scheme val="minor"/>
      </rPr>
      <t>(131</t>
    </r>
    <r>
      <rPr>
        <sz val="11"/>
        <color theme="1"/>
        <rFont val="宋体"/>
        <family val="3"/>
        <charset val="134"/>
        <scheme val="minor"/>
      </rPr>
      <t>0</t>
    </r>
    <r>
      <rPr>
        <sz val="11"/>
        <color theme="1"/>
        <rFont val="宋体"/>
        <family val="3"/>
        <charset val="134"/>
        <scheme val="minor"/>
      </rPr>
      <t>)</t>
    </r>
  </si>
  <si>
    <r>
      <t>B</t>
    </r>
    <r>
      <rPr>
        <sz val="11"/>
        <color theme="1"/>
        <rFont val="宋体"/>
        <family val="3"/>
        <charset val="134"/>
        <scheme val="minor"/>
      </rPr>
      <t>123</t>
    </r>
  </si>
  <si>
    <t>1302-C（1305）</t>
  </si>
  <si>
    <t>北京今日创新教育文化有限公司</t>
  </si>
  <si>
    <r>
      <t>2021</t>
    </r>
    <r>
      <rPr>
        <sz val="11"/>
        <color theme="1"/>
        <rFont val="宋体"/>
        <family val="3"/>
        <charset val="134"/>
        <scheme val="minor"/>
      </rPr>
      <t>.06.15-20</t>
    </r>
    <r>
      <rPr>
        <sz val="11"/>
        <color theme="1"/>
        <rFont val="宋体"/>
        <family val="3"/>
        <charset val="134"/>
        <scheme val="minor"/>
      </rPr>
      <t>23</t>
    </r>
    <r>
      <rPr>
        <sz val="11"/>
        <color theme="1"/>
        <rFont val="宋体"/>
        <family val="3"/>
        <charset val="134"/>
        <scheme val="minor"/>
      </rPr>
      <t xml:space="preserve">.06.14   </t>
    </r>
  </si>
  <si>
    <r>
      <t>B1</t>
    </r>
    <r>
      <rPr>
        <sz val="12"/>
        <rFont val="宋体"/>
        <family val="3"/>
        <charset val="134"/>
      </rPr>
      <t>48</t>
    </r>
    <phoneticPr fontId="3" type="noConversion"/>
  </si>
  <si>
    <t>1302-C</t>
    <phoneticPr fontId="3" type="noConversion"/>
  </si>
  <si>
    <r>
      <t>2</t>
    </r>
    <r>
      <rPr>
        <sz val="12"/>
        <rFont val="宋体"/>
        <family val="3"/>
        <charset val="134"/>
      </rPr>
      <t>023.6.15-2025.6.14</t>
    </r>
    <phoneticPr fontId="3" type="noConversion"/>
  </si>
  <si>
    <r>
      <t>B1</t>
    </r>
    <r>
      <rPr>
        <sz val="12"/>
        <rFont val="宋体"/>
        <family val="3"/>
        <charset val="134"/>
      </rPr>
      <t>49</t>
    </r>
    <phoneticPr fontId="3" type="noConversion"/>
  </si>
  <si>
    <t>1302-J</t>
    <phoneticPr fontId="3" type="noConversion"/>
  </si>
  <si>
    <t>北京中教大数据技术研究院</t>
  </si>
  <si>
    <t>B139</t>
  </si>
  <si>
    <t>1302-D(1306)</t>
  </si>
  <si>
    <t>北京华玺御石科技有限公司</t>
  </si>
  <si>
    <t>2021.12.01-2023.11.30</t>
  </si>
  <si>
    <t>1302-E(1307)</t>
  </si>
  <si>
    <r>
      <t>B1</t>
    </r>
    <r>
      <rPr>
        <sz val="12"/>
        <rFont val="宋体"/>
        <family val="3"/>
        <charset val="134"/>
      </rPr>
      <t>40</t>
    </r>
    <phoneticPr fontId="3" type="noConversion"/>
  </si>
  <si>
    <t>1302-F(1308)</t>
  </si>
  <si>
    <t>深圳市国康健康管理服务有限公司
（原深圳市国康健康管理服务有限公司
北京分公司）</t>
  </si>
  <si>
    <r>
      <t>2</t>
    </r>
    <r>
      <rPr>
        <sz val="11"/>
        <color theme="1"/>
        <rFont val="宋体"/>
        <family val="3"/>
        <charset val="134"/>
        <scheme val="minor"/>
      </rPr>
      <t>022.01.01-2022.12.31</t>
    </r>
  </si>
  <si>
    <t>2018.01.01-2018.01.31</t>
  </si>
  <si>
    <r>
      <t>B</t>
    </r>
    <r>
      <rPr>
        <sz val="12"/>
        <rFont val="宋体"/>
        <family val="3"/>
        <charset val="134"/>
      </rPr>
      <t>131</t>
    </r>
    <phoneticPr fontId="3" type="noConversion"/>
  </si>
  <si>
    <t>14层</t>
  </si>
  <si>
    <t>澳门特别行政区政府驻北京办事处</t>
  </si>
  <si>
    <r>
      <t>2021.0</t>
    </r>
    <r>
      <rPr>
        <sz val="12"/>
        <rFont val="宋体"/>
        <family val="3"/>
        <charset val="134"/>
      </rPr>
      <t>5</t>
    </r>
    <r>
      <rPr>
        <sz val="11"/>
        <color theme="1"/>
        <rFont val="宋体"/>
        <family val="3"/>
        <charset val="134"/>
        <scheme val="minor"/>
      </rPr>
      <t>.01-2026.04.30</t>
    </r>
    <phoneticPr fontId="3" type="noConversion"/>
  </si>
  <si>
    <t>273.75元/月/平方米</t>
  </si>
  <si>
    <t>合计</t>
  </si>
  <si>
    <t>出租率：</t>
  </si>
  <si>
    <t xml:space="preserve"> 已出租</t>
  </si>
  <si>
    <t xml:space="preserve">  新出租</t>
  </si>
  <si>
    <t>未出租</t>
  </si>
  <si>
    <t>差额</t>
  </si>
  <si>
    <t>没有合同</t>
  </si>
  <si>
    <t>合同到期</t>
  </si>
  <si>
    <t>只这部分保证金在我公司</t>
  </si>
  <si>
    <t>出租率</t>
  </si>
  <si>
    <t>报表</t>
  </si>
  <si>
    <t>剩余租赁期</t>
  </si>
  <si>
    <t>平均日租金</t>
  </si>
  <si>
    <t>收益期内总收益</t>
  </si>
  <si>
    <t>估价对象总面积</t>
  </si>
  <si>
    <t>市调租金</t>
  </si>
  <si>
    <t>市调增长率</t>
  </si>
  <si>
    <t>租期结束后日租金</t>
  </si>
  <si>
    <t>2022.5.6-2024.5.5</t>
    <phoneticPr fontId="134" type="noConversion"/>
  </si>
  <si>
    <t>商铺号</t>
  </si>
  <si>
    <t>可出租的套内面积（平方米）</t>
  </si>
  <si>
    <t>水费      （元/立方米）</t>
  </si>
  <si>
    <t>电费      （元/千瓦时）</t>
  </si>
  <si>
    <t>燃气费      （元/立方米）</t>
  </si>
  <si>
    <t>POS-MIS收款一体机使用费      （元/月/台）</t>
  </si>
  <si>
    <t>推广费     （元/月）</t>
  </si>
  <si>
    <t>车位租金约定</t>
  </si>
  <si>
    <t>装修押金</t>
  </si>
  <si>
    <t>备   注</t>
  </si>
  <si>
    <r>
      <t>S</t>
    </r>
    <r>
      <rPr>
        <sz val="11"/>
        <color theme="1"/>
        <rFont val="宋体"/>
        <family val="3"/>
        <charset val="134"/>
        <scheme val="minor"/>
      </rPr>
      <t>S056</t>
    </r>
  </si>
  <si>
    <t>B101</t>
  </si>
  <si>
    <r>
      <t>2</t>
    </r>
    <r>
      <rPr>
        <sz val="11"/>
        <color theme="1"/>
        <rFont val="宋体"/>
        <family val="3"/>
        <charset val="134"/>
        <scheme val="minor"/>
      </rPr>
      <t>022.06.01-2032.05.31</t>
    </r>
  </si>
  <si>
    <t>B102</t>
  </si>
  <si>
    <t>B103</t>
  </si>
  <si>
    <t>2017.07.01-2018.01.31为装修期，无租金</t>
  </si>
  <si>
    <t>B108</t>
  </si>
  <si>
    <t>B109</t>
  </si>
  <si>
    <t>B111</t>
  </si>
  <si>
    <r>
      <t>S</t>
    </r>
    <r>
      <rPr>
        <sz val="11"/>
        <color theme="1"/>
        <rFont val="宋体"/>
        <family val="3"/>
        <charset val="134"/>
        <scheme val="minor"/>
      </rPr>
      <t>S046</t>
    </r>
  </si>
  <si>
    <t>L101</t>
  </si>
  <si>
    <t>北京麦当劳食品有限公司</t>
  </si>
  <si>
    <r>
      <t>2</t>
    </r>
    <r>
      <rPr>
        <sz val="11"/>
        <color theme="1"/>
        <rFont val="宋体"/>
        <family val="3"/>
        <charset val="134"/>
        <scheme val="minor"/>
      </rPr>
      <t>019.12.01-2034.11.30</t>
    </r>
  </si>
  <si>
    <r>
      <t>2</t>
    </r>
    <r>
      <rPr>
        <sz val="11"/>
        <color theme="1"/>
        <rFont val="宋体"/>
        <family val="3"/>
        <charset val="134"/>
        <scheme val="minor"/>
      </rPr>
      <t>.00/天.平米</t>
    </r>
  </si>
  <si>
    <t>L102</t>
  </si>
  <si>
    <t>皮氏咖啡（北京）有限公司</t>
  </si>
  <si>
    <t>L103</t>
  </si>
  <si>
    <r>
      <t>SS0</t>
    </r>
    <r>
      <rPr>
        <sz val="11"/>
        <color theme="1"/>
        <rFont val="宋体"/>
        <family val="3"/>
        <charset val="134"/>
        <scheme val="minor"/>
      </rPr>
      <t>50</t>
    </r>
  </si>
  <si>
    <t>L105</t>
  </si>
  <si>
    <r>
      <t>2</t>
    </r>
    <r>
      <rPr>
        <sz val="11"/>
        <color theme="1"/>
        <rFont val="宋体"/>
        <family val="3"/>
        <charset val="134"/>
        <scheme val="minor"/>
      </rPr>
      <t>021.02.01-2026.01.31</t>
    </r>
  </si>
  <si>
    <t>1元/天.平米</t>
  </si>
  <si>
    <t xml:space="preserve">1、2016.04.01-2019.01.31为74216.67元，20元/日.平米.天。                                       2、2019.02.01-2021.01.31为80154元，22元/日.平米.天        </t>
  </si>
  <si>
    <t>2016.02.01-2016.03.31</t>
  </si>
  <si>
    <t>L106</t>
  </si>
  <si>
    <t>L107</t>
  </si>
  <si>
    <t>SS058
SS064</t>
  </si>
  <si>
    <t>L108</t>
  </si>
  <si>
    <t>2022.04.11-2027.04.10</t>
  </si>
  <si>
    <t>0.8/天.平米</t>
  </si>
  <si>
    <r>
      <t>S</t>
    </r>
    <r>
      <rPr>
        <sz val="11"/>
        <color theme="1"/>
        <rFont val="宋体"/>
        <family val="3"/>
        <charset val="134"/>
        <scheme val="minor"/>
      </rPr>
      <t>S048</t>
    </r>
  </si>
  <si>
    <t>L109</t>
  </si>
  <si>
    <t>北京同健医药有限公司</t>
  </si>
  <si>
    <r>
      <t>2020.01.10-20</t>
    </r>
    <r>
      <rPr>
        <sz val="11"/>
        <color theme="1"/>
        <rFont val="宋体"/>
        <family val="3"/>
        <charset val="134"/>
        <scheme val="minor"/>
      </rPr>
      <t>3</t>
    </r>
    <r>
      <rPr>
        <sz val="11"/>
        <color theme="1"/>
        <rFont val="宋体"/>
        <family val="3"/>
        <charset val="134"/>
        <scheme val="minor"/>
      </rPr>
      <t>0.01.09</t>
    </r>
  </si>
  <si>
    <t>2.00/天.平米</t>
  </si>
  <si>
    <t>L110</t>
  </si>
  <si>
    <t>2023.6.1-2031.5.31</t>
  </si>
  <si>
    <t>L111</t>
  </si>
  <si>
    <t>北京涌鑫茂源餐饮管理有限公司</t>
  </si>
  <si>
    <t>2021.10.08-2026.10.07</t>
  </si>
  <si>
    <t>1.00/天.平米</t>
  </si>
  <si>
    <r>
      <t>S</t>
    </r>
    <r>
      <rPr>
        <sz val="11"/>
        <color theme="1"/>
        <rFont val="宋体"/>
        <family val="3"/>
        <charset val="134"/>
        <scheme val="minor"/>
      </rPr>
      <t>S043</t>
    </r>
  </si>
  <si>
    <t>L112</t>
  </si>
  <si>
    <t>L113</t>
  </si>
  <si>
    <t>L115</t>
  </si>
  <si>
    <t>L116</t>
  </si>
  <si>
    <t>L117</t>
  </si>
  <si>
    <t xml:space="preserve">1、2017.04.01-2018.01.15月租金为32069.50元。                                 2、2018.01.16-2019.01.15月租金为33672.99元。                                3、2019.01.16-2020.01.15月租金为35368.23元                      </t>
  </si>
  <si>
    <t>2017.01.16-2017.03.31</t>
  </si>
  <si>
    <r>
      <t>SS03</t>
    </r>
    <r>
      <rPr>
        <sz val="11"/>
        <color theme="1"/>
        <rFont val="宋体"/>
        <family val="3"/>
        <charset val="134"/>
        <scheme val="minor"/>
      </rPr>
      <t>6</t>
    </r>
  </si>
  <si>
    <t>L118</t>
  </si>
  <si>
    <t>瑞幸咖啡（北京）有限公司</t>
  </si>
  <si>
    <r>
      <t>2</t>
    </r>
    <r>
      <rPr>
        <sz val="11"/>
        <color theme="1"/>
        <rFont val="宋体"/>
        <family val="3"/>
        <charset val="134"/>
        <scheme val="minor"/>
      </rPr>
      <t>021.04.20-2024.04.19</t>
    </r>
  </si>
  <si>
    <t>2元/天.平米</t>
  </si>
  <si>
    <t>2018.04.20-2018.05.19</t>
  </si>
  <si>
    <r>
      <t>SS03</t>
    </r>
    <r>
      <rPr>
        <sz val="11"/>
        <color theme="1"/>
        <rFont val="宋体"/>
        <family val="3"/>
        <charset val="134"/>
        <scheme val="minor"/>
      </rPr>
      <t>5</t>
    </r>
  </si>
  <si>
    <t>L119</t>
  </si>
  <si>
    <t>北京农益科技有限公司
（原北京牛排家西餐有限公司王府井店）</t>
  </si>
  <si>
    <r>
      <t>2</t>
    </r>
    <r>
      <rPr>
        <sz val="11"/>
        <color theme="1"/>
        <rFont val="宋体"/>
        <family val="3"/>
        <charset val="134"/>
        <scheme val="minor"/>
      </rPr>
      <t>017.11.01-2025.12.31</t>
    </r>
  </si>
  <si>
    <t>L120</t>
  </si>
  <si>
    <t>北京顶全便利店有限公司</t>
  </si>
  <si>
    <t>2017.07.01-2019.06.30 每月租金43435.00元 
2019.07.01-2121.06.30 每月租金45917.00元 
2021.07.01-2023.06.30 每月租金48523.10元</t>
  </si>
  <si>
    <t>2017.07.01-08.31装修免租</t>
  </si>
  <si>
    <t>L121</t>
  </si>
  <si>
    <r>
      <t>L12</t>
    </r>
    <r>
      <rPr>
        <sz val="11"/>
        <color theme="1"/>
        <rFont val="宋体"/>
        <family val="3"/>
        <charset val="134"/>
        <scheme val="minor"/>
      </rPr>
      <t>2</t>
    </r>
  </si>
  <si>
    <t>北京大众信息中心</t>
  </si>
  <si>
    <t>2023.3.1-2026.2.28</t>
  </si>
  <si>
    <t>L201</t>
  </si>
  <si>
    <t>SS026</t>
  </si>
  <si>
    <t>L202a</t>
  </si>
  <si>
    <r>
      <t>L</t>
    </r>
    <r>
      <rPr>
        <sz val="11"/>
        <color theme="1"/>
        <rFont val="宋体"/>
        <family val="3"/>
        <charset val="134"/>
        <scheme val="minor"/>
      </rPr>
      <t>202b</t>
    </r>
  </si>
  <si>
    <t>L219a</t>
  </si>
  <si>
    <t>L219b</t>
  </si>
  <si>
    <t>L203</t>
  </si>
  <si>
    <t>L205</t>
  </si>
  <si>
    <t>北京新作渠成文化发展有限公司</t>
  </si>
  <si>
    <t>2022.09.01-2025.08.31（3年）</t>
  </si>
  <si>
    <t>L206</t>
  </si>
  <si>
    <t>L221</t>
  </si>
  <si>
    <r>
      <t>L</t>
    </r>
    <r>
      <rPr>
        <sz val="11"/>
        <color theme="1"/>
        <rFont val="宋体"/>
        <family val="3"/>
        <charset val="134"/>
        <scheme val="minor"/>
      </rPr>
      <t>207</t>
    </r>
  </si>
  <si>
    <t>L208</t>
  </si>
  <si>
    <t>L209</t>
  </si>
  <si>
    <t>L210</t>
  </si>
  <si>
    <t>L211</t>
  </si>
  <si>
    <t>L212</t>
  </si>
  <si>
    <t>L215</t>
  </si>
  <si>
    <t>L216</t>
  </si>
  <si>
    <t>公共区域</t>
  </si>
  <si>
    <t>更衣室</t>
  </si>
  <si>
    <t>L217</t>
  </si>
  <si>
    <t>L218</t>
  </si>
  <si>
    <t>L220</t>
  </si>
  <si>
    <t>SS045</t>
  </si>
  <si>
    <t>L301</t>
  </si>
  <si>
    <r>
      <t>2</t>
    </r>
    <r>
      <rPr>
        <sz val="11"/>
        <color theme="1"/>
        <rFont val="宋体"/>
        <family val="3"/>
        <charset val="134"/>
        <scheme val="minor"/>
      </rPr>
      <t>019.12.01-2029.11.30</t>
    </r>
  </si>
  <si>
    <t xml:space="preserve">1、2011.12.30-2013.06.29 ,每月租金533751.67元。其中房租409043.33，物业费124708.33.                                             2、2013.06.30-2015.06.29， 每月租金572411.25元。其中房租441467.5，物业费130943.75                                    3、2015.06.30-2017.06.29， 每月租金613565元。 其中房租476385.83，物业费137179.17                                                         4、2017.06.30-2019.06.29， 每月租金660954.17元。其中房租516292.5，物业费144661.67                                               5、2019。06.30-2021.06.29， 每月租金709590.42元。其中房租557446.25，物业费152144.17                                                     </t>
  </si>
  <si>
    <t>L302</t>
  </si>
  <si>
    <r>
      <t>S</t>
    </r>
    <r>
      <rPr>
        <sz val="11"/>
        <color theme="1"/>
        <rFont val="宋体"/>
        <family val="3"/>
        <charset val="134"/>
        <scheme val="minor"/>
      </rPr>
      <t>S044</t>
    </r>
  </si>
  <si>
    <t>L303</t>
  </si>
  <si>
    <t>北京花家怡园金宝餐饮有限公司</t>
  </si>
  <si>
    <t>L305-L306</t>
  </si>
  <si>
    <t>L307</t>
  </si>
  <si>
    <t>L308</t>
  </si>
  <si>
    <t>L309</t>
  </si>
  <si>
    <t>L310</t>
  </si>
  <si>
    <t>L311-L312</t>
  </si>
  <si>
    <t>L315</t>
  </si>
  <si>
    <t>L316</t>
  </si>
  <si>
    <t>L317</t>
  </si>
  <si>
    <t>L318</t>
  </si>
  <si>
    <t>L319</t>
  </si>
  <si>
    <t>SS049</t>
  </si>
  <si>
    <t>L4层</t>
  </si>
  <si>
    <t>北京神洲四海餐饮管理有限公司王府井分公司</t>
  </si>
  <si>
    <r>
      <t>2</t>
    </r>
    <r>
      <rPr>
        <sz val="11"/>
        <color theme="1"/>
        <rFont val="宋体"/>
        <family val="3"/>
        <charset val="134"/>
        <scheme val="minor"/>
      </rPr>
      <t>021.07.25-2031.07.24</t>
    </r>
  </si>
  <si>
    <t>1.5元/天.平米</t>
  </si>
  <si>
    <r>
      <rPr>
        <sz val="12"/>
        <color indexed="10"/>
        <rFont val="宋体"/>
        <family val="3"/>
        <charset val="134"/>
      </rPr>
      <t xml:space="preserve"> </t>
    </r>
    <r>
      <rPr>
        <sz val="11"/>
        <color theme="1"/>
        <rFont val="宋体"/>
        <family val="3"/>
        <charset val="134"/>
        <scheme val="minor"/>
      </rPr>
      <t xml:space="preserve">              1、2013.10.21-2014.07.24租金为465070.83元，其中房屋租金</t>
    </r>
    <r>
      <rPr>
        <sz val="12"/>
        <color indexed="10"/>
        <rFont val="宋体"/>
        <family val="3"/>
        <charset val="134"/>
      </rPr>
      <t>338233.33</t>
    </r>
    <r>
      <rPr>
        <sz val="11"/>
        <color theme="1"/>
        <rFont val="宋体"/>
        <family val="3"/>
        <charset val="134"/>
        <scheme val="minor"/>
      </rPr>
      <t>元，物业租金为126837.5元。                       2、2014.07.25-2016.07.24租金为488747.17元，其中房屋租金</t>
    </r>
    <r>
      <rPr>
        <sz val="12"/>
        <color indexed="10"/>
        <rFont val="宋体"/>
        <family val="3"/>
        <charset val="134"/>
      </rPr>
      <t>355145元</t>
    </r>
    <r>
      <rPr>
        <sz val="11"/>
        <color theme="1"/>
        <rFont val="宋体"/>
        <family val="3"/>
        <charset val="134"/>
        <scheme val="minor"/>
      </rPr>
      <t>，物业租金133602.17。                                        3、2016.07.25-2018.07.24租金为512423.50元，其中房屋租金</t>
    </r>
    <r>
      <rPr>
        <sz val="12"/>
        <color indexed="10"/>
        <rFont val="宋体"/>
        <family val="3"/>
        <charset val="134"/>
      </rPr>
      <t>372056.67</t>
    </r>
    <r>
      <rPr>
        <sz val="11"/>
        <color theme="1"/>
        <rFont val="宋体"/>
        <family val="3"/>
        <charset val="134"/>
        <scheme val="minor"/>
      </rPr>
      <t>，物业租金140366.83。                                          4、2018.07.25-2020.07.24租金为564004.08元，其中房屋租金</t>
    </r>
    <r>
      <rPr>
        <sz val="12"/>
        <color indexed="10"/>
        <rFont val="宋体"/>
        <family val="3"/>
        <charset val="134"/>
      </rPr>
      <t>409262.33</t>
    </r>
    <r>
      <rPr>
        <sz val="11"/>
        <color theme="1"/>
        <rFont val="宋体"/>
        <family val="3"/>
        <charset val="134"/>
        <scheme val="minor"/>
      </rPr>
      <t>元，物业租金154741.75元。                           5、2020.07.25-2021.07.24租金为620658.17元 ，其中房屋租金</t>
    </r>
    <r>
      <rPr>
        <sz val="12"/>
        <color indexed="10"/>
        <rFont val="宋体"/>
        <family val="3"/>
        <charset val="134"/>
      </rPr>
      <t>450695.92</t>
    </r>
    <r>
      <rPr>
        <sz val="11"/>
        <color theme="1"/>
        <rFont val="宋体"/>
        <family val="3"/>
        <charset val="134"/>
        <scheme val="minor"/>
      </rPr>
      <t xml:space="preserve">元，物业租金169962.25元。                               </t>
    </r>
  </si>
  <si>
    <t>SS054</t>
  </si>
  <si>
    <t>2021.11.01-2031.07.24</t>
  </si>
  <si>
    <r>
      <t xml:space="preserve">             1、2013.10.20-2014.07.24租金为306143.75元，其中房屋租金</t>
    </r>
    <r>
      <rPr>
        <sz val="12"/>
        <color indexed="10"/>
        <rFont val="宋体"/>
        <family val="3"/>
        <charset val="134"/>
      </rPr>
      <t>222650</t>
    </r>
    <r>
      <rPr>
        <sz val="11"/>
        <color theme="1"/>
        <rFont val="宋体"/>
        <family val="3"/>
        <charset val="134"/>
        <scheme val="minor"/>
      </rPr>
      <t>元，物业租金为83493.75元。                           2、2014.07.25-2016.07.24租金为321729.25元，其中房屋租金</t>
    </r>
    <r>
      <rPr>
        <sz val="12"/>
        <color indexed="10"/>
        <rFont val="宋体"/>
        <family val="3"/>
        <charset val="134"/>
      </rPr>
      <t>233782.50元</t>
    </r>
    <r>
      <rPr>
        <sz val="11"/>
        <color theme="1"/>
        <rFont val="宋体"/>
        <family val="3"/>
        <charset val="134"/>
        <scheme val="minor"/>
      </rPr>
      <t>，物业租金87946.75。                                        3、2016.07.25-2018.07.24租金为337314.75元，其中房屋租金</t>
    </r>
    <r>
      <rPr>
        <sz val="12"/>
        <color indexed="10"/>
        <rFont val="宋体"/>
        <family val="3"/>
        <charset val="134"/>
      </rPr>
      <t>244915</t>
    </r>
    <r>
      <rPr>
        <sz val="11"/>
        <color theme="1"/>
        <rFont val="宋体"/>
        <family val="3"/>
        <charset val="134"/>
        <scheme val="minor"/>
      </rPr>
      <t>，物业租金92399.75。                                          4、2018.07.25-2020.07.24租金为371268.88元，其中房屋租金</t>
    </r>
    <r>
      <rPr>
        <sz val="12"/>
        <color indexed="10"/>
        <rFont val="宋体"/>
        <family val="3"/>
        <charset val="134"/>
      </rPr>
      <t>269406.5</t>
    </r>
    <r>
      <rPr>
        <sz val="11"/>
        <color theme="1"/>
        <rFont val="宋体"/>
        <family val="3"/>
        <charset val="134"/>
        <scheme val="minor"/>
      </rPr>
      <t>元，物业租金101862.38元。                           5、2020.07.25-2021.07.24租金为408562.75元 ，其中房屋租金</t>
    </r>
    <r>
      <rPr>
        <sz val="12"/>
        <color indexed="10"/>
        <rFont val="宋体"/>
        <family val="3"/>
        <charset val="134"/>
      </rPr>
      <t>296681.13</t>
    </r>
    <r>
      <rPr>
        <sz val="11"/>
        <color theme="1"/>
        <rFont val="宋体"/>
        <family val="3"/>
        <charset val="134"/>
        <scheme val="minor"/>
      </rPr>
      <t xml:space="preserve">元，物业租金111881.63元。                                                                                                                   </t>
    </r>
  </si>
  <si>
    <t>合  计</t>
  </si>
  <si>
    <t>商场出租情况一览表</t>
  </si>
  <si>
    <t>已经出租面积（建面）</t>
    <phoneticPr fontId="3" type="noConversion"/>
  </si>
  <si>
    <t>实收押金</t>
    <phoneticPr fontId="3" type="noConversion"/>
  </si>
  <si>
    <t>北京酒洲通餐饮管理有限公司</t>
    <phoneticPr fontId="3" type="noConversion"/>
  </si>
  <si>
    <r>
      <t>SS0</t>
    </r>
    <r>
      <rPr>
        <sz val="12"/>
        <rFont val="宋体"/>
        <family val="3"/>
        <charset val="134"/>
      </rPr>
      <t>63</t>
    </r>
    <phoneticPr fontId="3" type="noConversion"/>
  </si>
  <si>
    <t xml:space="preserve">北京酒洲通餐饮管理有限公司
</t>
    <phoneticPr fontId="3" type="noConversion"/>
  </si>
  <si>
    <t>2023.7.1-2031.5.31</t>
    <phoneticPr fontId="3" type="noConversion"/>
  </si>
  <si>
    <t>2018.02.01-2021.08.31 每月租金263620.65元
2021.09.01-2022.08.31 每月租金290185.04元
2022.02.01-2023.08.31 每月租金316749.43元
2023.02.01-2024.08.31 每月租金343313.83元
2024.02.01-2025.08.31 每月租金369878.23元
2025.02.01-2026.08.31 每月租金396442.62元
2026.02.01-2027.08.31 每月租金423007.02元
（10年）</t>
    <phoneticPr fontId="3" type="noConversion"/>
  </si>
  <si>
    <r>
      <t>S</t>
    </r>
    <r>
      <rPr>
        <sz val="12"/>
        <rFont val="宋体"/>
        <family val="3"/>
        <charset val="134"/>
      </rPr>
      <t>S068</t>
    </r>
    <phoneticPr fontId="3" type="noConversion"/>
  </si>
  <si>
    <t>2023.8.15-2033.8.14</t>
    <phoneticPr fontId="3" type="noConversion"/>
  </si>
  <si>
    <r>
      <t>1</t>
    </r>
    <r>
      <rPr>
        <sz val="12"/>
        <rFont val="宋体"/>
        <family val="3"/>
        <charset val="134"/>
      </rPr>
      <t>.01</t>
    </r>
    <r>
      <rPr>
        <sz val="11"/>
        <color theme="1"/>
        <rFont val="宋体"/>
        <family val="3"/>
        <charset val="134"/>
        <scheme val="minor"/>
      </rPr>
      <t>/天.平米</t>
    </r>
    <phoneticPr fontId="3" type="noConversion"/>
  </si>
  <si>
    <t>北京和丰禾泽餐饮管理有限公司（原石寿堂）</t>
    <phoneticPr fontId="3" type="noConversion"/>
  </si>
  <si>
    <t>哭之笑之（北京）酒吧有限公司（原咕噜也喝酒）</t>
    <phoneticPr fontId="3" type="noConversion"/>
  </si>
  <si>
    <r>
      <t>SS0</t>
    </r>
    <r>
      <rPr>
        <sz val="12"/>
        <rFont val="宋体"/>
        <family val="3"/>
        <charset val="134"/>
      </rPr>
      <t>66</t>
    </r>
    <phoneticPr fontId="3" type="noConversion"/>
  </si>
  <si>
    <t>北京岩上空谷幽兰茶业有限公司</t>
    <phoneticPr fontId="3" type="noConversion"/>
  </si>
  <si>
    <r>
      <t>SS0</t>
    </r>
    <r>
      <rPr>
        <sz val="12"/>
        <rFont val="宋体"/>
        <family val="3"/>
        <charset val="134"/>
      </rPr>
      <t>55</t>
    </r>
    <phoneticPr fontId="3" type="noConversion"/>
  </si>
  <si>
    <r>
      <t xml:space="preserve">SS033
</t>
    </r>
    <r>
      <rPr>
        <sz val="12"/>
        <rFont val="宋体"/>
        <family val="3"/>
        <charset val="134"/>
      </rPr>
      <t>SS067</t>
    </r>
    <phoneticPr fontId="3" type="noConversion"/>
  </si>
  <si>
    <r>
      <t>2</t>
    </r>
    <r>
      <rPr>
        <sz val="11"/>
        <color theme="1"/>
        <rFont val="宋体"/>
        <family val="3"/>
        <charset val="134"/>
        <scheme val="minor"/>
      </rPr>
      <t xml:space="preserve">07.07.01-2023.06.30
</t>
    </r>
    <r>
      <rPr>
        <sz val="12"/>
        <rFont val="宋体"/>
        <family val="3"/>
        <charset val="134"/>
      </rPr>
      <t>2023.7.1-2026.6.30</t>
    </r>
    <phoneticPr fontId="3" type="noConversion"/>
  </si>
  <si>
    <t>补</t>
    <phoneticPr fontId="3" type="noConversion"/>
  </si>
  <si>
    <r>
      <t>S</t>
    </r>
    <r>
      <rPr>
        <sz val="12"/>
        <rFont val="宋体"/>
        <family val="3"/>
        <charset val="134"/>
      </rPr>
      <t>S062</t>
    </r>
    <phoneticPr fontId="3" type="noConversion"/>
  </si>
  <si>
    <t>盖娅之光（北京）健康管理有限公司</t>
    <phoneticPr fontId="3" type="noConversion"/>
  </si>
  <si>
    <r>
      <t>2</t>
    </r>
    <r>
      <rPr>
        <sz val="12"/>
        <rFont val="宋体"/>
        <family val="3"/>
        <charset val="134"/>
      </rPr>
      <t>022.9.15-2028.9.14</t>
    </r>
    <phoneticPr fontId="3" type="noConversion"/>
  </si>
  <si>
    <t>SS059</t>
    <phoneticPr fontId="3" type="noConversion"/>
  </si>
  <si>
    <r>
      <t>S</t>
    </r>
    <r>
      <rPr>
        <sz val="12"/>
        <rFont val="宋体"/>
        <family val="3"/>
        <charset val="134"/>
      </rPr>
      <t>S065</t>
    </r>
    <phoneticPr fontId="3" type="noConversion"/>
  </si>
  <si>
    <t>北京神州四海餐饮管理有限公司朝阳分公司</t>
    <phoneticPr fontId="3" type="noConversion"/>
  </si>
  <si>
    <t>2023.7.1-2031.5.31</t>
    <phoneticPr fontId="3" type="noConversion"/>
  </si>
  <si>
    <r>
      <t>2</t>
    </r>
    <r>
      <rPr>
        <sz val="12"/>
        <rFont val="宋体"/>
        <family val="3"/>
        <charset val="134"/>
      </rPr>
      <t>023.7.1-2023.12.31</t>
    </r>
    <phoneticPr fontId="3" type="noConversion"/>
  </si>
  <si>
    <t>2014.03月因为冠亚名表城减少面积，导致他先前租赁的面积重新划分，导致比以前的面积多出27米</t>
  </si>
  <si>
    <t>测绘报告面积</t>
  </si>
  <si>
    <t>已出租</t>
  </si>
  <si>
    <t xml:space="preserve"> 未出租</t>
  </si>
  <si>
    <t>特邀请</t>
  </si>
  <si>
    <t>钢混</t>
  </si>
  <si>
    <t>非生产用房</t>
  </si>
  <si>
    <t>押一</t>
  </si>
  <si>
    <t>商业收益法</t>
  </si>
  <si>
    <t>商业收益法</t>
    <phoneticPr fontId="16" type="noConversion"/>
  </si>
  <si>
    <t>办公收益法</t>
  </si>
  <si>
    <t>估价对象容积率</t>
  </si>
  <si>
    <t>王府井商业街（王府井大街）</t>
  </si>
  <si>
    <t>与级别开发程度一致</t>
  </si>
  <si>
    <t>好</t>
  </si>
  <si>
    <t>较好</t>
  </si>
  <si>
    <t>Ⅰ—01</t>
  </si>
  <si>
    <t>未包含在土地购买价格中</t>
  </si>
  <si>
    <t>全部缴纳</t>
  </si>
  <si>
    <t>已包含在土地取得成本中</t>
  </si>
  <si>
    <t>办公收益法</t>
    <phoneticPr fontId="16" type="noConversion"/>
  </si>
  <si>
    <t>地下车库</t>
  </si>
  <si>
    <t>地下车库收益法</t>
  </si>
  <si>
    <t>地下车库收益法</t>
    <phoneticPr fontId="16" type="noConversion"/>
  </si>
  <si>
    <t>现房</t>
  </si>
  <si>
    <t>项目全部</t>
  </si>
  <si>
    <t>成本法</t>
  </si>
  <si>
    <t>收益法（汇总）</t>
  </si>
  <si>
    <t xml:space="preserve">2018.05.01-2019.10.31 每月租金172036.67元
2019.11.01-2021.10.31 每月租金181713.73元
2021.11.01-2023.10.31 每月租金191820.88元
2023.11.01-2025.10.31 每月租金202573.18元
</t>
    <phoneticPr fontId="134" type="noConversion"/>
  </si>
  <si>
    <t>2017.11.01-2018.04.30为装修期，无租金</t>
    <phoneticPr fontId="134" type="noConversion"/>
  </si>
  <si>
    <t>住宅</t>
  </si>
  <si>
    <t>城镇住宅用地</t>
  </si>
  <si>
    <t>不临65条商业街</t>
  </si>
  <si>
    <t>无</t>
  </si>
  <si>
    <t>500米范围内</t>
  </si>
  <si>
    <t>一般</t>
  </si>
  <si>
    <t>自定义</t>
  </si>
  <si>
    <t>底商</t>
  </si>
  <si>
    <t>地下车库</t>
    <phoneticPr fontId="134" type="noConversion"/>
  </si>
  <si>
    <t>地下车库</t>
    <phoneticPr fontId="134" type="noConversion"/>
  </si>
  <si>
    <t>现状用途</t>
    <phoneticPr fontId="3" type="noConversion"/>
  </si>
  <si>
    <t>规划用途</t>
    <phoneticPr fontId="134" type="noConversion"/>
  </si>
  <si>
    <t>——</t>
    <phoneticPr fontId="134" type="noConversion"/>
  </si>
  <si>
    <t>商场、商店</t>
    <phoneticPr fontId="134" type="noConversion"/>
  </si>
  <si>
    <t>-105-2</t>
    <phoneticPr fontId="3" type="noConversion"/>
  </si>
  <si>
    <t>——</t>
    <phoneticPr fontId="134" type="noConversion"/>
  </si>
  <si>
    <t>不动产证号</t>
    <phoneticPr fontId="134" type="noConversion"/>
  </si>
  <si>
    <t>所在楼层</t>
    <phoneticPr fontId="134" type="noConversion"/>
  </si>
  <si>
    <t>房号</t>
    <phoneticPr fontId="134" type="noConversion"/>
  </si>
  <si>
    <t>建筑面积</t>
    <phoneticPr fontId="134" type="noConversion"/>
  </si>
  <si>
    <t>现状用途</t>
    <phoneticPr fontId="134" type="noConversion"/>
  </si>
  <si>
    <t>规划用途</t>
    <phoneticPr fontId="134" type="noConversion"/>
  </si>
  <si>
    <t>-01</t>
    <phoneticPr fontId="134" type="noConversion"/>
  </si>
  <si>
    <t>-102</t>
    <phoneticPr fontId="134" type="noConversion"/>
  </si>
  <si>
    <t>-104</t>
    <phoneticPr fontId="134" type="noConversion"/>
  </si>
  <si>
    <t>-105</t>
    <phoneticPr fontId="134" type="noConversion"/>
  </si>
  <si>
    <t>商场、酒店</t>
    <phoneticPr fontId="134" type="noConversion"/>
  </si>
  <si>
    <t>——</t>
    <phoneticPr fontId="134" type="noConversion"/>
  </si>
  <si>
    <t>-01夹层</t>
    <phoneticPr fontId="134" type="noConversion"/>
  </si>
  <si>
    <t>-002</t>
    <phoneticPr fontId="134" type="noConversion"/>
  </si>
  <si>
    <t>X京房权证东港澳台字第008885号</t>
    <phoneticPr fontId="134" type="noConversion"/>
  </si>
  <si>
    <t>X京房权证东港澳台字第008921号</t>
    <phoneticPr fontId="134" type="noConversion"/>
  </si>
  <si>
    <t>-02</t>
    <phoneticPr fontId="134" type="noConversion"/>
  </si>
  <si>
    <t>-202</t>
    <phoneticPr fontId="134" type="noConversion"/>
  </si>
  <si>
    <t>X京房权证东港澳台字第008884号</t>
    <phoneticPr fontId="134" type="noConversion"/>
  </si>
  <si>
    <t>-03</t>
    <phoneticPr fontId="134" type="noConversion"/>
  </si>
  <si>
    <t>-302</t>
    <phoneticPr fontId="134" type="noConversion"/>
  </si>
  <si>
    <t>X京房权证东港澳台字第008923号</t>
    <phoneticPr fontId="134" type="noConversion"/>
  </si>
  <si>
    <t>01</t>
    <phoneticPr fontId="134" type="noConversion"/>
  </si>
  <si>
    <t>01</t>
    <phoneticPr fontId="134" type="noConversion"/>
  </si>
  <si>
    <t>102</t>
    <phoneticPr fontId="134" type="noConversion"/>
  </si>
  <si>
    <t>103</t>
    <phoneticPr fontId="134" type="noConversion"/>
  </si>
  <si>
    <t>架空走廊</t>
    <phoneticPr fontId="134" type="noConversion"/>
  </si>
  <si>
    <t>使用用途</t>
    <phoneticPr fontId="134" type="noConversion"/>
  </si>
  <si>
    <t>商业</t>
    <phoneticPr fontId="134" type="noConversion"/>
  </si>
  <si>
    <t>X京房权证东港澳台字第008924号</t>
    <phoneticPr fontId="134" type="noConversion"/>
  </si>
  <si>
    <t>坐落</t>
    <phoneticPr fontId="134" type="noConversion"/>
  </si>
  <si>
    <t>02</t>
    <phoneticPr fontId="134" type="noConversion"/>
  </si>
  <si>
    <t>202</t>
    <phoneticPr fontId="134" type="noConversion"/>
  </si>
  <si>
    <t>X京房权证东港澳台字第008925号</t>
    <phoneticPr fontId="134" type="noConversion"/>
  </si>
  <si>
    <t>东城区王府井东街8号3层302</t>
    <phoneticPr fontId="134" type="noConversion"/>
  </si>
  <si>
    <t>03</t>
    <phoneticPr fontId="134" type="noConversion"/>
  </si>
  <si>
    <t>302</t>
    <phoneticPr fontId="134" type="noConversion"/>
  </si>
  <si>
    <t>X京房权证东港澳台字第008926号</t>
    <phoneticPr fontId="134" type="noConversion"/>
  </si>
  <si>
    <t>04</t>
    <phoneticPr fontId="134" type="noConversion"/>
  </si>
  <si>
    <t>402</t>
    <phoneticPr fontId="134" type="noConversion"/>
  </si>
  <si>
    <t>东城区王府井东街8号4层402</t>
    <phoneticPr fontId="134" type="noConversion"/>
  </si>
  <si>
    <t>X京房权证东港澳台字第008927号</t>
  </si>
  <si>
    <t>X京房权证东港澳台字第008928号</t>
  </si>
  <si>
    <t>X京房权证东港澳台字第008932号</t>
  </si>
  <si>
    <t>X京房权证东港澳台字第008933号</t>
  </si>
  <si>
    <t>东城区王府井东街8号</t>
    <phoneticPr fontId="134" type="noConversion"/>
  </si>
  <si>
    <t>06</t>
    <phoneticPr fontId="134" type="noConversion"/>
  </si>
  <si>
    <t>602</t>
    <phoneticPr fontId="134" type="noConversion"/>
  </si>
  <si>
    <t>603</t>
    <phoneticPr fontId="134" type="noConversion"/>
  </si>
  <si>
    <t>商务公寓</t>
    <phoneticPr fontId="134" type="noConversion"/>
  </si>
  <si>
    <t>商住</t>
    <phoneticPr fontId="134" type="noConversion"/>
  </si>
  <si>
    <t>702</t>
    <phoneticPr fontId="134" type="noConversion"/>
  </si>
  <si>
    <t>703</t>
    <phoneticPr fontId="134" type="noConversion"/>
  </si>
  <si>
    <t>商务公寓</t>
    <phoneticPr fontId="134" type="noConversion"/>
  </si>
  <si>
    <t>酒店式公寓</t>
    <phoneticPr fontId="134" type="noConversion"/>
  </si>
  <si>
    <t>07</t>
    <phoneticPr fontId="134" type="noConversion"/>
  </si>
  <si>
    <t>X京房权证东港澳台字第008883号</t>
    <phoneticPr fontId="134" type="noConversion"/>
  </si>
  <si>
    <t>东城区王府井东街8号</t>
    <phoneticPr fontId="134" type="noConversion"/>
  </si>
  <si>
    <t>08</t>
    <phoneticPr fontId="134" type="noConversion"/>
  </si>
  <si>
    <t>802</t>
    <phoneticPr fontId="134" type="noConversion"/>
  </si>
  <si>
    <t>803</t>
    <phoneticPr fontId="134" type="noConversion"/>
  </si>
  <si>
    <t>X京房权证东港澳台字第008929号</t>
    <phoneticPr fontId="134" type="noConversion"/>
  </si>
  <si>
    <t>09</t>
    <phoneticPr fontId="134" type="noConversion"/>
  </si>
  <si>
    <t>902</t>
    <phoneticPr fontId="134" type="noConversion"/>
  </si>
  <si>
    <t>903</t>
    <phoneticPr fontId="134" type="noConversion"/>
  </si>
  <si>
    <t>X京房权证东港澳台字第008930号</t>
    <phoneticPr fontId="134" type="noConversion"/>
  </si>
  <si>
    <t>10</t>
    <phoneticPr fontId="134" type="noConversion"/>
  </si>
  <si>
    <t>1002</t>
    <phoneticPr fontId="134" type="noConversion"/>
  </si>
  <si>
    <t>1003</t>
    <phoneticPr fontId="134" type="noConversion"/>
  </si>
  <si>
    <t>X京房权证东港澳台字第008931号</t>
    <phoneticPr fontId="134" type="noConversion"/>
  </si>
  <si>
    <t>北京濠江房地产开发有限公司——澳门中心</t>
    <phoneticPr fontId="3" type="noConversion"/>
  </si>
  <si>
    <t>11</t>
    <phoneticPr fontId="134" type="noConversion"/>
  </si>
  <si>
    <t>1102</t>
    <phoneticPr fontId="134" type="noConversion"/>
  </si>
  <si>
    <t>1103</t>
    <phoneticPr fontId="134" type="noConversion"/>
  </si>
  <si>
    <t>12</t>
    <phoneticPr fontId="134" type="noConversion"/>
  </si>
  <si>
    <t>1203</t>
    <phoneticPr fontId="134" type="noConversion"/>
  </si>
  <si>
    <t>1202</t>
    <phoneticPr fontId="134" type="noConversion"/>
  </si>
  <si>
    <t>13</t>
    <phoneticPr fontId="134" type="noConversion"/>
  </si>
  <si>
    <t>1302</t>
    <phoneticPr fontId="134" type="noConversion"/>
  </si>
  <si>
    <t>1303</t>
    <phoneticPr fontId="134" type="noConversion"/>
  </si>
  <si>
    <t>X京房权证东港澳台字第008516号</t>
    <phoneticPr fontId="134" type="noConversion"/>
  </si>
  <si>
    <t>14</t>
    <phoneticPr fontId="134" type="noConversion"/>
  </si>
  <si>
    <t>1402</t>
    <phoneticPr fontId="134" type="noConversion"/>
  </si>
  <si>
    <t>1403</t>
    <phoneticPr fontId="134" type="noConversion"/>
  </si>
  <si>
    <t>合计</t>
    <phoneticPr fontId="134" type="noConversion"/>
  </si>
  <si>
    <t>东城区王府井东街8号2层202</t>
    <phoneticPr fontId="134" type="noConversion"/>
  </si>
  <si>
    <t>东城区王府井东街8号-2层-202</t>
    <phoneticPr fontId="134" type="noConversion"/>
  </si>
  <si>
    <t>其他</t>
    <phoneticPr fontId="134" type="noConversion"/>
  </si>
  <si>
    <t>——</t>
    <phoneticPr fontId="134" type="noConversion"/>
  </si>
  <si>
    <t>东城区王府井东街8号-3层-302</t>
    <phoneticPr fontId="134" type="noConversion"/>
  </si>
  <si>
    <t>东城区王府井东街8号</t>
    <phoneticPr fontId="134" type="noConversion"/>
  </si>
  <si>
    <t>商业</t>
    <phoneticPr fontId="134" type="noConversion"/>
  </si>
  <si>
    <t>办公</t>
    <phoneticPr fontId="134" type="noConversion"/>
  </si>
  <si>
    <t>地上</t>
    <phoneticPr fontId="134" type="noConversion"/>
  </si>
  <si>
    <t>酒店</t>
    <phoneticPr fontId="134" type="noConversion"/>
  </si>
  <si>
    <t>地下</t>
    <phoneticPr fontId="134" type="noConversion"/>
  </si>
  <si>
    <t>设备</t>
    <phoneticPr fontId="134" type="noConversion"/>
  </si>
  <si>
    <t>算成本</t>
    <phoneticPr fontId="134" type="noConversion"/>
  </si>
  <si>
    <t>住宅</t>
    <phoneticPr fontId="134" type="noConversion"/>
  </si>
  <si>
    <t>算收益</t>
    <phoneticPr fontId="134" type="noConversion"/>
  </si>
  <si>
    <t>军队酒店</t>
    <phoneticPr fontId="134" type="noConversion"/>
  </si>
  <si>
    <t>酒店合计</t>
    <phoneticPr fontId="134" type="noConversion"/>
  </si>
  <si>
    <t>个数</t>
    <phoneticPr fontId="134" type="noConversion"/>
  </si>
  <si>
    <t>酒店</t>
  </si>
  <si>
    <t>办公楼</t>
  </si>
  <si>
    <t>楼层修正</t>
  </si>
  <si>
    <t>通路</t>
  </si>
  <si>
    <t>通电</t>
  </si>
  <si>
    <t>通讯</t>
  </si>
  <si>
    <t>通上水</t>
  </si>
  <si>
    <t>通下水</t>
  </si>
  <si>
    <t>通热</t>
  </si>
  <si>
    <t>燃气</t>
  </si>
  <si>
    <t>平整</t>
  </si>
  <si>
    <t>酒店收益法</t>
  </si>
  <si>
    <t>酒店收益法</t>
    <phoneticPr fontId="16" type="noConversion"/>
  </si>
  <si>
    <t>企业提供酒店收入</t>
    <phoneticPr fontId="134" type="noConversion"/>
  </si>
  <si>
    <t>客房</t>
    <phoneticPr fontId="134" type="noConversion"/>
  </si>
  <si>
    <t>餐饮</t>
    <phoneticPr fontId="134" type="noConversion"/>
  </si>
  <si>
    <t>其他</t>
    <phoneticPr fontId="134" type="noConversion"/>
  </si>
  <si>
    <t>合计</t>
    <phoneticPr fontId="134" type="noConversion"/>
  </si>
  <si>
    <r>
      <t>2023</t>
    </r>
    <r>
      <rPr>
        <sz val="9"/>
        <rFont val="宋体"/>
        <family val="3"/>
        <charset val="134"/>
      </rPr>
      <t>年</t>
    </r>
    <r>
      <rPr>
        <sz val="9"/>
        <rFont val="Arial"/>
        <family val="2"/>
      </rPr>
      <t>1-9</t>
    </r>
    <r>
      <rPr>
        <sz val="9"/>
        <rFont val="宋体"/>
        <family val="3"/>
        <charset val="134"/>
      </rPr>
      <t>月</t>
    </r>
    <phoneticPr fontId="134" type="noConversion"/>
  </si>
  <si>
    <t>商业</t>
    <phoneticPr fontId="134" type="noConversion"/>
  </si>
  <si>
    <t>可出租面积</t>
    <phoneticPr fontId="134" type="noConversion"/>
  </si>
  <si>
    <t>已出租面积</t>
    <phoneticPr fontId="134" type="noConversion"/>
  </si>
  <si>
    <t>出租率</t>
    <phoneticPr fontId="134" type="noConversion"/>
  </si>
  <si>
    <t>2023年1-9月</t>
    <phoneticPr fontId="134" type="noConversion"/>
  </si>
  <si>
    <t>办公</t>
    <phoneticPr fontId="134" type="noConversion"/>
  </si>
  <si>
    <t>濠江酒店</t>
    <phoneticPr fontId="134" type="noConversion"/>
  </si>
  <si>
    <t>地上</t>
    <phoneticPr fontId="134" type="noConversion"/>
  </si>
  <si>
    <t>地下</t>
    <phoneticPr fontId="134" type="noConversion"/>
  </si>
  <si>
    <t>酒店合计</t>
    <phoneticPr fontId="134" type="noConversion"/>
  </si>
  <si>
    <t>总价</t>
  </si>
  <si>
    <t>成本比率</t>
  </si>
  <si>
    <t>平均房价</t>
    <phoneticPr fontId="134" type="noConversion"/>
  </si>
  <si>
    <t>平均出租率</t>
    <phoneticPr fontId="134" type="noConversion"/>
  </si>
  <si>
    <t>五星级</t>
    <phoneticPr fontId="134" type="noConversion"/>
  </si>
  <si>
    <t>同比增长</t>
    <phoneticPr fontId="134" type="noConversion"/>
  </si>
  <si>
    <t>收入</t>
    <phoneticPr fontId="134" type="noConversion"/>
  </si>
  <si>
    <t>新东安办公楼</t>
    <phoneticPr fontId="134" type="noConversion"/>
  </si>
  <si>
    <t>写字楼</t>
    <phoneticPr fontId="134" type="noConversion"/>
  </si>
  <si>
    <t>租金</t>
    <phoneticPr fontId="134" type="noConversion"/>
  </si>
  <si>
    <t>10-11.5</t>
    <phoneticPr fontId="134" type="noConversion"/>
  </si>
  <si>
    <t>银泰吉祥大厦</t>
    <phoneticPr fontId="134" type="noConversion"/>
  </si>
  <si>
    <t>5-7.5</t>
    <phoneticPr fontId="134" type="noConversion"/>
  </si>
  <si>
    <t>金宝大厦</t>
    <phoneticPr fontId="134" type="noConversion"/>
  </si>
  <si>
    <t>14-15</t>
    <phoneticPr fontId="134" type="noConversion"/>
  </si>
  <si>
    <t>东方广场</t>
    <phoneticPr fontId="134" type="noConversion"/>
  </si>
  <si>
    <t>13-15</t>
    <phoneticPr fontId="134" type="noConversion"/>
  </si>
  <si>
    <t>利生体育用品商厦</t>
    <phoneticPr fontId="134" type="noConversion"/>
  </si>
  <si>
    <t>住宅</t>
    <phoneticPr fontId="7" type="noConversion"/>
  </si>
  <si>
    <t>地上</t>
    <phoneticPr fontId="8" type="noConversion"/>
  </si>
  <si>
    <t>北京市文化和旅游局</t>
    <phoneticPr fontId="134" type="noConversion"/>
  </si>
  <si>
    <t>重点住宿业房价及出租率情况</t>
    <phoneticPr fontId="134" type="noConversion"/>
  </si>
  <si>
    <t>接待住宿人数（人次）</t>
    <phoneticPr fontId="134" type="noConversion"/>
  </si>
  <si>
    <r>
      <t>2023</t>
    </r>
    <r>
      <rPr>
        <sz val="10"/>
        <rFont val="宋体"/>
        <family val="3"/>
        <charset val="134"/>
      </rPr>
      <t>年</t>
    </r>
    <r>
      <rPr>
        <sz val="10"/>
        <rFont val="Arial"/>
        <family val="2"/>
      </rPr>
      <t>1-9</t>
    </r>
    <r>
      <rPr>
        <sz val="10"/>
        <rFont val="宋体"/>
        <family val="3"/>
        <charset val="134"/>
      </rPr>
      <t>月</t>
    </r>
    <phoneticPr fontId="134" type="noConversion"/>
  </si>
  <si>
    <t xml:space="preserve">5509379
</t>
    <phoneticPr fontId="134" type="noConversion"/>
  </si>
  <si>
    <t>审计报告</t>
    <phoneticPr fontId="134" type="noConversion"/>
  </si>
  <si>
    <t>营业收入</t>
    <phoneticPr fontId="134" type="noConversion"/>
  </si>
  <si>
    <t>企业提供各部分</t>
    <phoneticPr fontId="134" type="noConversion"/>
  </si>
  <si>
    <t>商业</t>
    <phoneticPr fontId="134" type="noConversion"/>
  </si>
  <si>
    <t>办公</t>
    <phoneticPr fontId="134" type="noConversion"/>
  </si>
  <si>
    <t>酒店</t>
    <phoneticPr fontId="134" type="noConversion"/>
  </si>
  <si>
    <t>小计</t>
    <phoneticPr fontId="134" type="noConversion"/>
  </si>
  <si>
    <t>差值</t>
    <phoneticPr fontId="134" type="noConversion"/>
  </si>
  <si>
    <t>2023年8月北京王府井商圈</t>
    <phoneticPr fontId="134" type="noConversion"/>
  </si>
  <si>
    <t>写字楼出售价格135921元/㎡，环比下跌1.55%。该商圈共有写字楼楼盘15个，热度较高的楼盘包含：东方广场写字楼、新东安广场、澳门中心、王府井大厦、国旅大厦。</t>
    <phoneticPr fontId="134" type="noConversion"/>
  </si>
  <si>
    <t>东方广场写字楼</t>
    <phoneticPr fontId="134" type="noConversion"/>
  </si>
  <si>
    <t>其中写字楼出租</t>
    <phoneticPr fontId="134" type="noConversion"/>
  </si>
  <si>
    <t>房源挂牌量</t>
    <phoneticPr fontId="134" type="noConversion"/>
  </si>
  <si>
    <t>环比涨幅</t>
    <phoneticPr fontId="134" type="noConversion"/>
  </si>
  <si>
    <t>静态投资回报率</t>
    <phoneticPr fontId="134" type="noConversion"/>
  </si>
  <si>
    <t>19年</t>
    <phoneticPr fontId="134" type="noConversion"/>
  </si>
  <si>
    <t>地址为东长安街1号，楼盘的总层数为28层，建筑面积500000㎡，占地面积100000㎡，标准层面积3000㎡，开间面积202.00㎡，标准层高3.5m，开发商为长江实业，物业公司为北京高卫世纪物业管理有限公司，物业费41元/平米·月，停车位地上1个、地下2000个。</t>
    <phoneticPr fontId="134" type="noConversion"/>
  </si>
  <si>
    <t>新东安广场写字楼</t>
    <phoneticPr fontId="134" type="noConversion"/>
  </si>
  <si>
    <t>出租均价（元/㎡·天）</t>
    <phoneticPr fontId="134" type="noConversion"/>
  </si>
  <si>
    <t>出售均价（元/㎡）</t>
    <phoneticPr fontId="134" type="noConversion"/>
  </si>
  <si>
    <t>18年</t>
    <phoneticPr fontId="134" type="noConversion"/>
  </si>
  <si>
    <t>地址为王府井大街138号，楼盘的总层数为11层，建筑面积40000㎡，标准层面积3000㎡，开间面积300.00㎡，标准层高3m，开发商为香港新鸿基地产发展有限公司，物业公司为北京仲量联行物业管理服务有限公司，物业费32元/平米·月，停车位地上20个、地下450个。</t>
    <phoneticPr fontId="134" type="noConversion"/>
  </si>
  <si>
    <t>澳门中心写字楼</t>
    <phoneticPr fontId="134" type="noConversion"/>
  </si>
  <si>
    <t>——</t>
    <phoneticPr fontId="134" type="noConversion"/>
  </si>
  <si>
    <t>——</t>
    <phoneticPr fontId="134" type="noConversion"/>
  </si>
  <si>
    <t>地址为金鱼胡同王府井东街8号(近新东安百货)，楼盘的总层数为16层，建筑面积88296㎡，占地面积9019㎡，标准层面积2012㎡，开间面积150.00㎡，标准层高3.3m，开发商为北京濠江房地产开发有限公司，物业公司为北京世邦魏理仕物业管理服务有限公司，物业费35元/平米·月，停车位地上32个、地下312个。</t>
    <phoneticPr fontId="134" type="noConversion"/>
  </si>
  <si>
    <t>王府井大厦</t>
    <phoneticPr fontId="134" type="noConversion"/>
  </si>
  <si>
    <t>——</t>
    <phoneticPr fontId="134" type="noConversion"/>
  </si>
  <si>
    <t>地址为王府井大街255号，楼盘的总层数为12层，建筑面积217980㎡，占地面积6000㎡，标准层面积2700㎡，开间面积400.00㎡，标准层高3m，开发商为北京王府世纪发展有限公司，物业公司为北京王府井百货商业物业管理有限公司，物业费28元/平米·月，停车位地上1个、地下50个</t>
    <phoneticPr fontId="134" type="noConversion"/>
  </si>
  <si>
    <t>国旅大厦</t>
    <phoneticPr fontId="134" type="noConversion"/>
  </si>
  <si>
    <t>——</t>
    <phoneticPr fontId="134" type="noConversion"/>
  </si>
  <si>
    <t>地址为东单北大街1号，楼盘的总层数为17层，建筑面积38900㎡，占地面积4500㎡，标准层面积1000㎡，开间面积200.00㎡，标准层高3.6m，开发商为中国国际旅行社总社，物业公司为国旅王府大厦，物业费25元/㎡·月。</t>
    <phoneticPr fontId="134" type="noConversion"/>
  </si>
  <si>
    <t>车库个数</t>
    <phoneticPr fontId="134" type="noConversion"/>
  </si>
  <si>
    <t>军队面积</t>
    <phoneticPr fontId="134" type="noConversion"/>
  </si>
  <si>
    <t>濠江面积</t>
    <phoneticPr fontId="134" type="noConversion"/>
  </si>
  <si>
    <t>合计</t>
    <phoneticPr fontId="134" type="noConversion"/>
  </si>
  <si>
    <t>崔锴</t>
  </si>
  <si>
    <t>郑燚</t>
  </si>
  <si>
    <t>1402-2</t>
    <phoneticPr fontId="3" type="noConversion"/>
  </si>
  <si>
    <t>商务公寓</t>
    <phoneticPr fontId="134" type="noConversion"/>
  </si>
  <si>
    <t>酒店式公寓</t>
    <phoneticPr fontId="134" type="noConversion"/>
  </si>
  <si>
    <t>合计</t>
    <phoneticPr fontId="134" type="noConversion"/>
  </si>
  <si>
    <t>序号</t>
    <phoneticPr fontId="134" type="noConversion"/>
  </si>
  <si>
    <t>名称</t>
    <phoneticPr fontId="134" type="noConversion"/>
  </si>
  <si>
    <t>东城区金鱼胡同8号</t>
    <phoneticPr fontId="134" type="noConversion"/>
  </si>
  <si>
    <t>东城区金宝街92号</t>
    <phoneticPr fontId="134" type="noConversion"/>
  </si>
  <si>
    <t>东城区金宝街99号</t>
    <phoneticPr fontId="134" type="noConversion"/>
  </si>
  <si>
    <t>东城区王府井大街57号</t>
    <phoneticPr fontId="134" type="noConversion"/>
  </si>
  <si>
    <t>东城区王府井大街2号</t>
    <phoneticPr fontId="134" type="noConversion"/>
  </si>
  <si>
    <t>东城区王府井大街50号</t>
    <phoneticPr fontId="134" type="noConversion"/>
  </si>
  <si>
    <t>王府半岛酒店</t>
    <phoneticPr fontId="134" type="noConversion"/>
  </si>
  <si>
    <t>房间数</t>
    <phoneticPr fontId="134" type="noConversion"/>
  </si>
  <si>
    <t>总层数</t>
    <phoneticPr fontId="134" type="noConversion"/>
  </si>
  <si>
    <t>天伦王朝酒店</t>
    <phoneticPr fontId="134" type="noConversion"/>
  </si>
  <si>
    <t>励骏酒店</t>
    <phoneticPr fontId="134" type="noConversion"/>
  </si>
  <si>
    <t>北京丽晶酒店</t>
    <phoneticPr fontId="134" type="noConversion"/>
  </si>
  <si>
    <t>496间</t>
    <phoneticPr fontId="134" type="noConversion"/>
  </si>
  <si>
    <t>北京金茂万丽酒店</t>
    <phoneticPr fontId="134" type="noConversion"/>
  </si>
  <si>
    <t>2300-10000</t>
    <phoneticPr fontId="134" type="noConversion"/>
  </si>
  <si>
    <t>230间</t>
    <phoneticPr fontId="134" type="noConversion"/>
  </si>
  <si>
    <t>备注</t>
    <phoneticPr fontId="134" type="noConversion"/>
  </si>
  <si>
    <t>1989年开业，2016年装修</t>
    <phoneticPr fontId="134" type="noConversion"/>
  </si>
  <si>
    <t>1500-3000</t>
    <phoneticPr fontId="134" type="noConversion"/>
  </si>
  <si>
    <t>395间</t>
    <phoneticPr fontId="134" type="noConversion"/>
  </si>
  <si>
    <t>2007年开业</t>
    <phoneticPr fontId="134" type="noConversion"/>
  </si>
  <si>
    <t>1000-6000</t>
    <phoneticPr fontId="134" type="noConversion"/>
  </si>
  <si>
    <t>388间</t>
    <phoneticPr fontId="134" type="noConversion"/>
  </si>
  <si>
    <t>2008年开业</t>
    <phoneticPr fontId="134" type="noConversion"/>
  </si>
  <si>
    <t>北京贵宾楼饭店</t>
    <phoneticPr fontId="134" type="noConversion"/>
  </si>
  <si>
    <t>1300-13000</t>
    <phoneticPr fontId="134" type="noConversion"/>
  </si>
  <si>
    <t>206间</t>
    <phoneticPr fontId="134" type="noConversion"/>
  </si>
  <si>
    <t>东城区东长安街35号</t>
    <phoneticPr fontId="134" type="noConversion"/>
  </si>
  <si>
    <t>1990年开业，2020年装修</t>
    <phoneticPr fontId="134" type="noConversion"/>
  </si>
  <si>
    <t>1200-20000</t>
    <phoneticPr fontId="134" type="noConversion"/>
  </si>
  <si>
    <t>399间</t>
    <phoneticPr fontId="134" type="noConversion"/>
  </si>
  <si>
    <t>北京华侨大厦睿世酒店</t>
    <phoneticPr fontId="134" type="noConversion"/>
  </si>
  <si>
    <t>1992年开业，2021年装修</t>
    <phoneticPr fontId="134" type="noConversion"/>
  </si>
  <si>
    <t>北京东方君悦大酒店</t>
    <phoneticPr fontId="134" type="noConversion"/>
  </si>
  <si>
    <t>东城区东长安街1号</t>
    <phoneticPr fontId="134" type="noConversion"/>
  </si>
  <si>
    <t>518间</t>
    <phoneticPr fontId="134" type="noConversion"/>
  </si>
  <si>
    <t>2001年开业，2015年装修</t>
    <phoneticPr fontId="134" type="noConversion"/>
  </si>
  <si>
    <t>1500-5000</t>
    <phoneticPr fontId="134" type="noConversion"/>
  </si>
  <si>
    <t>房价区间（元/间）</t>
    <phoneticPr fontId="134" type="noConversion"/>
  </si>
  <si>
    <t>2014年开业</t>
    <phoneticPr fontId="134" type="noConversion"/>
  </si>
  <si>
    <t>321间</t>
    <phoneticPr fontId="134" type="noConversion"/>
  </si>
  <si>
    <t>1500-35000</t>
    <phoneticPr fontId="134" type="noConversion"/>
  </si>
  <si>
    <t>1990年开业，2008年装修</t>
    <phoneticPr fontId="134" type="noConversion"/>
  </si>
  <si>
    <t>800-2200</t>
    <phoneticPr fontId="134" type="noConversion"/>
  </si>
  <si>
    <t>序号</t>
    <phoneticPr fontId="134" type="noConversion"/>
  </si>
  <si>
    <t>项目名称</t>
    <phoneticPr fontId="134" type="noConversion"/>
  </si>
  <si>
    <t>区县</t>
    <phoneticPr fontId="134" type="noConversion"/>
  </si>
  <si>
    <t>物业类型</t>
    <phoneticPr fontId="134" type="noConversion"/>
  </si>
  <si>
    <t>成交时间</t>
    <phoneticPr fontId="134" type="noConversion"/>
  </si>
  <si>
    <t>交易类型</t>
    <phoneticPr fontId="134" type="noConversion"/>
  </si>
  <si>
    <t>成交单价（元/㎡）</t>
    <phoneticPr fontId="134" type="noConversion"/>
  </si>
  <si>
    <t>成交面积（㎡）</t>
    <phoneticPr fontId="134" type="noConversion"/>
  </si>
  <si>
    <t>卖家</t>
    <phoneticPr fontId="134" type="noConversion"/>
  </si>
  <si>
    <t>朝阳区</t>
    <phoneticPr fontId="134" type="noConversion"/>
  </si>
  <si>
    <t xml:space="preserve">--   </t>
    <phoneticPr fontId="134" type="noConversion"/>
  </si>
  <si>
    <t xml:space="preserve"> 华业国际中心   </t>
    <phoneticPr fontId="134" type="noConversion"/>
  </si>
  <si>
    <t xml:space="preserve">综合体   </t>
    <phoneticPr fontId="134" type="noConversion"/>
  </si>
  <si>
    <t xml:space="preserve">16255   </t>
    <phoneticPr fontId="134" type="noConversion"/>
  </si>
  <si>
    <t xml:space="preserve">42324   </t>
    <phoneticPr fontId="134" type="noConversion"/>
  </si>
  <si>
    <t xml:space="preserve"> 双子座大厦   </t>
    <phoneticPr fontId="134" type="noConversion"/>
  </si>
  <si>
    <t xml:space="preserve">股权交易   </t>
    <phoneticPr fontId="134" type="noConversion"/>
  </si>
  <si>
    <t xml:space="preserve">53497   </t>
    <phoneticPr fontId="134" type="noConversion"/>
  </si>
  <si>
    <t xml:space="preserve">150400   </t>
    <phoneticPr fontId="134" type="noConversion"/>
  </si>
  <si>
    <t xml:space="preserve"> 北京工体3号   </t>
    <phoneticPr fontId="134" type="noConversion"/>
  </si>
  <si>
    <t>东城区</t>
    <phoneticPr fontId="134" type="noConversion"/>
  </si>
  <si>
    <t xml:space="preserve">43500   </t>
    <phoneticPr fontId="134" type="noConversion"/>
  </si>
  <si>
    <t xml:space="preserve">27564   </t>
    <phoneticPr fontId="134" type="noConversion"/>
  </si>
  <si>
    <t xml:space="preserve"> Naga上院   </t>
    <phoneticPr fontId="134" type="noConversion"/>
  </si>
  <si>
    <t xml:space="preserve">82519   </t>
    <phoneticPr fontId="134" type="noConversion"/>
  </si>
  <si>
    <t xml:space="preserve">5768   </t>
    <phoneticPr fontId="134" type="noConversion"/>
  </si>
  <si>
    <t>辉盛阁国际公寓</t>
    <phoneticPr fontId="134" type="noConversion"/>
  </si>
  <si>
    <t>公寓</t>
    <phoneticPr fontId="134" type="noConversion"/>
  </si>
  <si>
    <t>2021年1月</t>
    <phoneticPr fontId="134" type="noConversion"/>
  </si>
  <si>
    <t>境内股权</t>
    <phoneticPr fontId="134" type="noConversion"/>
  </si>
  <si>
    <t>铁狮门</t>
    <phoneticPr fontId="134" type="noConversion"/>
  </si>
  <si>
    <t>星狮地产</t>
    <phoneticPr fontId="134" type="noConversion"/>
  </si>
  <si>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phoneticPr fontId="134" type="noConversion"/>
  </si>
  <si>
    <t>办公</t>
    <phoneticPr fontId="134" type="noConversion"/>
  </si>
  <si>
    <t>2021年2月</t>
    <phoneticPr fontId="134" type="noConversion"/>
  </si>
  <si>
    <t>GLP 普洛斯资本</t>
    <phoneticPr fontId="134" type="noConversion"/>
  </si>
  <si>
    <t>兆泰集团</t>
    <phoneticPr fontId="134" type="noConversion"/>
  </si>
  <si>
    <t>新世界燕京大厦</t>
    <phoneticPr fontId="134" type="noConversion"/>
  </si>
  <si>
    <t>2021年3月</t>
    <phoneticPr fontId="134" type="noConversion"/>
  </si>
  <si>
    <t>资产交易</t>
    <phoneticPr fontId="134" type="noConversion"/>
  </si>
  <si>
    <t>浩云科技</t>
    <phoneticPr fontId="134" type="noConversion"/>
  </si>
  <si>
    <t>新世界地产</t>
    <phoneticPr fontId="134" type="noConversion"/>
  </si>
  <si>
    <t>SK大厦</t>
    <phoneticPr fontId="134" type="noConversion"/>
  </si>
  <si>
    <t>2021年5月</t>
    <phoneticPr fontId="134" type="noConversion"/>
  </si>
  <si>
    <t>北京来福士中心</t>
    <phoneticPr fontId="134" type="noConversion"/>
  </si>
  <si>
    <t>综合体</t>
    <phoneticPr fontId="134" type="noConversion"/>
  </si>
  <si>
    <t>2021年6月</t>
    <phoneticPr fontId="134" type="noConversion"/>
  </si>
  <si>
    <t>境内股权（70%）</t>
    <phoneticPr fontId="134" type="noConversion"/>
  </si>
  <si>
    <t>平安人寿</t>
    <phoneticPr fontId="134" type="noConversion"/>
  </si>
  <si>
    <t>凯德</t>
    <phoneticPr fontId="134" type="noConversion"/>
  </si>
  <si>
    <t>世茂工三</t>
    <phoneticPr fontId="134" type="noConversion"/>
  </si>
  <si>
    <t>零售</t>
    <phoneticPr fontId="134" type="noConversion"/>
  </si>
  <si>
    <t>2021年7月</t>
    <phoneticPr fontId="134" type="noConversion"/>
  </si>
  <si>
    <t>北京卓睿物业管理有限公司</t>
    <phoneticPr fontId="134" type="noConversion"/>
  </si>
  <si>
    <t>北京产交所</t>
    <phoneticPr fontId="134" type="noConversion"/>
  </si>
  <si>
    <t>德胜国际中心BE座</t>
    <phoneticPr fontId="134" type="noConversion"/>
  </si>
  <si>
    <t>西城区</t>
    <phoneticPr fontId="134" type="noConversion"/>
  </si>
  <si>
    <t>2021年9月</t>
    <phoneticPr fontId="134" type="noConversion"/>
  </si>
  <si>
    <t>凯龙瑞</t>
    <phoneticPr fontId="134" type="noConversion"/>
  </si>
  <si>
    <t>金融街控股</t>
    <phoneticPr fontId="134" type="noConversion"/>
  </si>
  <si>
    <t>博瑞大厦</t>
    <phoneticPr fontId="134" type="noConversion"/>
  </si>
  <si>
    <t>拍卖</t>
    <phoneticPr fontId="134" type="noConversion"/>
  </si>
  <si>
    <t>凯德中国</t>
    <phoneticPr fontId="134" type="noConversion"/>
  </si>
  <si>
    <t>北京特尔特物业发展有限公司</t>
    <phoneticPr fontId="134" type="noConversion"/>
  </si>
  <si>
    <t xml:space="preserve">北京西丁府(内资)  </t>
    <phoneticPr fontId="134" type="noConversion"/>
  </si>
  <si>
    <t xml:space="preserve">新加坡政府投资有限公司(外资),中粮集团有限公司(内资)  </t>
    <phoneticPr fontId="134" type="noConversion"/>
  </si>
  <si>
    <t xml:space="preserve">上海世茂投资管理有限公司(外资)  </t>
    <phoneticPr fontId="134" type="noConversion"/>
  </si>
  <si>
    <t xml:space="preserve">迁安市九江线材有限责任公司(内资)  </t>
    <phoneticPr fontId="134" type="noConversion"/>
  </si>
  <si>
    <t>成交总价（亿元）</t>
    <phoneticPr fontId="134" type="noConversion"/>
  </si>
  <si>
    <t>买家</t>
    <phoneticPr fontId="134" type="noConversion"/>
  </si>
  <si>
    <r>
      <rPr>
        <sz val="8"/>
        <color rgb="FF252525"/>
        <rFont val="KaiTi"/>
        <family val="3"/>
      </rPr>
      <t>和谐健康保险</t>
    </r>
    <phoneticPr fontId="134" type="noConversion"/>
  </si>
  <si>
    <r>
      <rPr>
        <sz val="8"/>
        <color rgb="FF252525"/>
        <rFont val="KaiTi"/>
        <family val="3"/>
      </rPr>
      <t>SK集团</t>
    </r>
    <phoneticPr fontId="134" type="noConversion"/>
  </si>
  <si>
    <t xml:space="preserve">河南省景瑞控股有限责任公司 </t>
    <phoneticPr fontId="134" type="noConversion"/>
  </si>
  <si>
    <t xml:space="preserve">中海晟融(北京)资本管理集团有限公司 </t>
    <phoneticPr fontId="134" type="noConversion"/>
  </si>
  <si>
    <t xml:space="preserve">LG电子株式会社 </t>
    <phoneticPr fontId="134" type="noConversion"/>
  </si>
  <si>
    <t xml:space="preserve">北京华业资本控股股份有限公司 </t>
    <phoneticPr fontId="134" type="noConversion"/>
  </si>
  <si>
    <t>类型</t>
    <phoneticPr fontId="134" type="noConversion"/>
  </si>
  <si>
    <t>类型</t>
  </si>
  <si>
    <r>
      <t>2023</t>
    </r>
    <r>
      <rPr>
        <sz val="10.5"/>
        <color theme="1"/>
        <rFont val="宋体"/>
        <family val="3"/>
        <charset val="134"/>
      </rPr>
      <t>年</t>
    </r>
    <r>
      <rPr>
        <sz val="10.5"/>
        <color theme="1"/>
        <rFont val="Calibri"/>
        <family val="2"/>
      </rPr>
      <t>1-9</t>
    </r>
    <r>
      <rPr>
        <sz val="10.5"/>
        <color theme="1"/>
        <rFont val="宋体"/>
        <family val="3"/>
        <charset val="134"/>
      </rPr>
      <t>月</t>
    </r>
  </si>
  <si>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</si>
  <si>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</si>
  <si>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</si>
  <si>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</si>
  <si>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</si>
  <si>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</si>
  <si>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</si>
  <si>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</si>
  <si>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</si>
  <si>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</si>
  <si>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</si>
  <si>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</si>
  <si>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</si>
  <si>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</si>
  <si>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</si>
  <si>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</si>
  <si>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</si>
  <si>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r>
      <t>2022</t>
    </r>
    <r>
      <rPr>
        <sz val="10"/>
        <color indexed="8"/>
        <rFont val="宋体"/>
        <family val="3"/>
        <charset val="134"/>
      </rPr>
      <t>年</t>
    </r>
    <r>
      <rPr>
        <sz val="10"/>
        <color indexed="8"/>
        <rFont val="Arial"/>
        <family val="2"/>
      </rPr>
      <t>12</t>
    </r>
    <r>
      <rPr>
        <sz val="10"/>
        <color indexed="8"/>
        <rFont val="宋体"/>
        <family val="3"/>
        <charset val="134"/>
      </rPr>
      <t>月市场价值</t>
    </r>
    <phoneticPr fontId="8" type="noConversion"/>
  </si>
  <si>
    <r>
      <t>B1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</si>
  <si>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</si>
  <si>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</si>
  <si>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</si>
  <si>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</si>
  <si>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建筑面积</t>
    <phoneticPr fontId="3" type="noConversion"/>
  </si>
  <si>
    <t>可出租套内面积</t>
    <phoneticPr fontId="3" type="noConversion"/>
  </si>
  <si>
    <t>套内租金</t>
    <phoneticPr fontId="3" type="noConversion"/>
  </si>
  <si>
    <t>合计</t>
    <phoneticPr fontId="3" type="noConversion"/>
  </si>
  <si>
    <t>商业</t>
    <phoneticPr fontId="3" type="noConversion"/>
  </si>
  <si>
    <t>现状</t>
    <phoneticPr fontId="3" type="noConversion"/>
  </si>
  <si>
    <t>可出租率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</si>
</sst>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_ "/>
    <numFmt numFmtId="198" formatCode="_-* #,##0.00_-;\-* #,##0.00_-;_-* &quot;-&quot;_-;_-@_-"/>
    <numFmt numFmtId="199" formatCode="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8"/>
      <name val="宋体"/>
      <family val="3"/>
      <charset val="134"/>
    </font>
    <font>
      <sz val="11"/>
      <color theme="1"/>
      <name val="宋体"/>
      <family val="3"/>
      <charset val="134"/>
      <scheme val="minor"/>
    </font>
    <font>
      <sz val="11"/>
      <color rgb="FF006100"/>
      <name val="宋体"/>
      <family val="2"/>
      <charset val="134"/>
      <scheme val="minor"/>
    </font>
    <font>
      <sz val="12"/>
      <name val="宋体"/>
      <family val="3"/>
      <charset val="134"/>
      <scheme val="minor"/>
    </font>
    <font>
      <sz val="12"/>
      <color indexed="10"/>
      <name val="宋体"/>
      <family val="3"/>
      <charset val="134"/>
    </font>
    <font>
      <b/>
      <sz val="9"/>
      <name val="宋体"/>
      <family val="3"/>
      <charset val="134"/>
    </font>
    <font>
      <sz val="11"/>
      <color theme="1"/>
      <name val="宋体"/>
      <family val="3"/>
      <charset val="134"/>
      <scheme val="minor"/>
    </font>
    <font>
      <sz val="11"/>
      <color rgb="FFFF0000"/>
      <name val="宋体"/>
      <family val="3"/>
      <charset val="134"/>
      <scheme val="minor"/>
    </font>
    <font>
      <sz val="9"/>
      <color rgb="FFFF0000"/>
      <name val="宋体"/>
      <family val="3"/>
      <charset val="134"/>
    </font>
    <font>
      <sz val="12"/>
      <name val="宋体"/>
      <family val="3"/>
      <charset val="134"/>
      <scheme val="major"/>
    </font>
    <font>
      <sz val="9"/>
      <name val="Tahoma"/>
      <family val="2"/>
      <charset val="134"/>
    </font>
    <font>
      <b/>
      <sz val="14"/>
      <name val="宋体"/>
      <family val="3"/>
      <charset val="134"/>
    </font>
    <font>
      <sz val="14"/>
      <name val="宋体"/>
      <family val="3"/>
      <charset val="134"/>
    </font>
    <font>
      <b/>
      <sz val="20"/>
      <name val="宋体"/>
      <family val="3"/>
      <charset val="134"/>
    </font>
    <font>
      <sz val="8"/>
      <name val="KaiTi"/>
      <family val="3"/>
    </font>
    <font>
      <sz val="8"/>
      <color rgb="FF252525"/>
      <name val="KaiTi"/>
      <family val="3"/>
    </font>
    <font>
      <sz val="8"/>
      <name val="宋体"/>
      <family val="3"/>
      <charset val="134"/>
    </font>
    <font>
      <sz val="10"/>
      <name val="宋体"/>
      <family val="3"/>
      <charset val="134"/>
      <scheme val="minor"/>
    </font>
    <font>
      <sz val="10.5"/>
      <color theme="1"/>
      <name val="Calibri"/>
      <family val="2"/>
    </font>
    <font>
      <sz val="10.5"/>
      <color theme="1"/>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6EFCE"/>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indexed="4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7">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43" fontId="270" fillId="0" borderId="0" applyFont="0" applyFill="0" applyBorder="0" applyAlignment="0" applyProtection="0">
      <alignment vertical="center"/>
    </xf>
    <xf numFmtId="0" fontId="271" fillId="22" borderId="0" applyNumberFormat="0" applyBorder="0" applyAlignment="0" applyProtection="0">
      <alignment vertical="center"/>
    </xf>
    <xf numFmtId="43" fontId="36" fillId="0" borderId="0" applyFont="0" applyFill="0" applyBorder="0" applyAlignment="0" applyProtection="0"/>
    <xf numFmtId="41" fontId="275" fillId="0" borderId="0" applyFont="0" applyFill="0" applyBorder="0" applyAlignment="0" applyProtection="0">
      <alignment vertical="center"/>
    </xf>
    <xf numFmtId="9" fontId="95" fillId="0" borderId="0" applyFont="0" applyFill="0" applyBorder="0" applyAlignment="0" applyProtection="0">
      <alignment vertical="center"/>
    </xf>
    <xf numFmtId="41" fontId="95" fillId="0" borderId="0" applyFont="0" applyFill="0" applyBorder="0" applyAlignment="0" applyProtection="0">
      <alignment vertical="center"/>
    </xf>
    <xf numFmtId="43" fontId="128" fillId="0" borderId="0" applyFont="0" applyFill="0" applyBorder="0" applyAlignment="0" applyProtection="0">
      <alignment vertical="center"/>
    </xf>
  </cellStyleXfs>
  <cellXfs count="4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36" fillId="0" borderId="0" xfId="19">
      <alignment vertical="center"/>
    </xf>
    <xf numFmtId="0" fontId="36" fillId="0" borderId="13" xfId="19" applyBorder="1" applyAlignment="1">
      <alignment vertical="center"/>
    </xf>
    <xf numFmtId="0" fontId="36" fillId="0" borderId="1" xfId="19" applyBorder="1">
      <alignment vertical="center"/>
    </xf>
    <xf numFmtId="0" fontId="36" fillId="0" borderId="1" xfId="19" applyFont="1" applyBorder="1">
      <alignment vertical="center"/>
    </xf>
    <xf numFmtId="0" fontId="36" fillId="0" borderId="1" xfId="19" applyBorder="1" applyAlignment="1">
      <alignment horizontal="left" vertical="center"/>
    </xf>
    <xf numFmtId="49" fontId="36" fillId="0" borderId="13" xfId="19" applyNumberFormat="1" applyBorder="1" applyAlignment="1">
      <alignment horizontal="center" vertical="center"/>
    </xf>
    <xf numFmtId="176" fontId="36" fillId="0" borderId="1" xfId="19" applyNumberFormat="1" applyBorder="1">
      <alignment vertical="center"/>
    </xf>
    <xf numFmtId="49" fontId="36" fillId="0" borderId="1" xfId="19" applyNumberFormat="1" applyBorder="1" applyAlignment="1">
      <alignment horizontal="center" vertical="center"/>
    </xf>
    <xf numFmtId="179" fontId="36" fillId="0" borderId="1" xfId="19" applyNumberFormat="1" applyFont="1" applyBorder="1">
      <alignment vertical="center"/>
    </xf>
    <xf numFmtId="0" fontId="135" fillId="0" borderId="1" xfId="19" applyFont="1" applyBorder="1">
      <alignment vertical="center"/>
    </xf>
    <xf numFmtId="176" fontId="135" fillId="0" borderId="1" xfId="19" applyNumberFormat="1" applyFont="1" applyBorder="1">
      <alignment vertical="center"/>
    </xf>
    <xf numFmtId="49" fontId="135" fillId="0" borderId="1" xfId="19" applyNumberFormat="1" applyFont="1" applyBorder="1">
      <alignment vertical="center"/>
    </xf>
    <xf numFmtId="179" fontId="135" fillId="0" borderId="1" xfId="19" applyNumberFormat="1" applyFont="1" applyBorder="1">
      <alignment vertical="center"/>
    </xf>
    <xf numFmtId="49" fontId="135" fillId="0" borderId="1" xfId="19" applyNumberFormat="1" applyFont="1" applyBorder="1" applyAlignment="1">
      <alignment horizontal="center" vertical="center"/>
    </xf>
    <xf numFmtId="49" fontId="36" fillId="0" borderId="1" xfId="19" applyNumberFormat="1" applyBorder="1">
      <alignment vertical="center"/>
    </xf>
    <xf numFmtId="0" fontId="36" fillId="0" borderId="1" xfId="19" applyBorder="1" applyAlignment="1">
      <alignment horizontal="center" vertical="center"/>
    </xf>
    <xf numFmtId="0" fontId="135" fillId="0" borderId="1" xfId="19" applyFont="1" applyBorder="1" applyAlignment="1">
      <alignment horizontal="center" vertical="center"/>
    </xf>
    <xf numFmtId="176" fontId="36" fillId="0" borderId="15" xfId="19" applyNumberFormat="1" applyFill="1" applyBorder="1">
      <alignment vertical="center"/>
    </xf>
    <xf numFmtId="0" fontId="36" fillId="0" borderId="0" xfId="19" applyFont="1">
      <alignment vertical="center"/>
    </xf>
    <xf numFmtId="176" fontId="36" fillId="0" borderId="0" xfId="19" applyNumberFormat="1" applyBorder="1">
      <alignment vertical="center"/>
    </xf>
    <xf numFmtId="179" fontId="36" fillId="0" borderId="0" xfId="19" applyNumberFormat="1">
      <alignment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19" fillId="0" borderId="5" xfId="4" applyFont="1" applyFill="1" applyBorder="1" applyAlignment="1" applyProtection="1">
      <alignment vertical="center"/>
      <protection locked="0"/>
    </xf>
    <xf numFmtId="0" fontId="0" fillId="0" borderId="0" xfId="0" applyFont="1" applyFill="1" applyBorder="1" applyAlignment="1">
      <alignment horizontal="left" vertical="center"/>
    </xf>
    <xf numFmtId="196" fontId="0" fillId="0" borderId="0" xfId="0" applyNumberFormat="1" applyFont="1" applyBorder="1" applyAlignment="1">
      <alignment horizontal="left" vertical="center"/>
    </xf>
    <xf numFmtId="0" fontId="0" fillId="0" borderId="0" xfId="0" applyFont="1" applyBorder="1" applyAlignment="1">
      <alignment horizontal="left" vertical="center"/>
    </xf>
    <xf numFmtId="0" fontId="135" fillId="0" borderId="6" xfId="0" applyFont="1" applyFill="1" applyBorder="1" applyAlignment="1">
      <alignment horizontal="left" vertical="center" wrapText="1"/>
    </xf>
    <xf numFmtId="0" fontId="135" fillId="0" borderId="9" xfId="0" applyFont="1" applyBorder="1" applyAlignment="1">
      <alignment horizontal="left" vertical="center" wrapText="1"/>
    </xf>
    <xf numFmtId="197" fontId="135" fillId="0" borderId="9" xfId="0" applyNumberFormat="1" applyFont="1" applyBorder="1" applyAlignment="1">
      <alignment horizontal="left" vertical="center" wrapText="1"/>
    </xf>
    <xf numFmtId="196" fontId="135" fillId="0" borderId="9" xfId="0" applyNumberFormat="1" applyFont="1" applyBorder="1" applyAlignment="1">
      <alignment horizontal="left" vertical="center" wrapText="1"/>
    </xf>
    <xf numFmtId="196" fontId="135" fillId="0" borderId="9" xfId="0" applyNumberFormat="1" applyFont="1" applyFill="1" applyBorder="1" applyAlignment="1">
      <alignment horizontal="left" vertical="center" wrapText="1"/>
    </xf>
    <xf numFmtId="196" fontId="135" fillId="0" borderId="28" xfId="0" applyNumberFormat="1" applyFont="1" applyBorder="1" applyAlignment="1">
      <alignment horizontal="left" vertical="center" wrapText="1"/>
    </xf>
    <xf numFmtId="196" fontId="135" fillId="0" borderId="10" xfId="0" applyNumberFormat="1" applyFont="1" applyBorder="1" applyAlignment="1">
      <alignment horizontal="left" vertical="center" wrapText="1"/>
    </xf>
    <xf numFmtId="0" fontId="135" fillId="0" borderId="0" xfId="0" applyFont="1" applyBorder="1" applyAlignment="1">
      <alignment horizontal="left" vertical="center" wrapText="1"/>
    </xf>
    <xf numFmtId="197" fontId="0" fillId="17" borderId="1" xfId="0" applyNumberFormat="1" applyFont="1" applyFill="1" applyBorder="1" applyAlignment="1">
      <alignment horizontal="left" vertical="center"/>
    </xf>
    <xf numFmtId="0" fontId="0" fillId="17" borderId="0" xfId="0" applyFont="1" applyFill="1" applyBorder="1" applyAlignment="1">
      <alignment horizontal="left" vertical="center"/>
    </xf>
    <xf numFmtId="0" fontId="135" fillId="17" borderId="1" xfId="0" applyFont="1" applyFill="1" applyBorder="1" applyAlignment="1">
      <alignment horizontal="left" vertical="center" wrapText="1"/>
    </xf>
    <xf numFmtId="179" fontId="0" fillId="17" borderId="1" xfId="0" applyNumberFormat="1" applyFont="1" applyFill="1" applyBorder="1" applyAlignment="1">
      <alignment horizontal="left" vertical="center" wrapText="1"/>
    </xf>
    <xf numFmtId="43" fontId="36" fillId="17" borderId="1" xfId="20" applyFont="1" applyFill="1" applyBorder="1" applyAlignment="1">
      <alignment horizontal="left" vertical="center"/>
    </xf>
    <xf numFmtId="176" fontId="36" fillId="17" borderId="1" xfId="20" applyNumberFormat="1" applyFont="1" applyFill="1" applyBorder="1" applyAlignment="1">
      <alignment horizontal="left" vertical="center"/>
    </xf>
    <xf numFmtId="0" fontId="36" fillId="23" borderId="1" xfId="0" applyFont="1" applyFill="1" applyBorder="1" applyAlignment="1">
      <alignment horizontal="left" vertical="center"/>
    </xf>
    <xf numFmtId="197" fontId="0" fillId="23" borderId="1" xfId="0" applyNumberFormat="1" applyFont="1" applyFill="1" applyBorder="1" applyAlignment="1">
      <alignment horizontal="left" vertical="center"/>
    </xf>
    <xf numFmtId="196" fontId="0" fillId="23" borderId="1" xfId="0" applyNumberFormat="1" applyFont="1" applyFill="1" applyBorder="1" applyAlignment="1">
      <alignment horizontal="left" vertical="center"/>
    </xf>
    <xf numFmtId="0" fontId="0" fillId="23" borderId="0" xfId="0" applyFont="1" applyFill="1" applyBorder="1" applyAlignment="1">
      <alignment horizontal="left" vertical="center"/>
    </xf>
    <xf numFmtId="0" fontId="0" fillId="17" borderId="1" xfId="0" applyFont="1" applyFill="1" applyBorder="1" applyAlignment="1">
      <alignment horizontal="left" vertical="center" wrapText="1"/>
    </xf>
    <xf numFmtId="196" fontId="272" fillId="17" borderId="1" xfId="21" applyNumberFormat="1" applyFont="1" applyFill="1" applyBorder="1" applyAlignment="1">
      <alignment horizontal="left" vertical="center"/>
    </xf>
    <xf numFmtId="196" fontId="0" fillId="17" borderId="5" xfId="0" applyNumberFormat="1" applyFont="1" applyFill="1" applyBorder="1" applyAlignment="1">
      <alignment horizontal="left" vertical="center" wrapText="1"/>
    </xf>
    <xf numFmtId="0" fontId="135" fillId="23" borderId="1" xfId="0" applyFont="1" applyFill="1" applyBorder="1" applyAlignment="1">
      <alignment horizontal="left" vertical="center"/>
    </xf>
    <xf numFmtId="196" fontId="0" fillId="23" borderId="5" xfId="0" applyNumberFormat="1" applyFont="1" applyFill="1" applyBorder="1" applyAlignment="1">
      <alignment horizontal="left" vertical="center" wrapText="1"/>
    </xf>
    <xf numFmtId="0" fontId="36" fillId="23" borderId="36" xfId="0" applyFont="1" applyFill="1" applyBorder="1" applyAlignment="1">
      <alignment horizontal="left" vertical="center" wrapText="1"/>
    </xf>
    <xf numFmtId="0" fontId="0" fillId="23" borderId="36" xfId="0" applyFont="1" applyFill="1" applyBorder="1" applyAlignment="1">
      <alignment horizontal="left" vertical="center" wrapText="1"/>
    </xf>
    <xf numFmtId="197" fontId="0" fillId="5" borderId="1" xfId="0" applyNumberFormat="1" applyFont="1" applyFill="1" applyBorder="1" applyAlignment="1">
      <alignment horizontal="left" vertical="center"/>
    </xf>
    <xf numFmtId="0" fontId="0" fillId="5" borderId="0" xfId="0" applyFont="1" applyFill="1" applyBorder="1" applyAlignment="1">
      <alignment horizontal="left" vertical="center"/>
    </xf>
    <xf numFmtId="196" fontId="0" fillId="23" borderId="5" xfId="0" applyNumberFormat="1" applyFont="1" applyFill="1" applyBorder="1" applyAlignment="1">
      <alignment horizontal="left" vertical="center"/>
    </xf>
    <xf numFmtId="196" fontId="0" fillId="23" borderId="24" xfId="0" applyNumberFormat="1" applyFont="1" applyFill="1" applyBorder="1" applyAlignment="1">
      <alignment horizontal="left" vertical="center"/>
    </xf>
    <xf numFmtId="0" fontId="135" fillId="23" borderId="1" xfId="0" applyFont="1" applyFill="1" applyBorder="1" applyAlignment="1" applyProtection="1">
      <alignment horizontal="left" vertical="center" wrapText="1"/>
      <protection locked="0"/>
    </xf>
    <xf numFmtId="196" fontId="0" fillId="23" borderId="1" xfId="0" applyNumberFormat="1" applyFont="1" applyFill="1" applyBorder="1" applyAlignment="1" applyProtection="1">
      <alignment horizontal="left" vertical="center" wrapText="1"/>
      <protection locked="0"/>
    </xf>
    <xf numFmtId="43" fontId="36" fillId="23" borderId="1" xfId="20" applyFont="1" applyFill="1" applyBorder="1" applyAlignment="1" applyProtection="1">
      <alignment horizontal="left" vertical="center"/>
      <protection locked="0"/>
    </xf>
    <xf numFmtId="0" fontId="36" fillId="23" borderId="23" xfId="0" applyFont="1" applyFill="1" applyBorder="1" applyAlignment="1">
      <alignment horizontal="left" vertical="center" wrapText="1"/>
    </xf>
    <xf numFmtId="196" fontId="36" fillId="23" borderId="1" xfId="0" applyNumberFormat="1" applyFont="1" applyFill="1" applyBorder="1" applyAlignment="1" applyProtection="1">
      <alignment horizontal="left" vertical="center" wrapText="1"/>
      <protection locked="0"/>
    </xf>
    <xf numFmtId="196" fontId="36" fillId="23" borderId="5" xfId="0" applyNumberFormat="1" applyFont="1" applyFill="1" applyBorder="1" applyAlignment="1">
      <alignment horizontal="left" vertical="center"/>
    </xf>
    <xf numFmtId="0" fontId="0" fillId="17" borderId="11" xfId="0" applyFont="1" applyFill="1" applyBorder="1" applyAlignment="1">
      <alignment horizontal="left" vertical="center"/>
    </xf>
    <xf numFmtId="0" fontId="0" fillId="17" borderId="13" xfId="0" applyFont="1" applyFill="1" applyBorder="1" applyAlignment="1">
      <alignment horizontal="left" vertical="center"/>
    </xf>
    <xf numFmtId="0" fontId="135" fillId="17" borderId="13" xfId="0" applyFont="1" applyFill="1" applyBorder="1" applyAlignment="1">
      <alignment horizontal="left" vertical="center"/>
    </xf>
    <xf numFmtId="196" fontId="0" fillId="17" borderId="46" xfId="0" applyNumberFormat="1" applyFont="1" applyFill="1" applyBorder="1" applyAlignment="1">
      <alignment horizontal="left" vertical="center"/>
    </xf>
    <xf numFmtId="196" fontId="0" fillId="17" borderId="61" xfId="0" applyNumberFormat="1" applyFont="1" applyFill="1" applyBorder="1" applyAlignment="1">
      <alignment horizontal="left" vertical="center"/>
    </xf>
    <xf numFmtId="0" fontId="135" fillId="17" borderId="1" xfId="0" applyFont="1" applyFill="1" applyBorder="1" applyAlignment="1">
      <alignment horizontal="left" vertical="center"/>
    </xf>
    <xf numFmtId="49" fontId="0" fillId="23" borderId="1" xfId="0" applyNumberFormat="1" applyFont="1" applyFill="1" applyBorder="1" applyAlignment="1">
      <alignment horizontal="left" vertical="center"/>
    </xf>
    <xf numFmtId="196" fontId="36" fillId="23" borderId="13" xfId="0" applyNumberFormat="1" applyFont="1" applyFill="1" applyBorder="1" applyAlignment="1">
      <alignment horizontal="left" vertical="center" wrapText="1"/>
    </xf>
    <xf numFmtId="49" fontId="0" fillId="23" borderId="13" xfId="0" applyNumberFormat="1" applyFont="1" applyFill="1" applyBorder="1" applyAlignment="1">
      <alignment horizontal="left" vertical="center"/>
    </xf>
    <xf numFmtId="0" fontId="135" fillId="23" borderId="22" xfId="0" applyFont="1" applyFill="1" applyBorder="1" applyAlignment="1">
      <alignment horizontal="left" vertical="center" wrapText="1"/>
    </xf>
    <xf numFmtId="196" fontId="273" fillId="23" borderId="1" xfId="0" applyNumberFormat="1" applyFont="1" applyFill="1" applyBorder="1" applyAlignment="1">
      <alignment horizontal="left" vertical="center"/>
    </xf>
    <xf numFmtId="49" fontId="0" fillId="23" borderId="5" xfId="0" applyNumberFormat="1" applyFont="1" applyFill="1" applyBorder="1" applyAlignment="1">
      <alignment horizontal="left" vertical="center"/>
    </xf>
    <xf numFmtId="0" fontId="36" fillId="23" borderId="23" xfId="0" applyFont="1" applyFill="1" applyBorder="1" applyAlignment="1">
      <alignment horizontal="left" vertical="center"/>
    </xf>
    <xf numFmtId="196" fontId="36" fillId="23" borderId="1" xfId="0" applyNumberFormat="1" applyFont="1" applyFill="1" applyBorder="1" applyAlignment="1">
      <alignment horizontal="left" vertical="center" wrapText="1"/>
    </xf>
    <xf numFmtId="196" fontId="272" fillId="14" borderId="1" xfId="21" applyNumberFormat="1" applyFont="1" applyFill="1" applyBorder="1" applyAlignment="1">
      <alignment horizontal="left" vertical="center"/>
    </xf>
    <xf numFmtId="196" fontId="0" fillId="23" borderId="8" xfId="0" applyNumberFormat="1" applyFont="1" applyFill="1" applyBorder="1" applyAlignment="1">
      <alignment horizontal="left" vertical="center"/>
    </xf>
    <xf numFmtId="197" fontId="135" fillId="0" borderId="32" xfId="0" applyNumberFormat="1" applyFont="1" applyBorder="1" applyAlignment="1">
      <alignment horizontal="left" vertical="center"/>
    </xf>
    <xf numFmtId="196" fontId="135" fillId="0" borderId="32" xfId="0" applyNumberFormat="1" applyFont="1" applyBorder="1" applyAlignment="1">
      <alignment horizontal="left" vertical="center"/>
    </xf>
    <xf numFmtId="0" fontId="135" fillId="0" borderId="32" xfId="0" applyFont="1" applyBorder="1" applyAlignment="1">
      <alignment horizontal="left" vertical="center"/>
    </xf>
    <xf numFmtId="196" fontId="135" fillId="0" borderId="33" xfId="0" applyNumberFormat="1" applyFont="1" applyBorder="1" applyAlignment="1">
      <alignment horizontal="left" vertical="center"/>
    </xf>
    <xf numFmtId="196" fontId="135" fillId="0" borderId="49" xfId="0" applyNumberFormat="1" applyFont="1" applyBorder="1" applyAlignment="1">
      <alignment horizontal="left" vertical="center"/>
    </xf>
    <xf numFmtId="0" fontId="135" fillId="23" borderId="0" xfId="0" applyFont="1" applyFill="1" applyBorder="1" applyAlignment="1">
      <alignment horizontal="left" vertical="center"/>
    </xf>
    <xf numFmtId="10" fontId="135" fillId="0" borderId="0" xfId="0" applyNumberFormat="1" applyFont="1" applyBorder="1" applyAlignment="1">
      <alignment horizontal="left" vertical="center"/>
    </xf>
    <xf numFmtId="197" fontId="0" fillId="0" borderId="0" xfId="0" applyNumberFormat="1" applyFont="1" applyBorder="1" applyAlignment="1">
      <alignment horizontal="left" vertical="center"/>
    </xf>
    <xf numFmtId="197" fontId="0" fillId="10" borderId="0" xfId="0" applyNumberFormat="1" applyFont="1" applyFill="1" applyBorder="1" applyAlignment="1">
      <alignment horizontal="left" vertical="center"/>
    </xf>
    <xf numFmtId="179" fontId="0" fillId="0" borderId="0" xfId="0" applyNumberFormat="1" applyFont="1" applyFill="1" applyBorder="1" applyAlignment="1">
      <alignment horizontal="left" vertical="center" wrapText="1"/>
    </xf>
    <xf numFmtId="196" fontId="0" fillId="0" borderId="0" xfId="0" applyNumberFormat="1" applyFont="1" applyBorder="1" applyAlignment="1">
      <alignment horizontal="left" vertical="center" wrapText="1"/>
    </xf>
    <xf numFmtId="196" fontId="0" fillId="17" borderId="0" xfId="0" applyNumberFormat="1" applyFont="1" applyFill="1" applyBorder="1" applyAlignment="1">
      <alignment horizontal="left" vertical="center"/>
    </xf>
    <xf numFmtId="197" fontId="0" fillId="17" borderId="0" xfId="0" applyNumberFormat="1" applyFont="1" applyFill="1" applyBorder="1" applyAlignment="1">
      <alignment horizontal="left" vertical="center"/>
    </xf>
    <xf numFmtId="0" fontId="36" fillId="5" borderId="0" xfId="0" applyFont="1" applyFill="1" applyBorder="1" applyAlignment="1">
      <alignment horizontal="left" vertical="center"/>
    </xf>
    <xf numFmtId="196" fontId="272" fillId="0" borderId="0" xfId="21" applyNumberFormat="1" applyFont="1" applyFill="1" applyBorder="1" applyAlignment="1">
      <alignment horizontal="left" vertical="center"/>
    </xf>
    <xf numFmtId="196" fontId="3" fillId="14" borderId="0" xfId="0" applyNumberFormat="1" applyFont="1" applyFill="1" applyBorder="1" applyAlignment="1">
      <alignment horizontal="left" vertical="center"/>
    </xf>
    <xf numFmtId="196" fontId="135" fillId="0" borderId="0" xfId="0" applyNumberFormat="1" applyFont="1" applyBorder="1" applyAlignment="1">
      <alignment horizontal="left" vertical="center"/>
    </xf>
    <xf numFmtId="10" fontId="0" fillId="0" borderId="0" xfId="0" applyNumberFormat="1" applyFont="1" applyBorder="1" applyAlignment="1">
      <alignment horizontal="left" vertical="center"/>
    </xf>
    <xf numFmtId="197" fontId="135" fillId="0" borderId="0" xfId="0" applyNumberFormat="1" applyFont="1" applyBorder="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0" fontId="135" fillId="0" borderId="0" xfId="4" applyFont="1" applyAlignment="1">
      <alignment horizontal="left" vertical="center"/>
    </xf>
    <xf numFmtId="43" fontId="36" fillId="0" borderId="0" xfId="4" applyNumberFormat="1" applyAlignment="1">
      <alignment horizontal="left" vertical="center"/>
    </xf>
    <xf numFmtId="179" fontId="0" fillId="9" borderId="1" xfId="0" applyNumberFormat="1" applyFont="1" applyFill="1" applyBorder="1" applyAlignment="1">
      <alignment horizontal="left" vertical="center" wrapText="1"/>
    </xf>
    <xf numFmtId="14" fontId="36" fillId="0" borderId="0" xfId="4" applyNumberFormat="1" applyFill="1" applyAlignment="1">
      <alignment horizontal="left" vertical="center"/>
    </xf>
    <xf numFmtId="0" fontId="135" fillId="0" borderId="0" xfId="0" applyFont="1" applyFill="1" applyBorder="1" applyAlignment="1">
      <alignment horizontal="left" vertical="center" wrapText="1"/>
    </xf>
    <xf numFmtId="0" fontId="36" fillId="0" borderId="0" xfId="4"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0" fillId="5" borderId="1" xfId="0" applyFont="1" applyFill="1" applyBorder="1" applyAlignment="1">
      <alignment horizontal="left" vertical="center"/>
    </xf>
    <xf numFmtId="197" fontId="0" fillId="17"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196" fontId="0" fillId="17" borderId="13"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79" fontId="95" fillId="23" borderId="1" xfId="0" applyNumberFormat="1" applyFont="1" applyFill="1" applyBorder="1" applyAlignment="1">
      <alignment horizontal="left" vertical="center" wrapText="1"/>
    </xf>
    <xf numFmtId="14" fontId="158" fillId="0" borderId="0" xfId="4" applyNumberFormat="1" applyFont="1" applyAlignment="1">
      <alignment horizontal="left" vertical="center"/>
    </xf>
    <xf numFmtId="0" fontId="157" fillId="0" borderId="0" xfId="4" applyFont="1" applyAlignment="1">
      <alignment horizontal="left" vertical="center"/>
    </xf>
    <xf numFmtId="0" fontId="158" fillId="0" borderId="0" xfId="4" applyFont="1" applyAlignment="1">
      <alignment horizontal="left" vertical="center"/>
    </xf>
    <xf numFmtId="0" fontId="276" fillId="0" borderId="0" xfId="0" applyFont="1" applyBorder="1" applyAlignment="1">
      <alignment horizontal="left" vertical="center"/>
    </xf>
    <xf numFmtId="0" fontId="277" fillId="7" borderId="1" xfId="4" applyFont="1" applyFill="1" applyBorder="1" applyAlignment="1">
      <alignment horizontal="left" vertical="center"/>
    </xf>
    <xf numFmtId="0" fontId="277" fillId="0" borderId="1" xfId="4" applyFont="1" applyBorder="1" applyAlignment="1">
      <alignment horizontal="left" vertical="center"/>
    </xf>
    <xf numFmtId="197" fontId="277" fillId="0" borderId="1" xfId="4" applyNumberFormat="1" applyFont="1" applyBorder="1" applyAlignment="1">
      <alignment horizontal="left" vertical="center"/>
    </xf>
    <xf numFmtId="9" fontId="277" fillId="0" borderId="1" xfId="4" applyNumberFormat="1" applyFont="1" applyBorder="1" applyAlignment="1">
      <alignment horizontal="left" vertical="center"/>
    </xf>
    <xf numFmtId="0" fontId="135" fillId="0" borderId="6" xfId="0" applyFont="1" applyBorder="1" applyAlignment="1">
      <alignment horizontal="left" vertical="center" wrapText="1"/>
    </xf>
    <xf numFmtId="179" fontId="135" fillId="0" borderId="9" xfId="0" applyNumberFormat="1" applyFont="1" applyBorder="1" applyAlignment="1">
      <alignment horizontal="left" vertical="center" wrapText="1"/>
    </xf>
    <xf numFmtId="43" fontId="135" fillId="0" borderId="9" xfId="20" applyFont="1" applyBorder="1" applyAlignment="1">
      <alignment horizontal="left" vertical="center" wrapText="1"/>
    </xf>
    <xf numFmtId="43" fontId="135" fillId="0" borderId="28" xfId="20" applyFont="1" applyBorder="1" applyAlignment="1">
      <alignment horizontal="left" vertical="center" wrapText="1"/>
    </xf>
    <xf numFmtId="43" fontId="135" fillId="0" borderId="10" xfId="20" applyFont="1" applyBorder="1" applyAlignment="1">
      <alignment horizontal="left" vertical="center" wrapText="1"/>
    </xf>
    <xf numFmtId="0" fontId="0" fillId="23" borderId="23" xfId="0" applyFont="1"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0" fillId="23" borderId="1" xfId="0" applyFont="1" applyFill="1" applyBorder="1" applyAlignment="1">
      <alignment horizontal="left" vertical="center" wrapText="1"/>
    </xf>
    <xf numFmtId="196" fontId="0" fillId="23" borderId="15" xfId="0" applyNumberFormat="1" applyFill="1" applyBorder="1" applyAlignment="1">
      <alignment horizontal="left" vertical="center" wrapText="1"/>
    </xf>
    <xf numFmtId="0" fontId="135" fillId="23" borderId="1"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196" fontId="273" fillId="23" borderId="1" xfId="0" applyNumberFormat="1" applyFont="1" applyFill="1" applyBorder="1" applyAlignment="1">
      <alignment horizontal="left" vertical="center" wrapText="1"/>
    </xf>
    <xf numFmtId="198" fontId="36" fillId="23" borderId="1" xfId="23" applyNumberFormat="1" applyFont="1" applyFill="1" applyBorder="1" applyAlignment="1">
      <alignment horizontal="left" vertical="center" wrapText="1"/>
    </xf>
    <xf numFmtId="0" fontId="36" fillId="24" borderId="23" xfId="0" applyFont="1" applyFill="1" applyBorder="1" applyAlignment="1">
      <alignment horizontal="left" vertical="center" wrapText="1"/>
    </xf>
    <xf numFmtId="179" fontId="0" fillId="0" borderId="13" xfId="0" applyNumberFormat="1" applyFont="1" applyFill="1" applyBorder="1" applyAlignment="1">
      <alignment horizontal="left" vertical="center" wrapText="1"/>
    </xf>
    <xf numFmtId="0" fontId="135" fillId="24" borderId="1" xfId="0" applyFont="1" applyFill="1" applyBorder="1" applyAlignment="1">
      <alignment horizontal="left" vertical="center" wrapText="1"/>
    </xf>
    <xf numFmtId="0" fontId="36" fillId="24" borderId="1" xfId="0" applyFont="1" applyFill="1" applyBorder="1" applyAlignment="1">
      <alignment horizontal="left" vertical="center" wrapText="1"/>
    </xf>
    <xf numFmtId="196" fontId="0" fillId="24" borderId="1" xfId="0" applyNumberFormat="1" applyFont="1" applyFill="1" applyBorder="1" applyAlignment="1">
      <alignment horizontal="left" vertical="center" wrapText="1"/>
    </xf>
    <xf numFmtId="196" fontId="36" fillId="24" borderId="1" xfId="0" applyNumberFormat="1" applyFont="1" applyFill="1" applyBorder="1" applyAlignment="1">
      <alignment horizontal="left" vertical="center" wrapText="1"/>
    </xf>
    <xf numFmtId="196" fontId="273" fillId="24" borderId="1" xfId="0" applyNumberFormat="1" applyFont="1" applyFill="1" applyBorder="1" applyAlignment="1">
      <alignment horizontal="left" vertical="center" wrapText="1"/>
    </xf>
    <xf numFmtId="198" fontId="36" fillId="24" borderId="1" xfId="23" applyNumberFormat="1" applyFont="1" applyFill="1" applyBorder="1" applyAlignment="1">
      <alignment horizontal="left" vertical="center" wrapText="1"/>
    </xf>
    <xf numFmtId="43" fontId="36" fillId="24" borderId="1" xfId="20" applyFont="1" applyFill="1" applyBorder="1" applyAlignment="1">
      <alignment horizontal="left" vertical="center" wrapText="1"/>
    </xf>
    <xf numFmtId="179" fontId="0" fillId="0"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0" fontId="0" fillId="24" borderId="1" xfId="0" applyFont="1" applyFill="1" applyBorder="1" applyAlignment="1">
      <alignment horizontal="left" vertical="center" wrapText="1"/>
    </xf>
    <xf numFmtId="0" fontId="0" fillId="24" borderId="23" xfId="0" applyFont="1" applyFill="1" applyBorder="1" applyAlignment="1">
      <alignment horizontal="left" vertical="center" wrapText="1"/>
    </xf>
    <xf numFmtId="43" fontId="36" fillId="23" borderId="13" xfId="20" applyFont="1" applyFill="1" applyBorder="1" applyAlignment="1">
      <alignment horizontal="left" vertical="center" wrapText="1"/>
    </xf>
    <xf numFmtId="0" fontId="36" fillId="23" borderId="11"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178" fillId="23" borderId="13" xfId="0"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177" fontId="0" fillId="24" borderId="1" xfId="0" applyNumberFormat="1" applyFont="1" applyFill="1" applyBorder="1" applyAlignment="1">
      <alignment horizontal="left" vertical="center" wrapText="1"/>
    </xf>
    <xf numFmtId="43" fontId="36" fillId="24" borderId="2" xfId="20" applyFont="1" applyFill="1" applyBorder="1" applyAlignment="1">
      <alignment horizontal="left" vertical="center" wrapText="1"/>
    </xf>
    <xf numFmtId="43" fontId="135" fillId="24" borderId="24" xfId="20" applyFont="1" applyFill="1" applyBorder="1" applyAlignment="1">
      <alignment horizontal="left" vertical="center" wrapText="1"/>
    </xf>
    <xf numFmtId="0" fontId="0" fillId="23" borderId="1" xfId="0" applyFont="1" applyFill="1" applyBorder="1" applyAlignment="1" applyProtection="1">
      <alignment horizontal="left" vertical="center" wrapText="1"/>
      <protection locked="0"/>
    </xf>
    <xf numFmtId="198" fontId="36" fillId="23" borderId="1" xfId="23" applyNumberFormat="1" applyFont="1" applyFill="1" applyBorder="1" applyAlignment="1" applyProtection="1">
      <alignment horizontal="left" vertical="center" wrapText="1"/>
      <protection locked="0"/>
    </xf>
    <xf numFmtId="43" fontId="36" fillId="23" borderId="36" xfId="20" applyFont="1" applyFill="1" applyBorder="1" applyAlignment="1">
      <alignment horizontal="left" vertical="center" wrapText="1"/>
    </xf>
    <xf numFmtId="43" fontId="36" fillId="23" borderId="24" xfId="20" applyFont="1" applyFill="1" applyBorder="1" applyAlignment="1">
      <alignment horizontal="left" vertical="center" wrapText="1"/>
    </xf>
    <xf numFmtId="43" fontId="135" fillId="23" borderId="24" xfId="20" applyFont="1" applyFill="1" applyBorder="1" applyAlignment="1">
      <alignment horizontal="left" vertical="center" wrapText="1"/>
    </xf>
    <xf numFmtId="43" fontId="36" fillId="24" borderId="24" xfId="20" applyFon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196" fontId="0" fillId="24" borderId="13" xfId="0" applyNumberFormat="1" applyFill="1" applyBorder="1" applyAlignment="1">
      <alignment horizontal="left" vertical="center" wrapText="1"/>
    </xf>
    <xf numFmtId="196" fontId="0" fillId="24" borderId="15"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11"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0" fillId="24" borderId="13" xfId="0" applyFont="1" applyFill="1" applyBorder="1" applyAlignment="1">
      <alignment horizontal="left" vertical="center" wrapText="1"/>
    </xf>
    <xf numFmtId="196" fontId="0" fillId="24" borderId="13"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4"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3" xfId="0" applyFont="1" applyFill="1" applyBorder="1" applyAlignment="1">
      <alignment horizontal="left" vertical="center" wrapText="1"/>
    </xf>
    <xf numFmtId="0" fontId="0" fillId="23" borderId="1" xfId="0" applyFill="1" applyBorder="1" applyAlignment="1">
      <alignment horizontal="left" vertical="center" wrapText="1"/>
    </xf>
    <xf numFmtId="0" fontId="0" fillId="23" borderId="3" xfId="0" applyFill="1" applyBorder="1" applyAlignment="1">
      <alignment horizontal="left" vertical="center" wrapText="1"/>
    </xf>
    <xf numFmtId="179" fontId="135" fillId="17" borderId="1" xfId="0" applyNumberFormat="1" applyFont="1" applyFill="1" applyBorder="1" applyAlignment="1">
      <alignment horizontal="left" vertical="center" wrapText="1"/>
    </xf>
    <xf numFmtId="0" fontId="278" fillId="17" borderId="1" xfId="0" applyFont="1" applyFill="1" applyBorder="1" applyAlignment="1">
      <alignment horizontal="left" vertical="center" wrapText="1"/>
    </xf>
    <xf numFmtId="43" fontId="36" fillId="17" borderId="1" xfId="20" applyFont="1" applyFill="1" applyBorder="1" applyAlignment="1">
      <alignment horizontal="left" vertical="center" wrapText="1"/>
    </xf>
    <xf numFmtId="0" fontId="0" fillId="17" borderId="23" xfId="0" applyFill="1" applyBorder="1" applyAlignment="1">
      <alignment horizontal="left" vertical="center" wrapText="1"/>
    </xf>
    <xf numFmtId="0" fontId="0" fillId="17" borderId="1" xfId="0" applyFill="1" applyBorder="1" applyAlignment="1">
      <alignment horizontal="left" vertical="center" wrapText="1"/>
    </xf>
    <xf numFmtId="179" fontId="0" fillId="17" borderId="1" xfId="0" applyNumberFormat="1" applyFill="1" applyBorder="1" applyAlignment="1">
      <alignment horizontal="left" vertical="center" wrapText="1"/>
    </xf>
    <xf numFmtId="196" fontId="0" fillId="17" borderId="13" xfId="0" applyNumberFormat="1" applyFill="1" applyBorder="1" applyAlignment="1">
      <alignment horizontal="left" vertical="center" wrapText="1"/>
    </xf>
    <xf numFmtId="43" fontId="36" fillId="17" borderId="13" xfId="20" applyFont="1" applyFill="1" applyBorder="1" applyAlignment="1">
      <alignment horizontal="left" vertical="center" wrapText="1"/>
    </xf>
    <xf numFmtId="43" fontId="36" fillId="17" borderId="46" xfId="20" applyFont="1" applyFill="1" applyBorder="1" applyAlignment="1">
      <alignment horizontal="left" vertical="center" wrapText="1"/>
    </xf>
    <xf numFmtId="43" fontId="36" fillId="17" borderId="24" xfId="20" applyFont="1" applyFill="1" applyBorder="1" applyAlignment="1">
      <alignment horizontal="left" vertical="center" wrapText="1"/>
    </xf>
    <xf numFmtId="0" fontId="0" fillId="23" borderId="13"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0" fontId="0" fillId="23" borderId="15" xfId="0"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0" fillId="23" borderId="2" xfId="0" applyFill="1" applyBorder="1" applyAlignment="1">
      <alignment horizontal="left" vertical="center" wrapText="1"/>
    </xf>
    <xf numFmtId="0" fontId="0" fillId="23" borderId="23" xfId="0" applyFill="1" applyBorder="1" applyAlignment="1">
      <alignment horizontal="left" vertical="center" wrapText="1"/>
    </xf>
    <xf numFmtId="177" fontId="0" fillId="23" borderId="1" xfId="0" applyNumberFormat="1" applyFill="1" applyBorder="1" applyAlignment="1">
      <alignment horizontal="left" vertical="center" wrapText="1"/>
    </xf>
    <xf numFmtId="196" fontId="0" fillId="23" borderId="13" xfId="0" applyNumberFormat="1" applyFill="1" applyBorder="1" applyAlignment="1">
      <alignment horizontal="left" vertical="center" wrapText="1"/>
    </xf>
    <xf numFmtId="43" fontId="36" fillId="23" borderId="46" xfId="20" applyFont="1" applyFill="1" applyBorder="1" applyAlignment="1">
      <alignment horizontal="left" vertical="center" wrapText="1"/>
    </xf>
    <xf numFmtId="177" fontId="0" fillId="8" borderId="1" xfId="0" applyNumberFormat="1" applyFill="1" applyBorder="1" applyAlignment="1">
      <alignment horizontal="left" vertical="center" wrapText="1"/>
    </xf>
    <xf numFmtId="179" fontId="135" fillId="0" borderId="32" xfId="0" applyNumberFormat="1" applyFont="1" applyBorder="1" applyAlignment="1">
      <alignment horizontal="left" vertical="center" wrapText="1"/>
    </xf>
    <xf numFmtId="0" fontId="135" fillId="0" borderId="32" xfId="0" applyFont="1" applyBorder="1" applyAlignment="1">
      <alignment horizontal="left" vertical="center" wrapText="1"/>
    </xf>
    <xf numFmtId="196" fontId="135" fillId="0" borderId="32" xfId="0" applyNumberFormat="1" applyFont="1" applyBorder="1" applyAlignment="1">
      <alignment horizontal="left" vertical="center" wrapText="1"/>
    </xf>
    <xf numFmtId="196" fontId="135" fillId="0" borderId="32" xfId="0" applyNumberFormat="1" applyFont="1" applyFill="1" applyBorder="1" applyAlignment="1">
      <alignment horizontal="left" vertical="center" wrapText="1"/>
    </xf>
    <xf numFmtId="43" fontId="135" fillId="0" borderId="32" xfId="20" applyFont="1" applyBorder="1" applyAlignment="1">
      <alignment horizontal="left" vertical="center" wrapText="1"/>
    </xf>
    <xf numFmtId="43" fontId="0" fillId="0" borderId="32" xfId="20" applyFont="1" applyBorder="1" applyAlignment="1">
      <alignment horizontal="left" vertical="center" wrapText="1"/>
    </xf>
    <xf numFmtId="43" fontId="135" fillId="0" borderId="33" xfId="20" applyFont="1" applyBorder="1" applyAlignment="1">
      <alignment horizontal="left" vertical="center" wrapText="1"/>
    </xf>
    <xf numFmtId="43" fontId="135" fillId="0" borderId="49" xfId="20" applyFont="1" applyBorder="1" applyAlignment="1">
      <alignment horizontal="left" vertical="center" wrapText="1"/>
    </xf>
    <xf numFmtId="0" fontId="0" fillId="0" borderId="19" xfId="0" applyBorder="1" applyAlignment="1">
      <alignment horizontal="left" vertical="center" wrapText="1"/>
    </xf>
    <xf numFmtId="0" fontId="0" fillId="0" borderId="16" xfId="0" applyBorder="1" applyAlignment="1">
      <alignment horizontal="left" vertical="center" wrapText="1"/>
    </xf>
    <xf numFmtId="43" fontId="135" fillId="0" borderId="19" xfId="20" applyFont="1" applyBorder="1" applyAlignment="1">
      <alignment horizontal="left" vertical="center" wrapText="1"/>
    </xf>
    <xf numFmtId="43" fontId="0" fillId="0" borderId="19" xfId="20" applyFont="1" applyBorder="1" applyAlignment="1">
      <alignment horizontal="left" vertical="center" wrapText="1"/>
    </xf>
    <xf numFmtId="0" fontId="0" fillId="0" borderId="0" xfId="0" applyFill="1" applyBorder="1" applyAlignment="1">
      <alignment horizontal="left" vertical="center" wrapText="1"/>
    </xf>
    <xf numFmtId="0" fontId="0" fillId="23" borderId="0" xfId="0" applyFill="1" applyBorder="1" applyAlignment="1">
      <alignment horizontal="left" vertical="center" wrapText="1"/>
    </xf>
    <xf numFmtId="0" fontId="273" fillId="23" borderId="0" xfId="0" applyFont="1" applyFill="1" applyBorder="1" applyAlignment="1">
      <alignment horizontal="left"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3" xfId="0" applyFill="1" applyBorder="1" applyAlignment="1">
      <alignment horizontal="left" vertical="center" wrapText="1"/>
    </xf>
    <xf numFmtId="0" fontId="36" fillId="24" borderId="0" xfId="0" applyFont="1" applyFill="1" applyBorder="1" applyAlignment="1">
      <alignment horizontal="left" vertical="center" wrapText="1"/>
    </xf>
    <xf numFmtId="0" fontId="0" fillId="23" borderId="0" xfId="0" applyFont="1" applyFill="1" applyBorder="1" applyAlignment="1">
      <alignment horizontal="left" vertical="center" wrapText="1"/>
    </xf>
    <xf numFmtId="0" fontId="0" fillId="17" borderId="0" xfId="0" applyFont="1" applyFill="1" applyBorder="1" applyAlignment="1">
      <alignment horizontal="left" vertical="center" wrapText="1"/>
    </xf>
    <xf numFmtId="0" fontId="0" fillId="17" borderId="0" xfId="0" applyFill="1" applyBorder="1" applyAlignment="1">
      <alignment horizontal="left" vertical="center" wrapText="1"/>
    </xf>
    <xf numFmtId="0" fontId="135" fillId="23" borderId="0" xfId="0" applyFont="1" applyFill="1" applyBorder="1" applyAlignment="1">
      <alignment horizontal="left" vertical="center" wrapText="1"/>
    </xf>
    <xf numFmtId="0" fontId="135" fillId="0" borderId="18" xfId="0" applyFont="1" applyBorder="1" applyAlignment="1">
      <alignment horizontal="left" vertical="center" wrapText="1"/>
    </xf>
    <xf numFmtId="179" fontId="135" fillId="0" borderId="0"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196" fontId="135" fillId="0" borderId="0" xfId="0" applyNumberFormat="1" applyFont="1" applyBorder="1" applyAlignment="1">
      <alignment horizontal="left" vertical="center" wrapText="1"/>
    </xf>
    <xf numFmtId="196" fontId="135" fillId="0" borderId="0" xfId="0" applyNumberFormat="1" applyFont="1" applyFill="1" applyBorder="1" applyAlignment="1">
      <alignment horizontal="left" vertical="center" wrapText="1"/>
    </xf>
    <xf numFmtId="43" fontId="135" fillId="0" borderId="0" xfId="20" applyFont="1" applyBorder="1" applyAlignment="1">
      <alignment horizontal="left" vertical="center" wrapText="1"/>
    </xf>
    <xf numFmtId="43" fontId="0" fillId="0" borderId="0" xfId="20" applyFont="1" applyBorder="1" applyAlignment="1">
      <alignment horizontal="left" vertical="center" wrapText="1"/>
    </xf>
    <xf numFmtId="10" fontId="135" fillId="0" borderId="0" xfId="0" applyNumberFormat="1" applyFont="1" applyBorder="1" applyAlignment="1">
      <alignment horizontal="left" vertical="center" wrapText="1"/>
    </xf>
    <xf numFmtId="179" fontId="135" fillId="25" borderId="32" xfId="0" applyNumberFormat="1" applyFont="1" applyFill="1" applyBorder="1" applyAlignment="1">
      <alignment horizontal="left" vertical="center" wrapText="1"/>
    </xf>
    <xf numFmtId="179" fontId="135" fillId="26" borderId="0" xfId="0" applyNumberFormat="1" applyFont="1" applyFill="1" applyBorder="1" applyAlignment="1">
      <alignment horizontal="left" vertical="center" wrapText="1"/>
    </xf>
    <xf numFmtId="197" fontId="0" fillId="0" borderId="0" xfId="0" applyNumberFormat="1" applyFont="1" applyBorder="1" applyAlignment="1">
      <alignment horizontal="left" vertical="center" wrapText="1"/>
    </xf>
    <xf numFmtId="179" fontId="135" fillId="10" borderId="0" xfId="0" applyNumberFormat="1"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179" fontId="135" fillId="27" borderId="0" xfId="0" applyNumberFormat="1" applyFont="1" applyFill="1" applyBorder="1" applyAlignment="1">
      <alignment horizontal="left" vertical="center" wrapText="1"/>
    </xf>
    <xf numFmtId="196" fontId="0" fillId="0" borderId="0" xfId="0" applyNumberFormat="1" applyBorder="1" applyAlignment="1">
      <alignment horizontal="left" vertical="center" wrapText="1"/>
    </xf>
    <xf numFmtId="196" fontId="0" fillId="0" borderId="0" xfId="0" applyNumberFormat="1" applyFill="1" applyBorder="1" applyAlignment="1">
      <alignment horizontal="left" vertical="center" wrapText="1"/>
    </xf>
    <xf numFmtId="179" fontId="0" fillId="0" borderId="0" xfId="0" applyNumberFormat="1" applyBorder="1" applyAlignment="1">
      <alignment horizontal="left" vertical="center" wrapText="1"/>
    </xf>
    <xf numFmtId="179" fontId="135" fillId="23" borderId="0" xfId="0" applyNumberFormat="1" applyFont="1" applyFill="1" applyBorder="1" applyAlignment="1">
      <alignment horizontal="left" vertical="center" wrapText="1"/>
    </xf>
    <xf numFmtId="179" fontId="0" fillId="17" borderId="0" xfId="0" applyNumberFormat="1" applyFill="1" applyBorder="1" applyAlignment="1">
      <alignment horizontal="left" vertical="center" wrapText="1"/>
    </xf>
    <xf numFmtId="0" fontId="273" fillId="0" borderId="0" xfId="0" applyFont="1" applyBorder="1" applyAlignment="1">
      <alignment horizontal="left" vertical="center" wrapText="1"/>
    </xf>
    <xf numFmtId="0" fontId="0" fillId="0" borderId="18" xfId="0" applyFill="1" applyBorder="1" applyAlignment="1">
      <alignment horizontal="left" vertical="center" wrapText="1"/>
    </xf>
    <xf numFmtId="0" fontId="0" fillId="0" borderId="18" xfId="0" applyBorder="1" applyAlignment="1">
      <alignment horizontal="left" vertical="center" wrapText="1"/>
    </xf>
    <xf numFmtId="0" fontId="36" fillId="5" borderId="0" xfId="0" applyFont="1" applyFill="1" applyBorder="1" applyAlignment="1">
      <alignment horizontal="left" vertical="center" wrapText="1"/>
    </xf>
    <xf numFmtId="0" fontId="0" fillId="0" borderId="18" xfId="0" applyFont="1" applyBorder="1" applyAlignment="1">
      <alignment horizontal="left"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4" fontId="158" fillId="0" borderId="0" xfId="4" applyNumberFormat="1" applyFont="1" applyFill="1" applyAlignment="1">
      <alignment horizontal="left" vertical="center"/>
    </xf>
    <xf numFmtId="0" fontId="276" fillId="0" borderId="0" xfId="0" applyFont="1" applyFill="1" applyBorder="1" applyAlignment="1">
      <alignment horizontal="left" vertical="center"/>
    </xf>
    <xf numFmtId="196" fontId="276" fillId="0" borderId="0" xfId="0" applyNumberFormat="1" applyFont="1" applyBorder="1" applyAlignment="1">
      <alignment horizontal="left" vertical="center"/>
    </xf>
    <xf numFmtId="196" fontId="0" fillId="23" borderId="2" xfId="0" applyNumberFormat="1" applyFill="1" applyBorder="1" applyAlignment="1">
      <alignment horizontal="left" vertical="center" wrapText="1"/>
    </xf>
    <xf numFmtId="0" fontId="0" fillId="23" borderId="13" xfId="0" applyFill="1" applyBorder="1" applyAlignment="1">
      <alignment horizontal="left" vertical="center" wrapText="1"/>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6"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196" fontId="36" fillId="0" borderId="0" xfId="4" applyNumberFormat="1" applyAlignment="1">
      <alignment horizontal="left" vertical="center"/>
    </xf>
    <xf numFmtId="0" fontId="36" fillId="0" borderId="1" xfId="19" applyBorder="1" applyAlignment="1">
      <alignment horizontal="center" vertical="center"/>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0" fontId="36" fillId="0" borderId="15" xfId="19" applyBorder="1" applyAlignment="1">
      <alignment horizontal="center" vertical="center"/>
    </xf>
    <xf numFmtId="0" fontId="36" fillId="0" borderId="1" xfId="19" applyFont="1" applyBorder="1" applyAlignment="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0" fontId="47" fillId="0" borderId="1" xfId="0" applyNumberFormat="1" applyFont="1" applyBorder="1" applyAlignment="1" applyProtection="1">
      <alignment horizontal="center" vertical="center" wrapText="1"/>
      <protection locked="0"/>
    </xf>
    <xf numFmtId="0" fontId="19" fillId="0" borderId="0" xfId="19" applyFont="1" applyAlignment="1">
      <alignment vertical="center" wrapText="1"/>
    </xf>
    <xf numFmtId="49" fontId="19" fillId="0" borderId="0" xfId="19" applyNumberFormat="1" applyFont="1" applyAlignment="1">
      <alignment vertical="center" wrapText="1"/>
    </xf>
    <xf numFmtId="0" fontId="19" fillId="0" borderId="0" xfId="19" applyFont="1" applyAlignment="1">
      <alignment horizontal="left" vertical="center" wrapText="1"/>
    </xf>
    <xf numFmtId="0" fontId="19" fillId="0" borderId="1" xfId="19"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 xfId="19" applyFont="1" applyFill="1" applyBorder="1" applyAlignment="1">
      <alignment horizontal="left" vertical="center" wrapText="1"/>
    </xf>
    <xf numFmtId="179" fontId="19" fillId="0" borderId="0" xfId="19" applyNumberFormat="1" applyFont="1" applyAlignment="1">
      <alignment vertical="center" wrapText="1"/>
    </xf>
    <xf numFmtId="176" fontId="19" fillId="0" borderId="0" xfId="19" applyNumberFormat="1" applyFont="1" applyAlignment="1">
      <alignment vertical="center" wrapText="1"/>
    </xf>
    <xf numFmtId="0" fontId="80" fillId="0" borderId="0" xfId="19" applyFont="1" applyAlignment="1">
      <alignment vertical="center" wrapText="1"/>
    </xf>
    <xf numFmtId="199" fontId="46" fillId="6" borderId="13" xfId="0" applyNumberFormat="1" applyFont="1" applyFill="1" applyBorder="1" applyAlignment="1" applyProtection="1">
      <alignment vertical="center"/>
    </xf>
    <xf numFmtId="187" fontId="47" fillId="6" borderId="23" xfId="0" applyNumberFormat="1" applyFont="1" applyFill="1" applyBorder="1" applyAlignment="1" applyProtection="1">
      <alignment horizontal="center" vertical="center" wrapText="1"/>
    </xf>
    <xf numFmtId="0" fontId="3" fillId="0" borderId="0" xfId="4" applyFont="1" applyAlignment="1" applyProtection="1">
      <alignment horizontal="left" vertical="center"/>
      <protection locked="0"/>
    </xf>
    <xf numFmtId="10" fontId="19" fillId="0" borderId="0" xfId="17" applyNumberFormat="1" applyFont="1" applyAlignment="1">
      <alignment vertical="center" wrapText="1"/>
    </xf>
    <xf numFmtId="0" fontId="19" fillId="0" borderId="0" xfId="4" applyFont="1" applyAlignment="1" applyProtection="1">
      <alignment horizontal="left" vertical="center"/>
      <protection locked="0"/>
    </xf>
    <xf numFmtId="10" fontId="53" fillId="0" borderId="0" xfId="4" applyNumberFormat="1" applyFont="1" applyAlignment="1" applyProtection="1">
      <alignment horizontal="left" vertical="center"/>
      <protection locked="0"/>
    </xf>
    <xf numFmtId="0" fontId="107" fillId="0" borderId="0" xfId="0" applyFont="1" applyAlignment="1">
      <alignment horizontal="left" vertical="center"/>
    </xf>
    <xf numFmtId="10" fontId="53" fillId="5" borderId="0" xfId="4" applyNumberFormat="1" applyFont="1" applyFill="1" applyAlignment="1" applyProtection="1">
      <alignment horizontal="left" vertical="center"/>
      <protection locked="0"/>
    </xf>
    <xf numFmtId="0" fontId="19" fillId="5" borderId="0" xfId="4" applyFont="1" applyFill="1" applyAlignment="1" applyProtection="1">
      <alignment horizontal="left" vertical="center"/>
      <protection locked="0"/>
    </xf>
    <xf numFmtId="0" fontId="53" fillId="5" borderId="0" xfId="4" applyFont="1" applyFill="1" applyAlignment="1" applyProtection="1">
      <alignment horizontal="left" vertical="center"/>
      <protection locked="0"/>
    </xf>
    <xf numFmtId="0" fontId="59" fillId="18" borderId="1" xfId="1" applyNumberFormat="1" applyFont="1" applyFill="1" applyBorder="1" applyAlignment="1" applyProtection="1"/>
    <xf numFmtId="0" fontId="98" fillId="18" borderId="1" xfId="0" applyFont="1" applyFill="1" applyBorder="1" applyAlignment="1">
      <alignment horizontal="right" vertical="center"/>
    </xf>
    <xf numFmtId="0" fontId="77" fillId="7" borderId="0" xfId="0" applyFont="1" applyFill="1" applyProtection="1">
      <alignment vertical="center"/>
      <protection locked="0"/>
    </xf>
    <xf numFmtId="0" fontId="242" fillId="5" borderId="0" xfId="4" applyFont="1" applyFill="1" applyAlignment="1" applyProtection="1">
      <alignment horizontal="left" vertical="center"/>
      <protection locked="0"/>
    </xf>
    <xf numFmtId="0" fontId="53" fillId="5" borderId="0" xfId="4" applyFont="1" applyFill="1" applyAlignment="1" applyProtection="1">
      <alignment horizontal="left"/>
      <protection locked="0"/>
    </xf>
    <xf numFmtId="10" fontId="53" fillId="0" borderId="0" xfId="4" applyNumberFormat="1" applyFont="1" applyAlignment="1" applyProtection="1">
      <alignment horizontal="left"/>
      <protection locked="0"/>
    </xf>
    <xf numFmtId="10" fontId="53" fillId="5" borderId="0" xfId="4" applyNumberFormat="1" applyFont="1" applyFill="1" applyAlignment="1" applyProtection="1">
      <alignment horizontal="left"/>
      <protection locked="0"/>
    </xf>
    <xf numFmtId="0" fontId="53" fillId="0" borderId="0" xfId="4" applyFont="1" applyAlignment="1" applyProtection="1">
      <alignment horizontal="left" wrapText="1"/>
      <protection locked="0"/>
    </xf>
    <xf numFmtId="9" fontId="53" fillId="5" borderId="0" xfId="4" applyNumberFormat="1" applyFont="1" applyFill="1" applyAlignment="1" applyProtection="1">
      <alignment horizontal="left" vertical="center"/>
      <protection locked="0"/>
    </xf>
    <xf numFmtId="0" fontId="3" fillId="5" borderId="0" xfId="4" applyFont="1" applyFill="1" applyAlignment="1" applyProtection="1">
      <alignment horizontal="left" vertical="center"/>
      <protection locked="0"/>
    </xf>
    <xf numFmtId="9" fontId="107" fillId="0" borderId="0" xfId="0" applyNumberFormat="1" applyFont="1" applyAlignment="1">
      <alignment horizontal="left" vertical="center"/>
    </xf>
    <xf numFmtId="185" fontId="53" fillId="18" borderId="5" xfId="4" applyNumberFormat="1" applyFont="1" applyFill="1" applyBorder="1" applyAlignment="1">
      <alignment horizontal="left" vertical="center"/>
    </xf>
    <xf numFmtId="185" fontId="53" fillId="18" borderId="158" xfId="4" applyNumberFormat="1" applyFont="1" applyFill="1" applyBorder="1" applyAlignment="1">
      <alignment horizontal="left" vertical="center"/>
    </xf>
    <xf numFmtId="181" fontId="53" fillId="18" borderId="5" xfId="4" applyNumberFormat="1" applyFont="1" applyFill="1" applyBorder="1" applyAlignment="1">
      <alignment horizontal="right" vertical="center"/>
    </xf>
    <xf numFmtId="196" fontId="0" fillId="23" borderId="0" xfId="0" applyNumberFormat="1" applyFont="1" applyFill="1" applyBorder="1" applyAlignment="1">
      <alignment horizontal="left" vertical="center"/>
    </xf>
    <xf numFmtId="196" fontId="0" fillId="5" borderId="0" xfId="0" applyNumberFormat="1" applyFont="1" applyFill="1" applyBorder="1" applyAlignment="1">
      <alignment horizontal="left" vertical="center"/>
    </xf>
    <xf numFmtId="43" fontId="36" fillId="23" borderId="0" xfId="20" applyFont="1" applyFill="1" applyBorder="1" applyAlignment="1" applyProtection="1">
      <alignment horizontal="left" vertical="center" wrapText="1"/>
      <protection locked="0"/>
    </xf>
    <xf numFmtId="0" fontId="107" fillId="0" borderId="1" xfId="0" applyFont="1" applyBorder="1" applyAlignment="1">
      <alignment horizontal="left" vertical="center"/>
    </xf>
    <xf numFmtId="57" fontId="107" fillId="0" borderId="1" xfId="0" applyNumberFormat="1" applyFont="1" applyBorder="1" applyAlignment="1">
      <alignment horizontal="left" vertical="center" wrapText="1"/>
    </xf>
    <xf numFmtId="0" fontId="107" fillId="0" borderId="1" xfId="0" applyFont="1" applyBorder="1" applyAlignment="1">
      <alignment horizontal="left" vertical="center" wrapText="1"/>
    </xf>
    <xf numFmtId="0" fontId="107" fillId="0" borderId="0" xfId="0" applyNumberFormat="1" applyFont="1" applyBorder="1" applyAlignment="1"/>
    <xf numFmtId="0" fontId="286" fillId="0" borderId="0" xfId="0" applyFont="1" applyAlignment="1">
      <alignment horizontal="left" vertical="center"/>
    </xf>
    <xf numFmtId="10" fontId="286" fillId="0" borderId="0" xfId="0" applyNumberFormat="1" applyFont="1" applyAlignment="1">
      <alignment horizontal="left" vertical="center"/>
    </xf>
    <xf numFmtId="0" fontId="288" fillId="0" borderId="82" xfId="0" applyFont="1" applyBorder="1" applyAlignment="1">
      <alignment horizontal="center" vertical="center" wrapText="1"/>
    </xf>
    <xf numFmtId="0" fontId="287" fillId="0" borderId="65" xfId="0" applyFont="1" applyBorder="1" applyAlignment="1">
      <alignment horizontal="center" vertical="center" wrapText="1"/>
    </xf>
    <xf numFmtId="0" fontId="288" fillId="0" borderId="81" xfId="0" applyFont="1" applyBorder="1" applyAlignment="1">
      <alignment horizontal="center" vertical="center" wrapText="1"/>
    </xf>
    <xf numFmtId="0" fontId="287" fillId="0" borderId="43" xfId="0" applyFont="1" applyBorder="1" applyAlignment="1">
      <alignment horizontal="justify" vertical="center" wrapText="1"/>
    </xf>
    <xf numFmtId="0" fontId="287" fillId="0" borderId="43" xfId="0" applyFont="1" applyBorder="1" applyAlignment="1">
      <alignment horizontal="center" vertical="center" wrapText="1"/>
    </xf>
    <xf numFmtId="49" fontId="19" fillId="0" borderId="1" xfId="19" applyNumberFormat="1" applyFont="1" applyBorder="1" applyAlignment="1">
      <alignment horizontal="left" vertical="center" wrapText="1"/>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9" fillId="0" borderId="13" xfId="19" applyFont="1" applyBorder="1" applyAlignment="1">
      <alignment horizontal="center" vertical="center" wrapText="1"/>
    </xf>
    <xf numFmtId="0" fontId="19" fillId="0" borderId="2" xfId="19" applyFont="1" applyBorder="1" applyAlignment="1">
      <alignment horizontal="center" vertical="center" wrapText="1"/>
    </xf>
    <xf numFmtId="49" fontId="19" fillId="0" borderId="13" xfId="19" applyNumberFormat="1" applyFont="1" applyBorder="1" applyAlignment="1">
      <alignment horizontal="center" vertical="center" wrapText="1"/>
    </xf>
    <xf numFmtId="49" fontId="19" fillId="0" borderId="2" xfId="19" applyNumberFormat="1" applyFont="1" applyBorder="1" applyAlignment="1">
      <alignment horizontal="center" vertical="center" wrapText="1"/>
    </xf>
    <xf numFmtId="0" fontId="19" fillId="0" borderId="13" xfId="19" applyFont="1" applyBorder="1" applyAlignment="1">
      <alignment horizontal="left" vertical="center" wrapText="1"/>
    </xf>
    <xf numFmtId="0" fontId="19" fillId="0" borderId="2" xfId="19" applyFont="1" applyBorder="1" applyAlignment="1">
      <alignment horizontal="left" vertical="center" wrapText="1"/>
    </xf>
    <xf numFmtId="0" fontId="19" fillId="0" borderId="5" xfId="19" applyFont="1" applyBorder="1" applyAlignment="1">
      <alignment horizontal="center" vertical="center" wrapText="1"/>
    </xf>
    <xf numFmtId="0" fontId="19" fillId="0" borderId="54" xfId="19" applyFont="1" applyBorder="1" applyAlignment="1">
      <alignment horizontal="center" vertical="center" wrapText="1"/>
    </xf>
    <xf numFmtId="0" fontId="19" fillId="0" borderId="3" xfId="19" applyFont="1" applyBorder="1" applyAlignment="1">
      <alignment horizontal="center" vertical="center" wrapText="1"/>
    </xf>
    <xf numFmtId="0" fontId="19" fillId="0" borderId="15" xfId="19" applyFont="1" applyBorder="1" applyAlignment="1">
      <alignment horizontal="left" vertical="center" wrapText="1"/>
    </xf>
    <xf numFmtId="0" fontId="36" fillId="0" borderId="1" xfId="19" applyBorder="1" applyAlignment="1">
      <alignment vertical="center" wrapText="1"/>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36" fillId="0" borderId="1" xfId="19" applyBorder="1" applyAlignment="1">
      <alignment horizontal="center" vertical="center"/>
    </xf>
    <xf numFmtId="49" fontId="19" fillId="0" borderId="13" xfId="19" applyNumberFormat="1" applyFont="1" applyBorder="1" applyAlignment="1">
      <alignment horizontal="left" vertical="center" wrapText="1"/>
    </xf>
    <xf numFmtId="49" fontId="19" fillId="0" borderId="2" xfId="19" applyNumberFormat="1" applyFont="1" applyBorder="1" applyAlignment="1">
      <alignment horizontal="left" vertical="center" wrapText="1"/>
    </xf>
    <xf numFmtId="49" fontId="19" fillId="0" borderId="1" xfId="19" applyNumberFormat="1" applyFont="1" applyBorder="1" applyAlignment="1">
      <alignment horizontal="left" vertical="center" wrapText="1"/>
    </xf>
    <xf numFmtId="0" fontId="36" fillId="0" borderId="13" xfId="19" applyBorder="1" applyAlignment="1">
      <alignment horizontal="left" vertical="center"/>
    </xf>
    <xf numFmtId="0" fontId="36" fillId="0" borderId="2" xfId="19" applyBorder="1" applyAlignment="1">
      <alignment horizontal="left" vertical="center"/>
    </xf>
    <xf numFmtId="176" fontId="36" fillId="0" borderId="13" xfId="19" applyNumberFormat="1" applyBorder="1" applyAlignment="1">
      <alignment vertical="center"/>
    </xf>
    <xf numFmtId="176" fontId="36" fillId="0" borderId="2" xfId="19" applyNumberFormat="1" applyBorder="1" applyAlignment="1">
      <alignment vertical="center"/>
    </xf>
    <xf numFmtId="49" fontId="36" fillId="0" borderId="13" xfId="19" applyNumberFormat="1" applyBorder="1" applyAlignment="1">
      <alignment vertical="center"/>
    </xf>
    <xf numFmtId="49" fontId="36" fillId="0" borderId="2" xfId="19" applyNumberFormat="1" applyBorder="1" applyAlignment="1">
      <alignment vertical="center"/>
    </xf>
    <xf numFmtId="0" fontId="36" fillId="0" borderId="13" xfId="19" applyBorder="1" applyAlignment="1">
      <alignment horizontal="center" vertical="center"/>
    </xf>
    <xf numFmtId="0" fontId="36" fillId="0" borderId="2" xfId="19" applyBorder="1" applyAlignment="1">
      <alignment horizontal="center" vertical="center"/>
    </xf>
    <xf numFmtId="0" fontId="36" fillId="0" borderId="15" xfId="19" applyBorder="1" applyAlignment="1">
      <alignment horizontal="left" vertical="center"/>
    </xf>
    <xf numFmtId="176" fontId="36" fillId="0" borderId="15" xfId="19" applyNumberFormat="1" applyBorder="1" applyAlignment="1">
      <alignment vertical="center"/>
    </xf>
    <xf numFmtId="49" fontId="36" fillId="0" borderId="15" xfId="19" applyNumberFormat="1" applyBorder="1" applyAlignment="1">
      <alignment vertical="center"/>
    </xf>
    <xf numFmtId="0" fontId="36" fillId="0" borderId="15" xfId="19" applyBorder="1" applyAlignment="1">
      <alignment vertical="center"/>
    </xf>
    <xf numFmtId="0" fontId="36" fillId="0" borderId="15" xfId="19" applyBorder="1" applyAlignment="1">
      <alignment horizontal="center" vertical="center"/>
    </xf>
    <xf numFmtId="49" fontId="36" fillId="0" borderId="13" xfId="19" applyNumberFormat="1" applyBorder="1" applyAlignment="1">
      <alignment horizontal="center" vertical="center"/>
    </xf>
    <xf numFmtId="49" fontId="36" fillId="0" borderId="2" xfId="19" applyNumberFormat="1" applyBorder="1" applyAlignment="1">
      <alignment horizontal="center" vertical="center"/>
    </xf>
    <xf numFmtId="179" fontId="36" fillId="0" borderId="1" xfId="19" applyNumberFormat="1" applyFont="1" applyBorder="1" applyAlignment="1">
      <alignment vertical="center"/>
    </xf>
    <xf numFmtId="0" fontId="269" fillId="0" borderId="60" xfId="19" applyFont="1" applyBorder="1" applyAlignment="1">
      <alignment horizontal="center" vertical="center"/>
    </xf>
    <xf numFmtId="0" fontId="36" fillId="0" borderId="60" xfId="19" applyBorder="1" applyAlignment="1">
      <alignment horizontal="center" vertical="center"/>
    </xf>
    <xf numFmtId="0" fontId="36" fillId="0" borderId="0" xfId="19" applyBorder="1" applyAlignment="1">
      <alignment horizontal="center" vertical="center"/>
    </xf>
    <xf numFmtId="0" fontId="36" fillId="0" borderId="5" xfId="19" applyBorder="1" applyAlignment="1">
      <alignment horizontal="center" vertical="center"/>
    </xf>
    <xf numFmtId="0" fontId="36" fillId="0" borderId="54" xfId="19"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0" fillId="23" borderId="13" xfId="0" applyNumberFormat="1" applyFill="1" applyBorder="1" applyAlignment="1">
      <alignment horizontal="left" vertical="center" wrapText="1"/>
    </xf>
    <xf numFmtId="196" fontId="0" fillId="23" borderId="15" xfId="0" applyNumberFormat="1" applyFill="1" applyBorder="1" applyAlignment="1">
      <alignment horizontal="left" vertical="center" wrapText="1"/>
    </xf>
    <xf numFmtId="43" fontId="36" fillId="23" borderId="13" xfId="20" applyFont="1" applyFill="1" applyBorder="1" applyAlignment="1">
      <alignment horizontal="left" vertical="center" wrapText="1"/>
    </xf>
    <xf numFmtId="43" fontId="36" fillId="23" borderId="15" xfId="20" applyFont="1" applyFill="1" applyBorder="1" applyAlignment="1">
      <alignment horizontal="left" vertical="center" wrapText="1"/>
    </xf>
    <xf numFmtId="43" fontId="36" fillId="23" borderId="61" xfId="20" applyFont="1" applyFill="1" applyBorder="1" applyAlignment="1">
      <alignment horizontal="left" vertical="center" wrapText="1"/>
    </xf>
    <xf numFmtId="43" fontId="36" fillId="23" borderId="53" xfId="20" applyFont="1" applyFill="1" applyBorder="1" applyAlignment="1">
      <alignment horizontal="left" vertical="center" wrapText="1"/>
    </xf>
    <xf numFmtId="43" fontId="36" fillId="23" borderId="13" xfId="20" applyFont="1" applyFill="1" applyBorder="1" applyAlignment="1">
      <alignment horizontal="left" vertical="top" wrapText="1"/>
    </xf>
    <xf numFmtId="43" fontId="36" fillId="23" borderId="15" xfId="20" applyFont="1" applyFill="1" applyBorder="1" applyAlignment="1">
      <alignment horizontal="left" vertical="top" wrapText="1"/>
    </xf>
    <xf numFmtId="0" fontId="282" fillId="0" borderId="19" xfId="0" applyFont="1" applyBorder="1" applyAlignment="1">
      <alignment horizontal="left" vertical="center" wrapText="1"/>
    </xf>
    <xf numFmtId="0" fontId="0" fillId="0" borderId="56" xfId="0" applyFill="1" applyBorder="1" applyAlignment="1">
      <alignment horizontal="left" vertical="center" wrapText="1"/>
    </xf>
    <xf numFmtId="0" fontId="0" fillId="23" borderId="23" xfId="0" applyFont="1" applyFill="1" applyBorder="1" applyAlignment="1">
      <alignment horizontal="left" vertical="center" wrapText="1"/>
    </xf>
    <xf numFmtId="0" fontId="0" fillId="23" borderId="23" xfId="0"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135" fillId="23" borderId="2" xfId="0" applyFont="1" applyFill="1" applyBorder="1" applyAlignment="1">
      <alignment horizontal="left" vertical="center" wrapText="1"/>
    </xf>
    <xf numFmtId="0" fontId="0" fillId="23" borderId="1" xfId="0" applyFont="1" applyFill="1" applyBorder="1" applyAlignment="1">
      <alignment horizontal="left" vertical="center" wrapText="1"/>
    </xf>
    <xf numFmtId="0" fontId="36" fillId="23" borderId="11" xfId="0" applyFont="1" applyFill="1" applyBorder="1" applyAlignment="1">
      <alignment horizontal="left" vertical="center" wrapText="1"/>
    </xf>
    <xf numFmtId="0" fontId="0" fillId="23" borderId="14" xfId="0" applyFont="1" applyFill="1" applyBorder="1" applyAlignment="1">
      <alignment horizontal="left" vertical="center" wrapText="1"/>
    </xf>
    <xf numFmtId="0" fontId="0" fillId="23" borderId="41" xfId="0" applyFont="1" applyFill="1" applyBorder="1" applyAlignment="1">
      <alignment horizontal="left" vertical="center" wrapText="1"/>
    </xf>
    <xf numFmtId="0" fontId="135" fillId="23" borderId="1" xfId="0" applyFont="1" applyFill="1" applyBorder="1" applyAlignment="1">
      <alignment horizontal="left" vertical="center" wrapText="1"/>
    </xf>
    <xf numFmtId="0" fontId="36" fillId="23" borderId="1" xfId="0" applyFont="1" applyFill="1" applyBorder="1" applyAlignment="1" applyProtection="1">
      <alignment horizontal="left" vertical="center" wrapText="1"/>
      <protection locked="0"/>
    </xf>
    <xf numFmtId="0" fontId="0" fillId="23" borderId="1" xfId="0" applyFont="1" applyFill="1" applyBorder="1" applyAlignment="1" applyProtection="1">
      <alignment horizontal="left" vertical="center" wrapText="1"/>
      <protection locked="0"/>
    </xf>
    <xf numFmtId="198" fontId="19" fillId="23" borderId="13" xfId="23" applyNumberFormat="1" applyFont="1" applyFill="1" applyBorder="1" applyAlignment="1" applyProtection="1">
      <alignment horizontal="left" vertical="center" wrapText="1"/>
      <protection locked="0"/>
    </xf>
    <xf numFmtId="198" fontId="19" fillId="23" borderId="15" xfId="23" applyNumberFormat="1" applyFont="1" applyFill="1" applyBorder="1" applyAlignment="1" applyProtection="1">
      <alignment horizontal="left" vertical="center" wrapText="1"/>
      <protection locked="0"/>
    </xf>
    <xf numFmtId="198" fontId="19" fillId="23" borderId="2" xfId="23" applyNumberFormat="1" applyFont="1" applyFill="1" applyBorder="1" applyAlignment="1" applyProtection="1">
      <alignment horizontal="left" vertical="center" wrapText="1"/>
      <protection locked="0"/>
    </xf>
    <xf numFmtId="196" fontId="0" fillId="23" borderId="1" xfId="0" applyNumberFormat="1" applyFont="1" applyFill="1" applyBorder="1" applyAlignment="1">
      <alignment horizontal="left" vertical="center" wrapText="1"/>
    </xf>
    <xf numFmtId="196" fontId="0" fillId="23" borderId="1" xfId="0" applyNumberFormat="1" applyFill="1" applyBorder="1" applyAlignment="1">
      <alignment horizontal="left" vertical="center" wrapText="1"/>
    </xf>
    <xf numFmtId="43" fontId="36" fillId="23" borderId="1" xfId="20" applyFont="1" applyFill="1" applyBorder="1" applyAlignment="1">
      <alignment horizontal="left" vertical="center" wrapText="1"/>
    </xf>
    <xf numFmtId="43" fontId="36" fillId="23" borderId="2" xfId="20" applyFont="1" applyFill="1" applyBorder="1" applyAlignment="1">
      <alignment horizontal="left" vertical="center" wrapText="1"/>
    </xf>
    <xf numFmtId="43" fontId="36" fillId="23" borderId="24" xfId="20" applyFont="1" applyFill="1" applyBorder="1" applyAlignment="1">
      <alignment horizontal="left" vertical="center" wrapText="1"/>
    </xf>
    <xf numFmtId="0" fontId="0" fillId="23" borderId="56" xfId="0" applyFill="1" applyBorder="1" applyAlignment="1">
      <alignment horizontal="left" vertical="center" wrapText="1"/>
    </xf>
    <xf numFmtId="0" fontId="0" fillId="24" borderId="11" xfId="0" applyFont="1" applyFill="1" applyBorder="1" applyAlignment="1">
      <alignment horizontal="left" vertical="center" wrapText="1"/>
    </xf>
    <xf numFmtId="0" fontId="0" fillId="24" borderId="14" xfId="0" applyFont="1"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179" fontId="0" fillId="24" borderId="15" xfId="0" applyNumberFormat="1"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135" fillId="24" borderId="15" xfId="0"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13" xfId="0" applyFont="1" applyFill="1" applyBorder="1" applyAlignment="1">
      <alignment horizontal="left" vertical="center" wrapText="1"/>
    </xf>
    <xf numFmtId="0" fontId="0" fillId="24" borderId="15"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196" fontId="0" fillId="23" borderId="2" xfId="0" applyNumberFormat="1"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273" fillId="23"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79" fontId="0" fillId="24" borderId="1" xfId="0" applyNumberFormat="1" applyFill="1" applyBorder="1" applyAlignment="1">
      <alignment horizontal="left" vertical="center" wrapText="1"/>
    </xf>
    <xf numFmtId="0" fontId="36" fillId="24" borderId="13" xfId="0" applyFont="1" applyFill="1" applyBorder="1" applyAlignment="1">
      <alignment horizontal="left" vertical="center" wrapText="1"/>
    </xf>
    <xf numFmtId="0" fontId="36" fillId="24" borderId="2" xfId="0" applyFont="1" applyFill="1" applyBorder="1" applyAlignment="1">
      <alignment horizontal="left" vertical="center" wrapText="1"/>
    </xf>
    <xf numFmtId="43" fontId="36" fillId="23" borderId="8" xfId="20" applyFont="1" applyFill="1" applyBorder="1" applyAlignment="1">
      <alignment horizontal="left" vertical="center" wrapText="1"/>
    </xf>
    <xf numFmtId="198" fontId="36" fillId="23" borderId="13" xfId="23" applyNumberFormat="1" applyFont="1" applyFill="1" applyBorder="1" applyAlignment="1">
      <alignment horizontal="left" vertical="center" wrapText="1"/>
    </xf>
    <xf numFmtId="198" fontId="36" fillId="23" borderId="2" xfId="23"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43" fontId="36" fillId="24" borderId="2" xfId="20" applyFont="1" applyFill="1" applyBorder="1" applyAlignment="1">
      <alignment horizontal="left" vertical="center" wrapText="1"/>
    </xf>
    <xf numFmtId="177" fontId="0" fillId="23" borderId="1"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0" fillId="23" borderId="2" xfId="0"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23" xfId="0" applyFill="1" applyBorder="1" applyAlignment="1">
      <alignment horizontal="left" vertical="center" wrapText="1"/>
    </xf>
    <xf numFmtId="0" fontId="0" fillId="23" borderId="56" xfId="0" applyFont="1" applyFill="1" applyBorder="1" applyAlignment="1">
      <alignment horizontal="left" vertical="center" wrapText="1"/>
    </xf>
    <xf numFmtId="0" fontId="36" fillId="23" borderId="14" xfId="0"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1" xfId="0" applyFill="1" applyBorder="1" applyAlignment="1">
      <alignment horizontal="left" vertical="center" wrapText="1"/>
    </xf>
    <xf numFmtId="179" fontId="0" fillId="23" borderId="13" xfId="0" applyNumberFormat="1" applyFill="1" applyBorder="1" applyAlignment="1">
      <alignment horizontal="left" vertical="center" wrapText="1"/>
    </xf>
    <xf numFmtId="179" fontId="0" fillId="23" borderId="15" xfId="0" applyNumberFormat="1" applyFill="1" applyBorder="1" applyAlignment="1">
      <alignment horizontal="left" vertical="center" wrapText="1"/>
    </xf>
    <xf numFmtId="179" fontId="0" fillId="23" borderId="2" xfId="0" applyNumberFormat="1" applyFill="1" applyBorder="1" applyAlignment="1">
      <alignment horizontal="left" vertical="center" wrapText="1"/>
    </xf>
    <xf numFmtId="0" fontId="135" fillId="23" borderId="15" xfId="0" applyFont="1" applyFill="1" applyBorder="1" applyAlignment="1">
      <alignment horizontal="left" vertical="center" wrapText="1"/>
    </xf>
    <xf numFmtId="0" fontId="0" fillId="23" borderId="15" xfId="0" applyFont="1" applyFill="1" applyBorder="1" applyAlignment="1">
      <alignment horizontal="left" vertical="center" wrapText="1"/>
    </xf>
    <xf numFmtId="0" fontId="0" fillId="23" borderId="2"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17" borderId="23" xfId="0" applyFont="1" applyFill="1" applyBorder="1" applyAlignment="1">
      <alignment horizontal="left" vertical="center" wrapText="1"/>
    </xf>
    <xf numFmtId="0" fontId="0" fillId="23" borderId="11" xfId="0" applyFill="1" applyBorder="1" applyAlignment="1">
      <alignment horizontal="left" vertical="center" wrapText="1"/>
    </xf>
    <xf numFmtId="0" fontId="0" fillId="23" borderId="41" xfId="0" applyFill="1" applyBorder="1" applyAlignment="1">
      <alignment horizontal="left" vertical="center" wrapText="1"/>
    </xf>
    <xf numFmtId="177" fontId="0" fillId="23" borderId="13" xfId="0" applyNumberFormat="1" applyFont="1" applyFill="1" applyBorder="1" applyAlignment="1">
      <alignment horizontal="left" vertical="center" wrapText="1"/>
    </xf>
    <xf numFmtId="177" fontId="0" fillId="23" borderId="2" xfId="0" applyNumberFormat="1" applyFont="1" applyFill="1" applyBorder="1" applyAlignment="1">
      <alignment horizontal="left" vertical="center" wrapText="1"/>
    </xf>
    <xf numFmtId="43" fontId="273" fillId="23" borderId="15" xfId="20" applyFont="1" applyFill="1" applyBorder="1" applyAlignment="1">
      <alignment horizontal="left" vertical="center" wrapText="1"/>
    </xf>
    <xf numFmtId="43" fontId="273" fillId="23" borderId="2" xfId="20" applyFont="1" applyFill="1" applyBorder="1" applyAlignment="1">
      <alignment horizontal="left" vertical="center" wrapText="1"/>
    </xf>
    <xf numFmtId="0" fontId="0" fillId="23" borderId="54" xfId="0" applyFill="1" applyBorder="1" applyAlignment="1">
      <alignment horizontal="left" vertical="center" wrapText="1"/>
    </xf>
    <xf numFmtId="0" fontId="0" fillId="23" borderId="3" xfId="0" applyFill="1" applyBorder="1" applyAlignment="1">
      <alignment horizontal="left" vertical="center" wrapText="1"/>
    </xf>
    <xf numFmtId="0" fontId="0" fillId="23" borderId="11" xfId="0" applyFont="1" applyFill="1" applyBorder="1" applyAlignment="1">
      <alignment horizontal="left" vertical="center" wrapText="1"/>
    </xf>
    <xf numFmtId="177" fontId="0" fillId="23" borderId="15" xfId="0" applyNumberFormat="1" applyFont="1" applyFill="1" applyBorder="1" applyAlignment="1">
      <alignment horizontal="left" vertical="center" wrapText="1"/>
    </xf>
    <xf numFmtId="0" fontId="0" fillId="23" borderId="13" xfId="0" applyFont="1" applyFill="1" applyBorder="1" applyAlignment="1">
      <alignment horizontal="left" vertical="center" wrapText="1"/>
    </xf>
    <xf numFmtId="0" fontId="135" fillId="0" borderId="25" xfId="0" applyFont="1" applyBorder="1" applyAlignment="1">
      <alignment horizontal="left" vertical="center" wrapText="1"/>
    </xf>
    <xf numFmtId="0" fontId="135" fillId="0" borderId="32" xfId="0" applyFont="1" applyBorder="1" applyAlignment="1">
      <alignment horizontal="left" vertical="center" wrapText="1"/>
    </xf>
    <xf numFmtId="179" fontId="0" fillId="0" borderId="58"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0" fontId="0" fillId="23" borderId="15" xfId="0" applyFill="1" applyBorder="1" applyAlignment="1">
      <alignment horizontal="left" vertical="center" wrapText="1"/>
    </xf>
    <xf numFmtId="43" fontId="36" fillId="23" borderId="13" xfId="20" applyFont="1" applyFill="1" applyBorder="1" applyAlignment="1" applyProtection="1">
      <alignment horizontal="left" vertical="center" wrapText="1"/>
      <protection locked="0"/>
    </xf>
    <xf numFmtId="43" fontId="36" fillId="23" borderId="2" xfId="20" applyFont="1" applyFill="1" applyBorder="1" applyAlignment="1" applyProtection="1">
      <alignment horizontal="left" vertical="center" wrapText="1"/>
      <protection locked="0"/>
    </xf>
    <xf numFmtId="0" fontId="135" fillId="0" borderId="38" xfId="0" applyFont="1" applyBorder="1" applyAlignment="1">
      <alignment horizontal="left" vertical="center"/>
    </xf>
    <xf numFmtId="0" fontId="135" fillId="0" borderId="66" xfId="0" applyFont="1" applyBorder="1" applyAlignment="1">
      <alignment horizontal="left" vertical="center"/>
    </xf>
    <xf numFmtId="0" fontId="0" fillId="23" borderId="13" xfId="0" applyFont="1" applyFill="1" applyBorder="1" applyAlignment="1" applyProtection="1">
      <alignment horizontal="left" vertical="center" wrapText="1"/>
      <protection locked="0"/>
    </xf>
    <xf numFmtId="0" fontId="0" fillId="23" borderId="2" xfId="0" applyFont="1" applyFill="1" applyBorder="1" applyAlignment="1" applyProtection="1">
      <alignment horizontal="left" vertical="center" wrapText="1"/>
      <protection locked="0"/>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135" fillId="23" borderId="13" xfId="0" applyFont="1" applyFill="1" applyBorder="1" applyAlignment="1" applyProtection="1">
      <alignment horizontal="left" vertical="center" wrapText="1"/>
      <protection locked="0"/>
    </xf>
    <xf numFmtId="0" fontId="135" fillId="23" borderId="2" xfId="0" applyFont="1" applyFill="1" applyBorder="1" applyAlignment="1" applyProtection="1">
      <alignment horizontal="left" vertical="center" wrapText="1"/>
      <protection locked="0"/>
    </xf>
    <xf numFmtId="196" fontId="0" fillId="23" borderId="13" xfId="0" applyNumberFormat="1" applyFont="1" applyFill="1" applyBorder="1" applyAlignment="1" applyProtection="1">
      <alignment horizontal="left" vertical="center" wrapText="1"/>
      <protection locked="0"/>
    </xf>
    <xf numFmtId="196" fontId="0" fillId="23" borderId="13" xfId="0" applyNumberFormat="1" applyFont="1" applyFill="1" applyBorder="1" applyAlignment="1">
      <alignment horizontal="center" vertical="center"/>
    </xf>
    <xf numFmtId="196" fontId="0" fillId="23" borderId="2" xfId="0" applyNumberFormat="1" applyFont="1" applyFill="1" applyBorder="1" applyAlignment="1">
      <alignment horizontal="center" vertical="center"/>
    </xf>
    <xf numFmtId="197" fontId="0" fillId="17" borderId="13" xfId="0" applyNumberFormat="1" applyFont="1" applyFill="1" applyBorder="1" applyAlignment="1">
      <alignment horizontal="left" vertical="center"/>
    </xf>
    <xf numFmtId="197" fontId="0" fillId="17" borderId="2" xfId="0" applyNumberFormat="1" applyFont="1" applyFill="1" applyBorder="1" applyAlignment="1">
      <alignment horizontal="left" vertical="center"/>
    </xf>
    <xf numFmtId="196" fontId="0" fillId="5" borderId="13" xfId="0" applyNumberFormat="1" applyFont="1" applyFill="1" applyBorder="1" applyAlignment="1">
      <alignment horizontal="left" vertical="center"/>
    </xf>
    <xf numFmtId="196" fontId="0" fillId="5" borderId="15" xfId="0" applyNumberFormat="1" applyFont="1" applyFill="1" applyBorder="1" applyAlignment="1">
      <alignment horizontal="left" vertical="center"/>
    </xf>
    <xf numFmtId="196" fontId="0" fillId="5" borderId="2"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7" fontId="0" fillId="23" borderId="13" xfId="0" applyNumberFormat="1" applyFont="1" applyFill="1" applyBorder="1" applyAlignment="1">
      <alignment horizontal="left" vertical="center"/>
    </xf>
    <xf numFmtId="197" fontId="0" fillId="23"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0" fontId="0" fillId="5" borderId="1" xfId="0" applyFont="1" applyFill="1" applyBorder="1" applyAlignment="1">
      <alignment horizontal="left" vertical="center"/>
    </xf>
    <xf numFmtId="0" fontId="36" fillId="5" borderId="1" xfId="0" applyFont="1" applyFill="1" applyBorder="1" applyAlignment="1">
      <alignment horizontal="left" vertical="center"/>
    </xf>
    <xf numFmtId="0" fontId="135" fillId="5" borderId="13" xfId="0" applyFont="1" applyFill="1" applyBorder="1" applyAlignment="1">
      <alignment horizontal="left" vertical="center" wrapText="1"/>
    </xf>
    <xf numFmtId="0" fontId="135" fillId="5" borderId="15" xfId="0" applyFont="1" applyFill="1" applyBorder="1" applyAlignment="1">
      <alignment horizontal="left" vertical="center" wrapText="1"/>
    </xf>
    <xf numFmtId="0" fontId="135" fillId="5" borderId="2" xfId="0" applyFont="1" applyFill="1" applyBorder="1" applyAlignment="1">
      <alignment horizontal="left" vertical="center" wrapText="1"/>
    </xf>
    <xf numFmtId="196" fontId="0" fillId="5"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0" fontId="135" fillId="17" borderId="13" xfId="0" applyFont="1" applyFill="1" applyBorder="1" applyAlignment="1">
      <alignment horizontal="left" vertical="center" wrapText="1"/>
    </xf>
    <xf numFmtId="0" fontId="135" fillId="17" borderId="15" xfId="0" applyFont="1" applyFill="1" applyBorder="1" applyAlignment="1">
      <alignment horizontal="left" vertical="center" wrapText="1"/>
    </xf>
    <xf numFmtId="0" fontId="135" fillId="17" borderId="2" xfId="0" applyFont="1" applyFill="1" applyBorder="1" applyAlignment="1">
      <alignment horizontal="left" vertical="center" wrapText="1"/>
    </xf>
    <xf numFmtId="196" fontId="0" fillId="17" borderId="13" xfId="0" applyNumberFormat="1" applyFont="1" applyFill="1" applyBorder="1" applyAlignment="1">
      <alignment horizontal="left" vertical="center" wrapText="1"/>
    </xf>
    <xf numFmtId="196" fontId="0" fillId="17" borderId="15"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cellXfs>
  <cellStyles count="27">
    <cellStyle name="百分比" xfId="17" builtinId="5"/>
    <cellStyle name="百分比 2" xfId="14"/>
    <cellStyle name="百分比 3" xfId="2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21" builtinId="26"/>
    <cellStyle name="千位分隔" xfId="20" builtinId="3"/>
    <cellStyle name="千位分隔 2" xfId="22"/>
    <cellStyle name="千位分隔 2 2" xfId="26"/>
    <cellStyle name="千位分隔[0]" xfId="23" builtinId="6"/>
    <cellStyle name="千位分隔[0] 2" xfId="25"/>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6</xdr:col>
      <xdr:colOff>314138</xdr:colOff>
      <xdr:row>34</xdr:row>
      <xdr:rowOff>65946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
          <a:ext cx="5524313" cy="418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1&#28595;&#38376;&#20013;&#24515;&#24037;&#34892;&#25269;&#252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估价对象为北京市房地产，为所有。根据《国有土地使用证》[]，估价对象（分摊）出让国有建设用地使用权面积为6245.083平方米，建筑面积为61136.62平方米。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估价对象为北京市房地产,为开发建设的，该项目尚在开发建设中。根据《国有土地使用证》[]，估价对象（分摊）出让国有建设用地使用权面积为6245.083平方米，规划建筑面积为61136.62平方米。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2023年10月27日（评估专业人员实地查勘之日）</v>
      </c>
    </row>
    <row r="13" spans="1:2" s="1198" customFormat="1">
      <c r="A13" s="1196" t="s">
        <v>529</v>
      </c>
      <c r="B13" s="1197" t="str">
        <f>'预评函-1'!A18</f>
        <v>本次估价的“房地产价值”是指在正常市场情况下，在价值时点2023年10月27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228424</v>
      </c>
    </row>
    <row r="21" spans="1:2" s="1198" customFormat="1">
      <c r="A21" s="1196" t="s">
        <v>537</v>
      </c>
      <c r="B21" s="1197">
        <f ca="1">'预评函-2'!D7</f>
        <v>37363</v>
      </c>
    </row>
    <row r="22" spans="1:2" s="1198" customFormat="1">
      <c r="A22" s="1196" t="s">
        <v>538</v>
      </c>
      <c r="B22" s="1197" t="str">
        <f ca="1">'预评函-2'!D6</f>
        <v>贰拾贰亿捌仟肆佰贰拾肆万元整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228424</v>
      </c>
    </row>
    <row r="31" spans="1:2" s="1198" customFormat="1">
      <c r="A31" s="1196" t="s">
        <v>576</v>
      </c>
      <c r="B31" s="1197">
        <f ca="1">'预评函-2'!D15</f>
        <v>37363</v>
      </c>
    </row>
    <row r="32" spans="1:2" s="1198" customFormat="1">
      <c r="A32" s="1196" t="s">
        <v>543</v>
      </c>
      <c r="B32" s="1197" t="str">
        <f ca="1">'预评函-2'!D14</f>
        <v>贰拾贰亿捌仟肆佰贰拾肆万元整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61136.619999999995</v>
      </c>
    </row>
    <row r="44" spans="1:2" s="1198" customFormat="1">
      <c r="A44" s="1196" t="s">
        <v>575</v>
      </c>
      <c r="B44" s="1197" t="str">
        <f>'预评函-3'!C2</f>
        <v>(分摊)土地面积</v>
      </c>
    </row>
    <row r="45" spans="1:2" s="1198" customFormat="1">
      <c r="A45" s="1196" t="s">
        <v>547</v>
      </c>
      <c r="B45" s="1197">
        <f>'预评函-3'!C4</f>
        <v>6245.0829999999996</v>
      </c>
    </row>
    <row r="46" spans="1:2" s="1198" customFormat="1">
      <c r="A46" s="1196" t="s">
        <v>573</v>
      </c>
      <c r="B46" s="1197" t="str">
        <f>'预评函-3'!D2</f>
        <v>出让国有建设用地使用权价值</v>
      </c>
    </row>
    <row r="47" spans="1:2" s="1198" customFormat="1">
      <c r="A47" s="1196" t="s">
        <v>548</v>
      </c>
      <c r="B47" s="1197">
        <f ca="1">'预评函-3'!D4</f>
        <v>196445</v>
      </c>
    </row>
    <row r="48" spans="1:2" s="1198" customFormat="1">
      <c r="A48" s="1196" t="s">
        <v>549</v>
      </c>
      <c r="B48" s="1197">
        <f ca="1">'预评函-3'!E4</f>
        <v>32132</v>
      </c>
    </row>
    <row r="49" spans="1:2" s="1198" customFormat="1">
      <c r="A49" s="1196" t="s">
        <v>550</v>
      </c>
      <c r="B49" s="1197" t="str">
        <f ca="1">'预评函-3'!D5</f>
        <v>壹拾玖亿陆仟肆佰肆拾伍万元整</v>
      </c>
    </row>
    <row r="50" spans="1:2" s="1198" customFormat="1">
      <c r="A50" s="1196" t="s">
        <v>574</v>
      </c>
      <c r="B50" s="1197" t="str">
        <f>'预评函-3'!F2</f>
        <v>在建建筑物价值</v>
      </c>
    </row>
    <row r="51" spans="1:2" s="1198" customFormat="1">
      <c r="A51" s="1196" t="s">
        <v>551</v>
      </c>
      <c r="B51" s="1197">
        <f ca="1">'预评函-3'!F4</f>
        <v>31979</v>
      </c>
    </row>
    <row r="52" spans="1:2" s="1198" customFormat="1">
      <c r="A52" s="1196" t="s">
        <v>552</v>
      </c>
      <c r="B52" s="1197">
        <f ca="1">'预评函-3'!G4</f>
        <v>5231</v>
      </c>
    </row>
    <row r="53" spans="1:2" s="1198" customFormat="1">
      <c r="A53" s="1196" t="s">
        <v>580</v>
      </c>
      <c r="B53" s="1197" t="str">
        <f ca="1">'预评函-3'!F5</f>
        <v>叁亿壹仟玖佰柒拾玖万元整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7" sqref="J37"/>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3316</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3302</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3303</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3304</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3305</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3306</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3307</v>
      </c>
    </row>
    <row r="8" spans="1:23">
      <c r="A8" s="1541" t="s">
        <v>1026</v>
      </c>
      <c r="B8" s="1541" t="s">
        <v>1027</v>
      </c>
      <c r="C8" s="1542" t="s">
        <v>319</v>
      </c>
      <c r="F8" s="1543" t="s">
        <v>1028</v>
      </c>
      <c r="H8" s="1543" t="s">
        <v>2564</v>
      </c>
      <c r="I8" s="1543" t="s">
        <v>3308</v>
      </c>
    </row>
    <row r="9" spans="1:23">
      <c r="A9" s="1541" t="s">
        <v>1029</v>
      </c>
      <c r="B9" s="1541" t="s">
        <v>1030</v>
      </c>
      <c r="C9" s="1542" t="s">
        <v>320</v>
      </c>
      <c r="F9" s="1543" t="s">
        <v>1031</v>
      </c>
      <c r="H9" s="1543"/>
      <c r="I9" s="1546" t="s">
        <v>3309</v>
      </c>
    </row>
    <row r="10" spans="1:23">
      <c r="A10" s="1541" t="s">
        <v>1032</v>
      </c>
      <c r="B10" s="1541" t="s">
        <v>1033</v>
      </c>
      <c r="C10" s="1542" t="s">
        <v>321</v>
      </c>
      <c r="F10" s="1543" t="s">
        <v>2565</v>
      </c>
      <c r="I10" s="1546" t="s">
        <v>3310</v>
      </c>
    </row>
    <row r="11" spans="1:23">
      <c r="A11" s="1541" t="s">
        <v>1034</v>
      </c>
      <c r="B11" s="1541" t="s">
        <v>1035</v>
      </c>
      <c r="C11" s="1542" t="s">
        <v>322</v>
      </c>
      <c r="F11" s="1543" t="s">
        <v>13</v>
      </c>
      <c r="I11" s="1546" t="s">
        <v>3311</v>
      </c>
    </row>
    <row r="12" spans="1:23">
      <c r="A12" s="1541" t="s">
        <v>1036</v>
      </c>
      <c r="B12" s="1541" t="s">
        <v>1037</v>
      </c>
      <c r="C12" s="1542" t="s">
        <v>323</v>
      </c>
      <c r="I12" s="1546" t="s">
        <v>3312</v>
      </c>
    </row>
    <row r="13" spans="1:23">
      <c r="A13" s="1541" t="s">
        <v>1038</v>
      </c>
      <c r="B13" s="1541" t="s">
        <v>1039</v>
      </c>
      <c r="C13" s="1542" t="s">
        <v>324</v>
      </c>
      <c r="I13" s="1546" t="s">
        <v>3313</v>
      </c>
    </row>
    <row r="14" spans="1:23">
      <c r="A14" s="1541" t="s">
        <v>1040</v>
      </c>
      <c r="B14" s="1541" t="s">
        <v>1041</v>
      </c>
      <c r="C14" s="1543" t="s">
        <v>13</v>
      </c>
      <c r="I14" s="1546" t="s">
        <v>3314</v>
      </c>
    </row>
    <row r="15" spans="1:23">
      <c r="A15" s="1541" t="s">
        <v>1042</v>
      </c>
      <c r="B15" s="1541" t="s">
        <v>1043</v>
      </c>
      <c r="C15" s="1542"/>
      <c r="I15" s="1546" t="s">
        <v>3315</v>
      </c>
    </row>
    <row r="16" spans="1:23">
      <c r="A16" s="1541" t="s">
        <v>1044</v>
      </c>
      <c r="B16" s="1541" t="s">
        <v>312</v>
      </c>
      <c r="C16" s="1542"/>
    </row>
    <row r="17" spans="1:3">
      <c r="A17" s="1541" t="s">
        <v>1045</v>
      </c>
      <c r="B17" s="1541" t="s">
        <v>2284</v>
      </c>
      <c r="C17" s="1542"/>
    </row>
    <row r="18" spans="1:3">
      <c r="A18" s="1541" t="s">
        <v>1046</v>
      </c>
      <c r="B18" s="1541" t="s">
        <v>2421</v>
      </c>
      <c r="C18" s="1542"/>
    </row>
    <row r="19" spans="1:3">
      <c r="A19" s="1541" t="s">
        <v>1047</v>
      </c>
      <c r="B19" s="1541" t="s">
        <v>3753</v>
      </c>
      <c r="C19" s="1542"/>
    </row>
    <row r="20" spans="1:3">
      <c r="A20" s="1541" t="s">
        <v>1048</v>
      </c>
      <c r="B20" s="1541" t="s">
        <v>3764</v>
      </c>
      <c r="C20" s="1542"/>
    </row>
    <row r="21" spans="1:3">
      <c r="A21" s="1541" t="s">
        <v>1049</v>
      </c>
      <c r="B21" s="1541" t="s">
        <v>3767</v>
      </c>
      <c r="C21" s="1542"/>
    </row>
    <row r="22" spans="1:3">
      <c r="A22" s="1541" t="s">
        <v>1050</v>
      </c>
      <c r="B22" s="1541" t="s">
        <v>3905</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85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52"/>
      <c r="B54" s="1549" t="s">
        <v>385</v>
      </c>
      <c r="C54" s="1546" t="s">
        <v>583</v>
      </c>
    </row>
    <row r="55" spans="1:4">
      <c r="A55" s="3852"/>
      <c r="B55" s="1549" t="s">
        <v>386</v>
      </c>
      <c r="C55" s="1546" t="s">
        <v>584</v>
      </c>
    </row>
    <row r="56" spans="1:4">
      <c r="A56" s="3852"/>
      <c r="B56" s="1549" t="s">
        <v>387</v>
      </c>
      <c r="C56" s="1546" t="s">
        <v>588</v>
      </c>
    </row>
    <row r="57" spans="1:4">
      <c r="A57" s="385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362" t="s">
        <v>2580</v>
      </c>
      <c r="J1" s="3151"/>
      <c r="K1" s="3151"/>
      <c r="L1" s="3151"/>
      <c r="M1" s="3151"/>
      <c r="N1" s="3363"/>
      <c r="O1" s="3363"/>
      <c r="P1" s="3363"/>
      <c r="Q1" s="3363"/>
      <c r="R1" s="3363"/>
    </row>
    <row r="2" spans="1:18">
      <c r="A2" s="3008"/>
      <c r="B2" s="3009"/>
      <c r="C2" s="3009"/>
      <c r="D2" s="3009"/>
      <c r="E2" s="3009"/>
      <c r="F2" s="3010"/>
      <c r="I2" s="3853" t="s">
        <v>2567</v>
      </c>
      <c r="J2" s="3853"/>
      <c r="K2" s="3853"/>
      <c r="L2" s="3853"/>
      <c r="M2" s="3853"/>
      <c r="N2" s="3853"/>
      <c r="O2" s="3853"/>
      <c r="P2" s="3853"/>
      <c r="Q2" s="3853"/>
      <c r="R2" s="3853"/>
    </row>
    <row r="3" spans="1:18">
      <c r="A3" s="3011" t="s">
        <v>2488</v>
      </c>
      <c r="B3" s="3012">
        <f>项目基本情况!D3</f>
        <v>45226</v>
      </c>
      <c r="C3" s="3014"/>
      <c r="D3" s="3014"/>
      <c r="E3" s="3014"/>
      <c r="F3" s="3010"/>
      <c r="I3" s="3364"/>
      <c r="J3" s="3364" t="s">
        <v>2571</v>
      </c>
      <c r="K3" s="3364" t="s">
        <v>2572</v>
      </c>
      <c r="L3" s="3364" t="s">
        <v>2573</v>
      </c>
      <c r="M3" s="3364" t="s">
        <v>2574</v>
      </c>
      <c r="N3" s="3365" t="s">
        <v>2575</v>
      </c>
      <c r="O3" s="3365" t="s">
        <v>2576</v>
      </c>
      <c r="P3" s="3365" t="s">
        <v>2577</v>
      </c>
      <c r="Q3" s="3365" t="s">
        <v>2578</v>
      </c>
      <c r="R3" s="3365" t="s">
        <v>2579</v>
      </c>
    </row>
    <row r="4" spans="1:18">
      <c r="A4" s="3011" t="s">
        <v>2489</v>
      </c>
      <c r="B4" s="3014" t="s">
        <v>2490</v>
      </c>
      <c r="C4" s="3014" t="s">
        <v>2491</v>
      </c>
      <c r="D4" s="3014" t="s">
        <v>2492</v>
      </c>
      <c r="E4" s="3014" t="s">
        <v>2493</v>
      </c>
      <c r="F4" s="3010"/>
      <c r="I4" s="3364" t="s">
        <v>2568</v>
      </c>
      <c r="J4" s="3364">
        <v>80</v>
      </c>
      <c r="K4" s="3364">
        <v>70</v>
      </c>
      <c r="L4" s="3364">
        <v>20</v>
      </c>
      <c r="M4" s="3364">
        <v>30</v>
      </c>
      <c r="N4" s="3014">
        <v>45</v>
      </c>
      <c r="O4" s="3014">
        <v>60</v>
      </c>
      <c r="P4" s="3014">
        <v>50</v>
      </c>
      <c r="Q4" s="3014">
        <v>20</v>
      </c>
      <c r="R4" s="3014">
        <v>375</v>
      </c>
    </row>
    <row r="5" spans="1:18">
      <c r="A5" s="3015">
        <v>40</v>
      </c>
      <c r="B5" s="3012">
        <v>46375</v>
      </c>
      <c r="C5" s="3014">
        <f>ROUNDDOWN(MIN((B5-B3)/365,A5),2)</f>
        <v>3.14</v>
      </c>
      <c r="D5" s="3016">
        <f>IF(ISERROR(ROUND(POWER(1+E5,A5-C5)*(POWER(1+E5,C5)-1)/(POWER(1+E5,A5)-1),3)),0,ROUND(POWER(1+E5,A5-C5)*(POWER(1+E5,C5)-1)/(POWER(1+E5,A5)-1),4))</f>
        <v>0.1464</v>
      </c>
      <c r="E5" s="3017">
        <v>0.04</v>
      </c>
      <c r="F5" s="3010"/>
      <c r="I5" s="3364" t="s">
        <v>2569</v>
      </c>
      <c r="J5" s="3364">
        <v>70</v>
      </c>
      <c r="K5" s="3364">
        <v>60</v>
      </c>
      <c r="L5" s="3364">
        <v>15</v>
      </c>
      <c r="M5" s="3364">
        <v>25</v>
      </c>
      <c r="N5" s="3014">
        <v>40</v>
      </c>
      <c r="O5" s="3014">
        <v>50</v>
      </c>
      <c r="P5" s="3014">
        <v>40</v>
      </c>
      <c r="Q5" s="3014">
        <v>15</v>
      </c>
      <c r="R5" s="3014">
        <v>315</v>
      </c>
    </row>
    <row r="6" spans="1:18">
      <c r="A6" s="3015">
        <v>50</v>
      </c>
      <c r="B6" s="3012">
        <v>50028</v>
      </c>
      <c r="C6" s="3014">
        <f>ROUNDDOWN(MIN((B6-B3)/365,A6),2)</f>
        <v>13.15</v>
      </c>
      <c r="D6" s="3016">
        <f>IF(ISERROR(ROUND(POWER(1+E6,A6-C6)*(POWER(1+E6,C6)-1)/(POWER(1+E6,A6)-1),3)),0,ROUND(POWER(1+E6,A6-C6)*(POWER(1+E6,C6)-1)/(POWER(1+E6,A6)-1),4))</f>
        <v>0.46889999999999998</v>
      </c>
      <c r="E6" s="3017">
        <v>0.04</v>
      </c>
      <c r="F6" s="3010"/>
      <c r="I6" s="3364" t="s">
        <v>2570</v>
      </c>
      <c r="J6" s="3364">
        <v>60</v>
      </c>
      <c r="K6" s="3364">
        <v>50</v>
      </c>
      <c r="L6" s="3364">
        <v>10</v>
      </c>
      <c r="M6" s="3364">
        <v>20</v>
      </c>
      <c r="N6" s="3014">
        <v>35</v>
      </c>
      <c r="O6" s="3014">
        <v>40</v>
      </c>
      <c r="P6" s="3014">
        <v>30</v>
      </c>
      <c r="Q6" s="3014">
        <v>10</v>
      </c>
      <c r="R6" s="3014">
        <v>255</v>
      </c>
    </row>
    <row r="7" spans="1:18">
      <c r="A7" s="3015">
        <v>70</v>
      </c>
      <c r="B7" s="3012">
        <v>57333</v>
      </c>
      <c r="C7" s="3014">
        <f>ROUNDDOWN(MIN((B7-B3)/365,A7),2)</f>
        <v>33.159999999999997</v>
      </c>
      <c r="D7" s="3016">
        <f>IF(ISERROR(ROUND(POWER(1+E7,A7-C7)*(POWER(1+E7,C7)-1)/(POWER(1+E7,A7)-1),3)),0,ROUND(POWER(1+E7,A7-C7)*(POWER(1+E7,C7)-1)/(POWER(1+E7,A7)-1),4))</f>
        <v>0.77759999999999996</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6" sqref="I3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862" t="str">
        <f>IF(B10="北京市","北京市",C10)&amp;F10&amp;IF(结果表!G1="在建","出让国有建设用地使用权及在建建筑物",IF(结果表!G1="土地","出让国有建设用地使用权",))&amp;B9&amp;"预评估"</f>
        <v>北京市房地产市场价值预评估</v>
      </c>
      <c r="C1" s="3863"/>
      <c r="D1" s="3863"/>
      <c r="E1" s="3863"/>
      <c r="F1" s="3863"/>
      <c r="G1" s="3863"/>
      <c r="H1" s="3863"/>
      <c r="I1" s="3864"/>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0" t="s">
        <v>2170</v>
      </c>
      <c r="B3" s="2368">
        <v>45226</v>
      </c>
      <c r="C3" s="2369" t="s">
        <v>2171</v>
      </c>
      <c r="D3" s="2368">
        <f>B3</f>
        <v>45226</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t="s">
        <v>3983</v>
      </c>
      <c r="C4" s="2371">
        <f ca="1">SUMIF(注册房地产估价师,B4,估价师及机构信息!B3:B24)</f>
        <v>1120100036</v>
      </c>
      <c r="D4" s="2370" t="s">
        <v>3984</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3333</v>
      </c>
      <c r="C8" s="2385"/>
      <c r="D8" s="3865" t="s">
        <v>2177</v>
      </c>
      <c r="E8" s="2386"/>
      <c r="F8" s="2387"/>
      <c r="G8" s="2658"/>
      <c r="H8" s="2658"/>
      <c r="I8" s="2658"/>
      <c r="J8" s="2434"/>
      <c r="K8" s="2609"/>
      <c r="L8" s="2608"/>
      <c r="M8" s="2608"/>
      <c r="N8" s="2434"/>
      <c r="O8" s="2445"/>
      <c r="P8" s="2434"/>
      <c r="Q8" s="2434"/>
      <c r="R8" s="2434"/>
    </row>
    <row r="9" spans="1:30" ht="13.5" thickBot="1">
      <c r="A9" s="2388" t="s">
        <v>2178</v>
      </c>
      <c r="B9" s="2389" t="s">
        <v>3334</v>
      </c>
      <c r="C9" s="2390"/>
      <c r="D9" s="3866"/>
      <c r="E9" s="2389"/>
      <c r="F9" s="2391"/>
      <c r="G9" s="2660"/>
      <c r="H9" s="2660"/>
      <c r="I9" s="2660"/>
      <c r="J9" s="2434"/>
      <c r="K9" s="2611"/>
      <c r="L9" s="2608"/>
      <c r="M9" s="2608"/>
      <c r="N9" s="2434"/>
      <c r="O9" s="2445"/>
      <c r="P9" s="2434"/>
      <c r="Q9" s="2434"/>
      <c r="R9" s="2434"/>
    </row>
    <row r="10" spans="1:30" ht="13.5" thickTop="1">
      <c r="A10" s="2392" t="s">
        <v>2179</v>
      </c>
      <c r="B10" s="2393" t="s">
        <v>3335</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3336</v>
      </c>
      <c r="C11" s="2398"/>
      <c r="D11" s="2399"/>
      <c r="E11" s="2365"/>
      <c r="F11" s="2365"/>
      <c r="G11" s="2365"/>
      <c r="H11" s="2365"/>
      <c r="I11" s="2365"/>
      <c r="J11" s="3052"/>
      <c r="K11" s="3051"/>
      <c r="L11" s="2608"/>
      <c r="M11" s="2608"/>
      <c r="N11" s="2434"/>
      <c r="O11" s="2445"/>
      <c r="P11" s="2434"/>
      <c r="Q11" s="2434"/>
      <c r="R11" s="2434"/>
    </row>
    <row r="12" spans="1:30">
      <c r="A12" s="2400" t="s">
        <v>2182</v>
      </c>
      <c r="B12" s="321" t="s">
        <v>2183</v>
      </c>
      <c r="C12" s="2401" t="s">
        <v>2184</v>
      </c>
      <c r="D12" s="2401" t="s">
        <v>2185</v>
      </c>
      <c r="E12" s="2401" t="s">
        <v>2186</v>
      </c>
      <c r="F12" s="2401" t="s">
        <v>2187</v>
      </c>
      <c r="G12" s="2401" t="s">
        <v>2188</v>
      </c>
      <c r="H12" s="2401" t="s">
        <v>2189</v>
      </c>
      <c r="I12" s="3050" t="s">
        <v>2563</v>
      </c>
      <c r="J12" s="3053"/>
      <c r="K12" s="2608"/>
      <c r="L12" s="2608"/>
      <c r="M12" s="2434"/>
      <c r="N12" s="2445"/>
      <c r="O12" s="2434"/>
      <c r="P12" s="2434"/>
      <c r="Q12" s="2434"/>
      <c r="AD12" s="1740"/>
    </row>
    <row r="13" spans="1:30">
      <c r="A13" s="3348" t="s">
        <v>3297</v>
      </c>
      <c r="B13" s="2402" t="s">
        <v>2190</v>
      </c>
      <c r="C13" s="851">
        <v>63734</v>
      </c>
      <c r="D13" s="851">
        <v>52777</v>
      </c>
      <c r="E13" s="851">
        <v>63734</v>
      </c>
      <c r="F13" s="851">
        <v>56429</v>
      </c>
      <c r="G13" s="851"/>
      <c r="H13" s="851"/>
      <c r="I13" s="851"/>
      <c r="J13" s="3053"/>
      <c r="K13" s="2608"/>
      <c r="L13" s="2608"/>
      <c r="M13" s="2434"/>
      <c r="N13" s="2445"/>
      <c r="O13" s="2434"/>
      <c r="P13" s="2434"/>
      <c r="Q13" s="2434"/>
      <c r="AD13" s="1740"/>
    </row>
    <row r="14" spans="1:30">
      <c r="A14" s="1076"/>
      <c r="B14" s="2402" t="s">
        <v>2191</v>
      </c>
      <c r="C14" s="2403">
        <v>70</v>
      </c>
      <c r="D14" s="2403">
        <v>40</v>
      </c>
      <c r="E14" s="2403">
        <v>70</v>
      </c>
      <c r="F14" s="2403">
        <v>50</v>
      </c>
      <c r="G14" s="2403"/>
      <c r="H14" s="2403"/>
      <c r="I14" s="2403"/>
      <c r="J14" s="3054"/>
      <c r="K14" s="2608"/>
      <c r="L14" s="2608"/>
      <c r="M14" s="2434"/>
      <c r="N14" s="2445"/>
      <c r="O14" s="2434"/>
      <c r="P14" s="2434"/>
      <c r="Q14" s="2434"/>
      <c r="AD14" s="1740"/>
    </row>
    <row r="15" spans="1:30">
      <c r="A15" s="318"/>
      <c r="B15" s="2404" t="s">
        <v>2192</v>
      </c>
      <c r="C15" s="2405">
        <f>IF(A13="出让",IF(C13="","",ROUNDDOWN(MIN((C13-$D$3)/365,C14),2)),C14)</f>
        <v>50.7</v>
      </c>
      <c r="D15" s="2405">
        <f>IF(A13="出让",IF(D13="","",ROUNDDOWN(MIN((D13-$D$3)/365,D14),2)),D14)</f>
        <v>20.68</v>
      </c>
      <c r="E15" s="2405">
        <f>IF(A13="出让",IF(E13="","",ROUNDDOWN(MIN((E13-$D$3)/365,E14),2)),E14)</f>
        <v>50.7</v>
      </c>
      <c r="F15" s="2405">
        <f>IF(A13="出让",IF(F13="","",ROUNDDOWN(MIN((F13-$D$3)/365,F14),2)),F14)</f>
        <v>30.69</v>
      </c>
      <c r="G15" s="2405" t="str">
        <f>IF(A13="出让",IF(G13="","",ROUNDDOWN(MIN((G13-$D$3)/365,G14),2)),G14)</f>
        <v/>
      </c>
      <c r="H15" s="2405" t="str">
        <f>IF(A13="出让",IF(H13="","",ROUNDDOWN(MIN((H13-$D$3)/365,H14),2)),H14)</f>
        <v/>
      </c>
      <c r="I15" s="2405" t="str">
        <f>IF(A13="出让",IF(I13="","",ROUNDDOWN(MIN((I13-$D$3)/365,I14),2)),I14)</f>
        <v/>
      </c>
      <c r="J15" s="3055"/>
      <c r="K15" s="2446"/>
      <c r="L15" s="2446"/>
      <c r="M15" s="2504"/>
      <c r="N15" s="2446"/>
      <c r="O15" s="2504"/>
      <c r="P15" s="2434"/>
      <c r="Q15" s="2434"/>
      <c r="AD15" s="1740"/>
    </row>
    <row r="16" spans="1:30">
      <c r="A16" s="2395" t="s">
        <v>2193</v>
      </c>
      <c r="B16" s="3872"/>
      <c r="C16" s="3873"/>
      <c r="D16" s="3874"/>
      <c r="E16" s="2408" t="s">
        <v>2194</v>
      </c>
      <c r="F16" s="3875"/>
      <c r="G16" s="3876"/>
      <c r="H16" s="3876"/>
      <c r="I16" s="3877"/>
      <c r="J16" s="2434"/>
      <c r="K16" s="2612"/>
      <c r="L16" s="2446"/>
      <c r="M16" s="2446"/>
      <c r="N16" s="2504"/>
      <c r="O16" s="2446"/>
      <c r="P16" s="2504"/>
      <c r="Q16" s="2434"/>
      <c r="R16" s="2434"/>
    </row>
    <row r="17" spans="1:28">
      <c r="A17" s="311" t="s">
        <v>2195</v>
      </c>
      <c r="B17" s="300" t="s">
        <v>2196</v>
      </c>
      <c r="C17" s="8">
        <f>'数据-汇总表'!E3</f>
        <v>61136.619999999995</v>
      </c>
      <c r="D17" s="2317" t="s">
        <v>2197</v>
      </c>
      <c r="E17" s="3878" t="s">
        <v>2198</v>
      </c>
      <c r="F17" s="3879"/>
      <c r="G17" s="3879"/>
      <c r="H17" s="3879"/>
      <c r="I17" s="3880"/>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6245.0829999999996</v>
      </c>
      <c r="D18" s="1087" t="s">
        <v>2201</v>
      </c>
      <c r="E18" s="3881" t="s">
        <v>2202</v>
      </c>
      <c r="F18" s="3882"/>
      <c r="G18" s="3882"/>
      <c r="H18" s="3882"/>
      <c r="I18" s="3883"/>
      <c r="J18" s="2434"/>
      <c r="K18" s="2613"/>
      <c r="L18" s="2446"/>
      <c r="M18" s="2446"/>
      <c r="N18" s="2504"/>
      <c r="O18" s="2446"/>
      <c r="P18" s="2504"/>
      <c r="Q18" s="2434"/>
      <c r="R18" s="2434"/>
      <c r="S18" s="2434"/>
      <c r="T18" s="2434"/>
      <c r="U18" s="2434"/>
      <c r="V18" s="2434"/>
    </row>
    <row r="19" spans="1:28" ht="37.5" thickTop="1" thickBot="1">
      <c r="A19" s="325" t="s">
        <v>1055</v>
      </c>
      <c r="B19" s="305"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868" t="s">
        <v>2206</v>
      </c>
      <c r="C20" s="3869"/>
      <c r="D20" s="3870" t="s">
        <v>2207</v>
      </c>
      <c r="E20" s="3871"/>
      <c r="F20" s="2642" t="s">
        <v>1056</v>
      </c>
      <c r="G20" s="2659"/>
      <c r="H20" s="2659"/>
      <c r="I20" s="2659"/>
      <c r="J20" s="2434"/>
      <c r="K20" s="3867"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86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86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855" t="s">
        <v>2214</v>
      </c>
      <c r="B27" s="318"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855"/>
      <c r="B28" s="300"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855"/>
      <c r="B29" s="300"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856"/>
      <c r="B30" s="300" t="s">
        <v>2218</v>
      </c>
      <c r="C30" s="3857"/>
      <c r="D30" s="3858"/>
      <c r="E30" s="2659"/>
      <c r="F30" s="2659"/>
      <c r="G30" s="2659"/>
      <c r="H30" s="2659"/>
      <c r="I30" s="2659"/>
      <c r="J30" s="2434"/>
      <c r="K30" s="2611"/>
      <c r="L30" s="2608"/>
      <c r="M30" s="2608"/>
      <c r="N30" s="2434"/>
      <c r="O30" s="2445"/>
      <c r="P30" s="2434"/>
      <c r="Q30" s="2434"/>
      <c r="R30" s="2434"/>
      <c r="S30" s="2434"/>
      <c r="T30" s="2434"/>
      <c r="U30" s="2434"/>
      <c r="V30" s="2434"/>
    </row>
    <row r="31" spans="1:28">
      <c r="A31" s="3859"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860"/>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860"/>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0" t="s">
        <v>2220</v>
      </c>
      <c r="B34" s="2021"/>
      <c r="C34" s="2021"/>
      <c r="D34" s="2021"/>
      <c r="E34" s="2021"/>
      <c r="F34" s="2021"/>
      <c r="G34" s="2021"/>
      <c r="H34" s="2021"/>
      <c r="I34" s="2659"/>
      <c r="J34" s="2434"/>
      <c r="K34" s="2422">
        <f>COUNTIF(B34:H34,"——")</f>
        <v>0</v>
      </c>
      <c r="L34" s="321" t="s">
        <v>2221</v>
      </c>
      <c r="M34" s="321" t="s">
        <v>2222</v>
      </c>
      <c r="N34" s="321" t="s">
        <v>2223</v>
      </c>
      <c r="O34" s="321" t="s">
        <v>2224</v>
      </c>
      <c r="P34" s="321" t="s">
        <v>2225</v>
      </c>
      <c r="Q34" s="321" t="s">
        <v>2226</v>
      </c>
      <c r="R34" s="321" t="s">
        <v>2227</v>
      </c>
      <c r="S34" s="3854" t="s">
        <v>2228</v>
      </c>
      <c r="T34" s="2423" t="str">
        <f>NUMBERSTRING(7-K34,1)&amp;"通"</f>
        <v>七通</v>
      </c>
      <c r="U34" s="2434"/>
      <c r="V34" s="2434"/>
    </row>
    <row r="35" spans="1:30">
      <c r="A35" s="2424"/>
      <c r="B35" s="3861" t="s">
        <v>2229</v>
      </c>
      <c r="C35" s="3861"/>
      <c r="D35" s="3861"/>
      <c r="E35" s="3861"/>
      <c r="F35" s="662">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854"/>
      <c r="T35" s="327" t="str">
        <f>IF(T34="一通",L35,IF(T34="二通",M35,IF(T34="三通",N35,IF(T34="四通",O35,IF(T34="五通",P35,IF(T34="六通",Q35,R35))))))</f>
        <v>、、、、、、</v>
      </c>
      <c r="U35" s="2434"/>
      <c r="V35" s="2434"/>
    </row>
    <row r="36" spans="1:30">
      <c r="A36" s="2425"/>
      <c r="B36" s="662" t="s">
        <v>2185</v>
      </c>
      <c r="C36" s="662" t="s">
        <v>2186</v>
      </c>
      <c r="D36" s="662" t="s">
        <v>2184</v>
      </c>
      <c r="E36" s="662" t="s">
        <v>2189</v>
      </c>
      <c r="F36" s="3056" t="s">
        <v>2566</v>
      </c>
      <c r="G36" s="2659"/>
      <c r="H36" s="2659"/>
      <c r="I36" s="2659"/>
      <c r="J36" s="2434"/>
      <c r="K36" s="2611"/>
      <c r="L36" s="2608"/>
      <c r="M36" s="2608"/>
      <c r="N36" s="2434"/>
      <c r="O36" s="2445"/>
      <c r="P36" s="2434"/>
      <c r="Q36" s="2434"/>
      <c r="R36" s="2434"/>
      <c r="S36" s="2434"/>
      <c r="T36" s="2434"/>
      <c r="U36" s="2434"/>
      <c r="V36" s="2434"/>
    </row>
    <row r="37" spans="1:30">
      <c r="A37" s="2625" t="s">
        <v>2230</v>
      </c>
      <c r="B37" s="2426" t="s">
        <v>144</v>
      </c>
      <c r="C37" s="2426"/>
      <c r="D37" s="2426" t="s">
        <v>144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3760</v>
      </c>
      <c r="C38" s="2427"/>
      <c r="D38" s="2427" t="s">
        <v>3760</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1"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
  <sheetViews>
    <sheetView topLeftCell="G22" zoomScaleNormal="100" workbookViewId="0">
      <selection activeCell="P45" sqref="P45"/>
    </sheetView>
  </sheetViews>
  <sheetFormatPr defaultRowHeight="14.25"/>
  <cols>
    <col min="1" max="1" width="11.5" style="3373" customWidth="1"/>
    <col min="2" max="2" width="7.25" style="3373" customWidth="1"/>
    <col min="3" max="3" width="13.5" style="3373" customWidth="1"/>
    <col min="4" max="4" width="13.125" style="3373" customWidth="1"/>
    <col min="5" max="5" width="11.875" style="3373" customWidth="1"/>
    <col min="6" max="6" width="13.125" style="3373" customWidth="1"/>
    <col min="7" max="7" width="13.25" style="3391" customWidth="1"/>
    <col min="8" max="8" width="11.875" style="3373" customWidth="1"/>
    <col min="9" max="9" width="13.125" style="3391" customWidth="1"/>
    <col min="10" max="10" width="12.5" style="3373" customWidth="1"/>
    <col min="11" max="11" width="22.75" style="3373" bestFit="1" customWidth="1"/>
    <col min="12" max="12" width="9" style="3373"/>
    <col min="13" max="13" width="9" style="3373" customWidth="1"/>
    <col min="14" max="14" width="17" style="3699" customWidth="1"/>
    <col min="15" max="15" width="11.625" style="3699" customWidth="1"/>
    <col min="16" max="16" width="9" style="3699"/>
    <col min="17" max="17" width="10.875" style="3699" bestFit="1" customWidth="1"/>
    <col min="18" max="19" width="9.375" style="3699" bestFit="1" customWidth="1"/>
    <col min="20" max="20" width="11.5" style="3699" customWidth="1"/>
    <col min="21" max="21" width="9.375" style="3699" bestFit="1" customWidth="1"/>
    <col min="22" max="26" width="9" style="3699"/>
    <col min="27" max="257" width="9" style="3373"/>
    <col min="258" max="258" width="11.5" style="3373" customWidth="1"/>
    <col min="259" max="259" width="7.25" style="3373" customWidth="1"/>
    <col min="260" max="260" width="11" style="3373" customWidth="1"/>
    <col min="261" max="261" width="13.125" style="3373" customWidth="1"/>
    <col min="262" max="262" width="11.875" style="3373" customWidth="1"/>
    <col min="263" max="263" width="13.125" style="3373" customWidth="1"/>
    <col min="264" max="264" width="13.25" style="3373" customWidth="1"/>
    <col min="265" max="265" width="11.875" style="3373" customWidth="1"/>
    <col min="266" max="266" width="13.125" style="3373" customWidth="1"/>
    <col min="267" max="267" width="12.5" style="3373" customWidth="1"/>
    <col min="268" max="513" width="9" style="3373"/>
    <col min="514" max="514" width="11.5" style="3373" customWidth="1"/>
    <col min="515" max="515" width="7.25" style="3373" customWidth="1"/>
    <col min="516" max="516" width="11" style="3373" customWidth="1"/>
    <col min="517" max="517" width="13.125" style="3373" customWidth="1"/>
    <col min="518" max="518" width="11.875" style="3373" customWidth="1"/>
    <col min="519" max="519" width="13.125" style="3373" customWidth="1"/>
    <col min="520" max="520" width="13.25" style="3373" customWidth="1"/>
    <col min="521" max="521" width="11.875" style="3373" customWidth="1"/>
    <col min="522" max="522" width="13.125" style="3373" customWidth="1"/>
    <col min="523" max="523" width="12.5" style="3373" customWidth="1"/>
    <col min="524" max="769" width="9" style="3373"/>
    <col min="770" max="770" width="11.5" style="3373" customWidth="1"/>
    <col min="771" max="771" width="7.25" style="3373" customWidth="1"/>
    <col min="772" max="772" width="11" style="3373" customWidth="1"/>
    <col min="773" max="773" width="13.125" style="3373" customWidth="1"/>
    <col min="774" max="774" width="11.875" style="3373" customWidth="1"/>
    <col min="775" max="775" width="13.125" style="3373" customWidth="1"/>
    <col min="776" max="776" width="13.25" style="3373" customWidth="1"/>
    <col min="777" max="777" width="11.875" style="3373" customWidth="1"/>
    <col min="778" max="778" width="13.125" style="3373" customWidth="1"/>
    <col min="779" max="779" width="12.5" style="3373" customWidth="1"/>
    <col min="780" max="1025" width="9" style="3373"/>
    <col min="1026" max="1026" width="11.5" style="3373" customWidth="1"/>
    <col min="1027" max="1027" width="7.25" style="3373" customWidth="1"/>
    <col min="1028" max="1028" width="11" style="3373" customWidth="1"/>
    <col min="1029" max="1029" width="13.125" style="3373" customWidth="1"/>
    <col min="1030" max="1030" width="11.875" style="3373" customWidth="1"/>
    <col min="1031" max="1031" width="13.125" style="3373" customWidth="1"/>
    <col min="1032" max="1032" width="13.25" style="3373" customWidth="1"/>
    <col min="1033" max="1033" width="11.875" style="3373" customWidth="1"/>
    <col min="1034" max="1034" width="13.125" style="3373" customWidth="1"/>
    <col min="1035" max="1035" width="12.5" style="3373" customWidth="1"/>
    <col min="1036" max="1281" width="9" style="3373"/>
    <col min="1282" max="1282" width="11.5" style="3373" customWidth="1"/>
    <col min="1283" max="1283" width="7.25" style="3373" customWidth="1"/>
    <col min="1284" max="1284" width="11" style="3373" customWidth="1"/>
    <col min="1285" max="1285" width="13.125" style="3373" customWidth="1"/>
    <col min="1286" max="1286" width="11.875" style="3373" customWidth="1"/>
    <col min="1287" max="1287" width="13.125" style="3373" customWidth="1"/>
    <col min="1288" max="1288" width="13.25" style="3373" customWidth="1"/>
    <col min="1289" max="1289" width="11.875" style="3373" customWidth="1"/>
    <col min="1290" max="1290" width="13.125" style="3373" customWidth="1"/>
    <col min="1291" max="1291" width="12.5" style="3373" customWidth="1"/>
    <col min="1292" max="1537" width="9" style="3373"/>
    <col min="1538" max="1538" width="11.5" style="3373" customWidth="1"/>
    <col min="1539" max="1539" width="7.25" style="3373" customWidth="1"/>
    <col min="1540" max="1540" width="11" style="3373" customWidth="1"/>
    <col min="1541" max="1541" width="13.125" style="3373" customWidth="1"/>
    <col min="1542" max="1542" width="11.875" style="3373" customWidth="1"/>
    <col min="1543" max="1543" width="13.125" style="3373" customWidth="1"/>
    <col min="1544" max="1544" width="13.25" style="3373" customWidth="1"/>
    <col min="1545" max="1545" width="11.875" style="3373" customWidth="1"/>
    <col min="1546" max="1546" width="13.125" style="3373" customWidth="1"/>
    <col min="1547" max="1547" width="12.5" style="3373" customWidth="1"/>
    <col min="1548" max="1793" width="9" style="3373"/>
    <col min="1794" max="1794" width="11.5" style="3373" customWidth="1"/>
    <col min="1795" max="1795" width="7.25" style="3373" customWidth="1"/>
    <col min="1796" max="1796" width="11" style="3373" customWidth="1"/>
    <col min="1797" max="1797" width="13.125" style="3373" customWidth="1"/>
    <col min="1798" max="1798" width="11.875" style="3373" customWidth="1"/>
    <col min="1799" max="1799" width="13.125" style="3373" customWidth="1"/>
    <col min="1800" max="1800" width="13.25" style="3373" customWidth="1"/>
    <col min="1801" max="1801" width="11.875" style="3373" customWidth="1"/>
    <col min="1802" max="1802" width="13.125" style="3373" customWidth="1"/>
    <col min="1803" max="1803" width="12.5" style="3373" customWidth="1"/>
    <col min="1804" max="2049" width="9" style="3373"/>
    <col min="2050" max="2050" width="11.5" style="3373" customWidth="1"/>
    <col min="2051" max="2051" width="7.25" style="3373" customWidth="1"/>
    <col min="2052" max="2052" width="11" style="3373" customWidth="1"/>
    <col min="2053" max="2053" width="13.125" style="3373" customWidth="1"/>
    <col min="2054" max="2054" width="11.875" style="3373" customWidth="1"/>
    <col min="2055" max="2055" width="13.125" style="3373" customWidth="1"/>
    <col min="2056" max="2056" width="13.25" style="3373" customWidth="1"/>
    <col min="2057" max="2057" width="11.875" style="3373" customWidth="1"/>
    <col min="2058" max="2058" width="13.125" style="3373" customWidth="1"/>
    <col min="2059" max="2059" width="12.5" style="3373" customWidth="1"/>
    <col min="2060" max="2305" width="9" style="3373"/>
    <col min="2306" max="2306" width="11.5" style="3373" customWidth="1"/>
    <col min="2307" max="2307" width="7.25" style="3373" customWidth="1"/>
    <col min="2308" max="2308" width="11" style="3373" customWidth="1"/>
    <col min="2309" max="2309" width="13.125" style="3373" customWidth="1"/>
    <col min="2310" max="2310" width="11.875" style="3373" customWidth="1"/>
    <col min="2311" max="2311" width="13.125" style="3373" customWidth="1"/>
    <col min="2312" max="2312" width="13.25" style="3373" customWidth="1"/>
    <col min="2313" max="2313" width="11.875" style="3373" customWidth="1"/>
    <col min="2314" max="2314" width="13.125" style="3373" customWidth="1"/>
    <col min="2315" max="2315" width="12.5" style="3373" customWidth="1"/>
    <col min="2316" max="2561" width="9" style="3373"/>
    <col min="2562" max="2562" width="11.5" style="3373" customWidth="1"/>
    <col min="2563" max="2563" width="7.25" style="3373" customWidth="1"/>
    <col min="2564" max="2564" width="11" style="3373" customWidth="1"/>
    <col min="2565" max="2565" width="13.125" style="3373" customWidth="1"/>
    <col min="2566" max="2566" width="11.875" style="3373" customWidth="1"/>
    <col min="2567" max="2567" width="13.125" style="3373" customWidth="1"/>
    <col min="2568" max="2568" width="13.25" style="3373" customWidth="1"/>
    <col min="2569" max="2569" width="11.875" style="3373" customWidth="1"/>
    <col min="2570" max="2570" width="13.125" style="3373" customWidth="1"/>
    <col min="2571" max="2571" width="12.5" style="3373" customWidth="1"/>
    <col min="2572" max="2817" width="9" style="3373"/>
    <col min="2818" max="2818" width="11.5" style="3373" customWidth="1"/>
    <col min="2819" max="2819" width="7.25" style="3373" customWidth="1"/>
    <col min="2820" max="2820" width="11" style="3373" customWidth="1"/>
    <col min="2821" max="2821" width="13.125" style="3373" customWidth="1"/>
    <col min="2822" max="2822" width="11.875" style="3373" customWidth="1"/>
    <col min="2823" max="2823" width="13.125" style="3373" customWidth="1"/>
    <col min="2824" max="2824" width="13.25" style="3373" customWidth="1"/>
    <col min="2825" max="2825" width="11.875" style="3373" customWidth="1"/>
    <col min="2826" max="2826" width="13.125" style="3373" customWidth="1"/>
    <col min="2827" max="2827" width="12.5" style="3373" customWidth="1"/>
    <col min="2828" max="3073" width="9" style="3373"/>
    <col min="3074" max="3074" width="11.5" style="3373" customWidth="1"/>
    <col min="3075" max="3075" width="7.25" style="3373" customWidth="1"/>
    <col min="3076" max="3076" width="11" style="3373" customWidth="1"/>
    <col min="3077" max="3077" width="13.125" style="3373" customWidth="1"/>
    <col min="3078" max="3078" width="11.875" style="3373" customWidth="1"/>
    <col min="3079" max="3079" width="13.125" style="3373" customWidth="1"/>
    <col min="3080" max="3080" width="13.25" style="3373" customWidth="1"/>
    <col min="3081" max="3081" width="11.875" style="3373" customWidth="1"/>
    <col min="3082" max="3082" width="13.125" style="3373" customWidth="1"/>
    <col min="3083" max="3083" width="12.5" style="3373" customWidth="1"/>
    <col min="3084" max="3329" width="9" style="3373"/>
    <col min="3330" max="3330" width="11.5" style="3373" customWidth="1"/>
    <col min="3331" max="3331" width="7.25" style="3373" customWidth="1"/>
    <col min="3332" max="3332" width="11" style="3373" customWidth="1"/>
    <col min="3333" max="3333" width="13.125" style="3373" customWidth="1"/>
    <col min="3334" max="3334" width="11.875" style="3373" customWidth="1"/>
    <col min="3335" max="3335" width="13.125" style="3373" customWidth="1"/>
    <col min="3336" max="3336" width="13.25" style="3373" customWidth="1"/>
    <col min="3337" max="3337" width="11.875" style="3373" customWidth="1"/>
    <col min="3338" max="3338" width="13.125" style="3373" customWidth="1"/>
    <col min="3339" max="3339" width="12.5" style="3373" customWidth="1"/>
    <col min="3340" max="3585" width="9" style="3373"/>
    <col min="3586" max="3586" width="11.5" style="3373" customWidth="1"/>
    <col min="3587" max="3587" width="7.25" style="3373" customWidth="1"/>
    <col min="3588" max="3588" width="11" style="3373" customWidth="1"/>
    <col min="3589" max="3589" width="13.125" style="3373" customWidth="1"/>
    <col min="3590" max="3590" width="11.875" style="3373" customWidth="1"/>
    <col min="3591" max="3591" width="13.125" style="3373" customWidth="1"/>
    <col min="3592" max="3592" width="13.25" style="3373" customWidth="1"/>
    <col min="3593" max="3593" width="11.875" style="3373" customWidth="1"/>
    <col min="3594" max="3594" width="13.125" style="3373" customWidth="1"/>
    <col min="3595" max="3595" width="12.5" style="3373" customWidth="1"/>
    <col min="3596" max="3841" width="9" style="3373"/>
    <col min="3842" max="3842" width="11.5" style="3373" customWidth="1"/>
    <col min="3843" max="3843" width="7.25" style="3373" customWidth="1"/>
    <col min="3844" max="3844" width="11" style="3373" customWidth="1"/>
    <col min="3845" max="3845" width="13.125" style="3373" customWidth="1"/>
    <col min="3846" max="3846" width="11.875" style="3373" customWidth="1"/>
    <col min="3847" max="3847" width="13.125" style="3373" customWidth="1"/>
    <col min="3848" max="3848" width="13.25" style="3373" customWidth="1"/>
    <col min="3849" max="3849" width="11.875" style="3373" customWidth="1"/>
    <col min="3850" max="3850" width="13.125" style="3373" customWidth="1"/>
    <col min="3851" max="3851" width="12.5" style="3373" customWidth="1"/>
    <col min="3852" max="4097" width="9" style="3373"/>
    <col min="4098" max="4098" width="11.5" style="3373" customWidth="1"/>
    <col min="4099" max="4099" width="7.25" style="3373" customWidth="1"/>
    <col min="4100" max="4100" width="11" style="3373" customWidth="1"/>
    <col min="4101" max="4101" width="13.125" style="3373" customWidth="1"/>
    <col min="4102" max="4102" width="11.875" style="3373" customWidth="1"/>
    <col min="4103" max="4103" width="13.125" style="3373" customWidth="1"/>
    <col min="4104" max="4104" width="13.25" style="3373" customWidth="1"/>
    <col min="4105" max="4105" width="11.875" style="3373" customWidth="1"/>
    <col min="4106" max="4106" width="13.125" style="3373" customWidth="1"/>
    <col min="4107" max="4107" width="12.5" style="3373" customWidth="1"/>
    <col min="4108" max="4353" width="9" style="3373"/>
    <col min="4354" max="4354" width="11.5" style="3373" customWidth="1"/>
    <col min="4355" max="4355" width="7.25" style="3373" customWidth="1"/>
    <col min="4356" max="4356" width="11" style="3373" customWidth="1"/>
    <col min="4357" max="4357" width="13.125" style="3373" customWidth="1"/>
    <col min="4358" max="4358" width="11.875" style="3373" customWidth="1"/>
    <col min="4359" max="4359" width="13.125" style="3373" customWidth="1"/>
    <col min="4360" max="4360" width="13.25" style="3373" customWidth="1"/>
    <col min="4361" max="4361" width="11.875" style="3373" customWidth="1"/>
    <col min="4362" max="4362" width="13.125" style="3373" customWidth="1"/>
    <col min="4363" max="4363" width="12.5" style="3373" customWidth="1"/>
    <col min="4364" max="4609" width="9" style="3373"/>
    <col min="4610" max="4610" width="11.5" style="3373" customWidth="1"/>
    <col min="4611" max="4611" width="7.25" style="3373" customWidth="1"/>
    <col min="4612" max="4612" width="11" style="3373" customWidth="1"/>
    <col min="4613" max="4613" width="13.125" style="3373" customWidth="1"/>
    <col min="4614" max="4614" width="11.875" style="3373" customWidth="1"/>
    <col min="4615" max="4615" width="13.125" style="3373" customWidth="1"/>
    <col min="4616" max="4616" width="13.25" style="3373" customWidth="1"/>
    <col min="4617" max="4617" width="11.875" style="3373" customWidth="1"/>
    <col min="4618" max="4618" width="13.125" style="3373" customWidth="1"/>
    <col min="4619" max="4619" width="12.5" style="3373" customWidth="1"/>
    <col min="4620" max="4865" width="9" style="3373"/>
    <col min="4866" max="4866" width="11.5" style="3373" customWidth="1"/>
    <col min="4867" max="4867" width="7.25" style="3373" customWidth="1"/>
    <col min="4868" max="4868" width="11" style="3373" customWidth="1"/>
    <col min="4869" max="4869" width="13.125" style="3373" customWidth="1"/>
    <col min="4870" max="4870" width="11.875" style="3373" customWidth="1"/>
    <col min="4871" max="4871" width="13.125" style="3373" customWidth="1"/>
    <col min="4872" max="4872" width="13.25" style="3373" customWidth="1"/>
    <col min="4873" max="4873" width="11.875" style="3373" customWidth="1"/>
    <col min="4874" max="4874" width="13.125" style="3373" customWidth="1"/>
    <col min="4875" max="4875" width="12.5" style="3373" customWidth="1"/>
    <col min="4876" max="5121" width="9" style="3373"/>
    <col min="5122" max="5122" width="11.5" style="3373" customWidth="1"/>
    <col min="5123" max="5123" width="7.25" style="3373" customWidth="1"/>
    <col min="5124" max="5124" width="11" style="3373" customWidth="1"/>
    <col min="5125" max="5125" width="13.125" style="3373" customWidth="1"/>
    <col min="5126" max="5126" width="11.875" style="3373" customWidth="1"/>
    <col min="5127" max="5127" width="13.125" style="3373" customWidth="1"/>
    <col min="5128" max="5128" width="13.25" style="3373" customWidth="1"/>
    <col min="5129" max="5129" width="11.875" style="3373" customWidth="1"/>
    <col min="5130" max="5130" width="13.125" style="3373" customWidth="1"/>
    <col min="5131" max="5131" width="12.5" style="3373" customWidth="1"/>
    <col min="5132" max="5377" width="9" style="3373"/>
    <col min="5378" max="5378" width="11.5" style="3373" customWidth="1"/>
    <col min="5379" max="5379" width="7.25" style="3373" customWidth="1"/>
    <col min="5380" max="5380" width="11" style="3373" customWidth="1"/>
    <col min="5381" max="5381" width="13.125" style="3373" customWidth="1"/>
    <col min="5382" max="5382" width="11.875" style="3373" customWidth="1"/>
    <col min="5383" max="5383" width="13.125" style="3373" customWidth="1"/>
    <col min="5384" max="5384" width="13.25" style="3373" customWidth="1"/>
    <col min="5385" max="5385" width="11.875" style="3373" customWidth="1"/>
    <col min="5386" max="5386" width="13.125" style="3373" customWidth="1"/>
    <col min="5387" max="5387" width="12.5" style="3373" customWidth="1"/>
    <col min="5388" max="5633" width="9" style="3373"/>
    <col min="5634" max="5634" width="11.5" style="3373" customWidth="1"/>
    <col min="5635" max="5635" width="7.25" style="3373" customWidth="1"/>
    <col min="5636" max="5636" width="11" style="3373" customWidth="1"/>
    <col min="5637" max="5637" width="13.125" style="3373" customWidth="1"/>
    <col min="5638" max="5638" width="11.875" style="3373" customWidth="1"/>
    <col min="5639" max="5639" width="13.125" style="3373" customWidth="1"/>
    <col min="5640" max="5640" width="13.25" style="3373" customWidth="1"/>
    <col min="5641" max="5641" width="11.875" style="3373" customWidth="1"/>
    <col min="5642" max="5642" width="13.125" style="3373" customWidth="1"/>
    <col min="5643" max="5643" width="12.5" style="3373" customWidth="1"/>
    <col min="5644" max="5889" width="9" style="3373"/>
    <col min="5890" max="5890" width="11.5" style="3373" customWidth="1"/>
    <col min="5891" max="5891" width="7.25" style="3373" customWidth="1"/>
    <col min="5892" max="5892" width="11" style="3373" customWidth="1"/>
    <col min="5893" max="5893" width="13.125" style="3373" customWidth="1"/>
    <col min="5894" max="5894" width="11.875" style="3373" customWidth="1"/>
    <col min="5895" max="5895" width="13.125" style="3373" customWidth="1"/>
    <col min="5896" max="5896" width="13.25" style="3373" customWidth="1"/>
    <col min="5897" max="5897" width="11.875" style="3373" customWidth="1"/>
    <col min="5898" max="5898" width="13.125" style="3373" customWidth="1"/>
    <col min="5899" max="5899" width="12.5" style="3373" customWidth="1"/>
    <col min="5900" max="6145" width="9" style="3373"/>
    <col min="6146" max="6146" width="11.5" style="3373" customWidth="1"/>
    <col min="6147" max="6147" width="7.25" style="3373" customWidth="1"/>
    <col min="6148" max="6148" width="11" style="3373" customWidth="1"/>
    <col min="6149" max="6149" width="13.125" style="3373" customWidth="1"/>
    <col min="6150" max="6150" width="11.875" style="3373" customWidth="1"/>
    <col min="6151" max="6151" width="13.125" style="3373" customWidth="1"/>
    <col min="6152" max="6152" width="13.25" style="3373" customWidth="1"/>
    <col min="6153" max="6153" width="11.875" style="3373" customWidth="1"/>
    <col min="6154" max="6154" width="13.125" style="3373" customWidth="1"/>
    <col min="6155" max="6155" width="12.5" style="3373" customWidth="1"/>
    <col min="6156" max="6401" width="9" style="3373"/>
    <col min="6402" max="6402" width="11.5" style="3373" customWidth="1"/>
    <col min="6403" max="6403" width="7.25" style="3373" customWidth="1"/>
    <col min="6404" max="6404" width="11" style="3373" customWidth="1"/>
    <col min="6405" max="6405" width="13.125" style="3373" customWidth="1"/>
    <col min="6406" max="6406" width="11.875" style="3373" customWidth="1"/>
    <col min="6407" max="6407" width="13.125" style="3373" customWidth="1"/>
    <col min="6408" max="6408" width="13.25" style="3373" customWidth="1"/>
    <col min="6409" max="6409" width="11.875" style="3373" customWidth="1"/>
    <col min="6410" max="6410" width="13.125" style="3373" customWidth="1"/>
    <col min="6411" max="6411" width="12.5" style="3373" customWidth="1"/>
    <col min="6412" max="6657" width="9" style="3373"/>
    <col min="6658" max="6658" width="11.5" style="3373" customWidth="1"/>
    <col min="6659" max="6659" width="7.25" style="3373" customWidth="1"/>
    <col min="6660" max="6660" width="11" style="3373" customWidth="1"/>
    <col min="6661" max="6661" width="13.125" style="3373" customWidth="1"/>
    <col min="6662" max="6662" width="11.875" style="3373" customWidth="1"/>
    <col min="6663" max="6663" width="13.125" style="3373" customWidth="1"/>
    <col min="6664" max="6664" width="13.25" style="3373" customWidth="1"/>
    <col min="6665" max="6665" width="11.875" style="3373" customWidth="1"/>
    <col min="6666" max="6666" width="13.125" style="3373" customWidth="1"/>
    <col min="6667" max="6667" width="12.5" style="3373" customWidth="1"/>
    <col min="6668" max="6913" width="9" style="3373"/>
    <col min="6914" max="6914" width="11.5" style="3373" customWidth="1"/>
    <col min="6915" max="6915" width="7.25" style="3373" customWidth="1"/>
    <col min="6916" max="6916" width="11" style="3373" customWidth="1"/>
    <col min="6917" max="6917" width="13.125" style="3373" customWidth="1"/>
    <col min="6918" max="6918" width="11.875" style="3373" customWidth="1"/>
    <col min="6919" max="6919" width="13.125" style="3373" customWidth="1"/>
    <col min="6920" max="6920" width="13.25" style="3373" customWidth="1"/>
    <col min="6921" max="6921" width="11.875" style="3373" customWidth="1"/>
    <col min="6922" max="6922" width="13.125" style="3373" customWidth="1"/>
    <col min="6923" max="6923" width="12.5" style="3373" customWidth="1"/>
    <col min="6924" max="7169" width="9" style="3373"/>
    <col min="7170" max="7170" width="11.5" style="3373" customWidth="1"/>
    <col min="7171" max="7171" width="7.25" style="3373" customWidth="1"/>
    <col min="7172" max="7172" width="11" style="3373" customWidth="1"/>
    <col min="7173" max="7173" width="13.125" style="3373" customWidth="1"/>
    <col min="7174" max="7174" width="11.875" style="3373" customWidth="1"/>
    <col min="7175" max="7175" width="13.125" style="3373" customWidth="1"/>
    <col min="7176" max="7176" width="13.25" style="3373" customWidth="1"/>
    <col min="7177" max="7177" width="11.875" style="3373" customWidth="1"/>
    <col min="7178" max="7178" width="13.125" style="3373" customWidth="1"/>
    <col min="7179" max="7179" width="12.5" style="3373" customWidth="1"/>
    <col min="7180" max="7425" width="9" style="3373"/>
    <col min="7426" max="7426" width="11.5" style="3373" customWidth="1"/>
    <col min="7427" max="7427" width="7.25" style="3373" customWidth="1"/>
    <col min="7428" max="7428" width="11" style="3373" customWidth="1"/>
    <col min="7429" max="7429" width="13.125" style="3373" customWidth="1"/>
    <col min="7430" max="7430" width="11.875" style="3373" customWidth="1"/>
    <col min="7431" max="7431" width="13.125" style="3373" customWidth="1"/>
    <col min="7432" max="7432" width="13.25" style="3373" customWidth="1"/>
    <col min="7433" max="7433" width="11.875" style="3373" customWidth="1"/>
    <col min="7434" max="7434" width="13.125" style="3373" customWidth="1"/>
    <col min="7435" max="7435" width="12.5" style="3373" customWidth="1"/>
    <col min="7436" max="7681" width="9" style="3373"/>
    <col min="7682" max="7682" width="11.5" style="3373" customWidth="1"/>
    <col min="7683" max="7683" width="7.25" style="3373" customWidth="1"/>
    <col min="7684" max="7684" width="11" style="3373" customWidth="1"/>
    <col min="7685" max="7685" width="13.125" style="3373" customWidth="1"/>
    <col min="7686" max="7686" width="11.875" style="3373" customWidth="1"/>
    <col min="7687" max="7687" width="13.125" style="3373" customWidth="1"/>
    <col min="7688" max="7688" width="13.25" style="3373" customWidth="1"/>
    <col min="7689" max="7689" width="11.875" style="3373" customWidth="1"/>
    <col min="7690" max="7690" width="13.125" style="3373" customWidth="1"/>
    <col min="7691" max="7691" width="12.5" style="3373" customWidth="1"/>
    <col min="7692" max="7937" width="9" style="3373"/>
    <col min="7938" max="7938" width="11.5" style="3373" customWidth="1"/>
    <col min="7939" max="7939" width="7.25" style="3373" customWidth="1"/>
    <col min="7940" max="7940" width="11" style="3373" customWidth="1"/>
    <col min="7941" max="7941" width="13.125" style="3373" customWidth="1"/>
    <col min="7942" max="7942" width="11.875" style="3373" customWidth="1"/>
    <col min="7943" max="7943" width="13.125" style="3373" customWidth="1"/>
    <col min="7944" max="7944" width="13.25" style="3373" customWidth="1"/>
    <col min="7945" max="7945" width="11.875" style="3373" customWidth="1"/>
    <col min="7946" max="7946" width="13.125" style="3373" customWidth="1"/>
    <col min="7947" max="7947" width="12.5" style="3373" customWidth="1"/>
    <col min="7948" max="8193" width="9" style="3373"/>
    <col min="8194" max="8194" width="11.5" style="3373" customWidth="1"/>
    <col min="8195" max="8195" width="7.25" style="3373" customWidth="1"/>
    <col min="8196" max="8196" width="11" style="3373" customWidth="1"/>
    <col min="8197" max="8197" width="13.125" style="3373" customWidth="1"/>
    <col min="8198" max="8198" width="11.875" style="3373" customWidth="1"/>
    <col min="8199" max="8199" width="13.125" style="3373" customWidth="1"/>
    <col min="8200" max="8200" width="13.25" style="3373" customWidth="1"/>
    <col min="8201" max="8201" width="11.875" style="3373" customWidth="1"/>
    <col min="8202" max="8202" width="13.125" style="3373" customWidth="1"/>
    <col min="8203" max="8203" width="12.5" style="3373" customWidth="1"/>
    <col min="8204" max="8449" width="9" style="3373"/>
    <col min="8450" max="8450" width="11.5" style="3373" customWidth="1"/>
    <col min="8451" max="8451" width="7.25" style="3373" customWidth="1"/>
    <col min="8452" max="8452" width="11" style="3373" customWidth="1"/>
    <col min="8453" max="8453" width="13.125" style="3373" customWidth="1"/>
    <col min="8454" max="8454" width="11.875" style="3373" customWidth="1"/>
    <col min="8455" max="8455" width="13.125" style="3373" customWidth="1"/>
    <col min="8456" max="8456" width="13.25" style="3373" customWidth="1"/>
    <col min="8457" max="8457" width="11.875" style="3373" customWidth="1"/>
    <col min="8458" max="8458" width="13.125" style="3373" customWidth="1"/>
    <col min="8459" max="8459" width="12.5" style="3373" customWidth="1"/>
    <col min="8460" max="8705" width="9" style="3373"/>
    <col min="8706" max="8706" width="11.5" style="3373" customWidth="1"/>
    <col min="8707" max="8707" width="7.25" style="3373" customWidth="1"/>
    <col min="8708" max="8708" width="11" style="3373" customWidth="1"/>
    <col min="8709" max="8709" width="13.125" style="3373" customWidth="1"/>
    <col min="8710" max="8710" width="11.875" style="3373" customWidth="1"/>
    <col min="8711" max="8711" width="13.125" style="3373" customWidth="1"/>
    <col min="8712" max="8712" width="13.25" style="3373" customWidth="1"/>
    <col min="8713" max="8713" width="11.875" style="3373" customWidth="1"/>
    <col min="8714" max="8714" width="13.125" style="3373" customWidth="1"/>
    <col min="8715" max="8715" width="12.5" style="3373" customWidth="1"/>
    <col min="8716" max="8961" width="9" style="3373"/>
    <col min="8962" max="8962" width="11.5" style="3373" customWidth="1"/>
    <col min="8963" max="8963" width="7.25" style="3373" customWidth="1"/>
    <col min="8964" max="8964" width="11" style="3373" customWidth="1"/>
    <col min="8965" max="8965" width="13.125" style="3373" customWidth="1"/>
    <col min="8966" max="8966" width="11.875" style="3373" customWidth="1"/>
    <col min="8967" max="8967" width="13.125" style="3373" customWidth="1"/>
    <col min="8968" max="8968" width="13.25" style="3373" customWidth="1"/>
    <col min="8969" max="8969" width="11.875" style="3373" customWidth="1"/>
    <col min="8970" max="8970" width="13.125" style="3373" customWidth="1"/>
    <col min="8971" max="8971" width="12.5" style="3373" customWidth="1"/>
    <col min="8972" max="9217" width="9" style="3373"/>
    <col min="9218" max="9218" width="11.5" style="3373" customWidth="1"/>
    <col min="9219" max="9219" width="7.25" style="3373" customWidth="1"/>
    <col min="9220" max="9220" width="11" style="3373" customWidth="1"/>
    <col min="9221" max="9221" width="13.125" style="3373" customWidth="1"/>
    <col min="9222" max="9222" width="11.875" style="3373" customWidth="1"/>
    <col min="9223" max="9223" width="13.125" style="3373" customWidth="1"/>
    <col min="9224" max="9224" width="13.25" style="3373" customWidth="1"/>
    <col min="9225" max="9225" width="11.875" style="3373" customWidth="1"/>
    <col min="9226" max="9226" width="13.125" style="3373" customWidth="1"/>
    <col min="9227" max="9227" width="12.5" style="3373" customWidth="1"/>
    <col min="9228" max="9473" width="9" style="3373"/>
    <col min="9474" max="9474" width="11.5" style="3373" customWidth="1"/>
    <col min="9475" max="9475" width="7.25" style="3373" customWidth="1"/>
    <col min="9476" max="9476" width="11" style="3373" customWidth="1"/>
    <col min="9477" max="9477" width="13.125" style="3373" customWidth="1"/>
    <col min="9478" max="9478" width="11.875" style="3373" customWidth="1"/>
    <col min="9479" max="9479" width="13.125" style="3373" customWidth="1"/>
    <col min="9480" max="9480" width="13.25" style="3373" customWidth="1"/>
    <col min="9481" max="9481" width="11.875" style="3373" customWidth="1"/>
    <col min="9482" max="9482" width="13.125" style="3373" customWidth="1"/>
    <col min="9483" max="9483" width="12.5" style="3373" customWidth="1"/>
    <col min="9484" max="9729" width="9" style="3373"/>
    <col min="9730" max="9730" width="11.5" style="3373" customWidth="1"/>
    <col min="9731" max="9731" width="7.25" style="3373" customWidth="1"/>
    <col min="9732" max="9732" width="11" style="3373" customWidth="1"/>
    <col min="9733" max="9733" width="13.125" style="3373" customWidth="1"/>
    <col min="9734" max="9734" width="11.875" style="3373" customWidth="1"/>
    <col min="9735" max="9735" width="13.125" style="3373" customWidth="1"/>
    <col min="9736" max="9736" width="13.25" style="3373" customWidth="1"/>
    <col min="9737" max="9737" width="11.875" style="3373" customWidth="1"/>
    <col min="9738" max="9738" width="13.125" style="3373" customWidth="1"/>
    <col min="9739" max="9739" width="12.5" style="3373" customWidth="1"/>
    <col min="9740" max="9985" width="9" style="3373"/>
    <col min="9986" max="9986" width="11.5" style="3373" customWidth="1"/>
    <col min="9987" max="9987" width="7.25" style="3373" customWidth="1"/>
    <col min="9988" max="9988" width="11" style="3373" customWidth="1"/>
    <col min="9989" max="9989" width="13.125" style="3373" customWidth="1"/>
    <col min="9990" max="9990" width="11.875" style="3373" customWidth="1"/>
    <col min="9991" max="9991" width="13.125" style="3373" customWidth="1"/>
    <col min="9992" max="9992" width="13.25" style="3373" customWidth="1"/>
    <col min="9993" max="9993" width="11.875" style="3373" customWidth="1"/>
    <col min="9994" max="9994" width="13.125" style="3373" customWidth="1"/>
    <col min="9995" max="9995" width="12.5" style="3373" customWidth="1"/>
    <col min="9996" max="10241" width="9" style="3373"/>
    <col min="10242" max="10242" width="11.5" style="3373" customWidth="1"/>
    <col min="10243" max="10243" width="7.25" style="3373" customWidth="1"/>
    <col min="10244" max="10244" width="11" style="3373" customWidth="1"/>
    <col min="10245" max="10245" width="13.125" style="3373" customWidth="1"/>
    <col min="10246" max="10246" width="11.875" style="3373" customWidth="1"/>
    <col min="10247" max="10247" width="13.125" style="3373" customWidth="1"/>
    <col min="10248" max="10248" width="13.25" style="3373" customWidth="1"/>
    <col min="10249" max="10249" width="11.875" style="3373" customWidth="1"/>
    <col min="10250" max="10250" width="13.125" style="3373" customWidth="1"/>
    <col min="10251" max="10251" width="12.5" style="3373" customWidth="1"/>
    <col min="10252" max="10497" width="9" style="3373"/>
    <col min="10498" max="10498" width="11.5" style="3373" customWidth="1"/>
    <col min="10499" max="10499" width="7.25" style="3373" customWidth="1"/>
    <col min="10500" max="10500" width="11" style="3373" customWidth="1"/>
    <col min="10501" max="10501" width="13.125" style="3373" customWidth="1"/>
    <col min="10502" max="10502" width="11.875" style="3373" customWidth="1"/>
    <col min="10503" max="10503" width="13.125" style="3373" customWidth="1"/>
    <col min="10504" max="10504" width="13.25" style="3373" customWidth="1"/>
    <col min="10505" max="10505" width="11.875" style="3373" customWidth="1"/>
    <col min="10506" max="10506" width="13.125" style="3373" customWidth="1"/>
    <col min="10507" max="10507" width="12.5" style="3373" customWidth="1"/>
    <col min="10508" max="10753" width="9" style="3373"/>
    <col min="10754" max="10754" width="11.5" style="3373" customWidth="1"/>
    <col min="10755" max="10755" width="7.25" style="3373" customWidth="1"/>
    <col min="10756" max="10756" width="11" style="3373" customWidth="1"/>
    <col min="10757" max="10757" width="13.125" style="3373" customWidth="1"/>
    <col min="10758" max="10758" width="11.875" style="3373" customWidth="1"/>
    <col min="10759" max="10759" width="13.125" style="3373" customWidth="1"/>
    <col min="10760" max="10760" width="13.25" style="3373" customWidth="1"/>
    <col min="10761" max="10761" width="11.875" style="3373" customWidth="1"/>
    <col min="10762" max="10762" width="13.125" style="3373" customWidth="1"/>
    <col min="10763" max="10763" width="12.5" style="3373" customWidth="1"/>
    <col min="10764" max="11009" width="9" style="3373"/>
    <col min="11010" max="11010" width="11.5" style="3373" customWidth="1"/>
    <col min="11011" max="11011" width="7.25" style="3373" customWidth="1"/>
    <col min="11012" max="11012" width="11" style="3373" customWidth="1"/>
    <col min="11013" max="11013" width="13.125" style="3373" customWidth="1"/>
    <col min="11014" max="11014" width="11.875" style="3373" customWidth="1"/>
    <col min="11015" max="11015" width="13.125" style="3373" customWidth="1"/>
    <col min="11016" max="11016" width="13.25" style="3373" customWidth="1"/>
    <col min="11017" max="11017" width="11.875" style="3373" customWidth="1"/>
    <col min="11018" max="11018" width="13.125" style="3373" customWidth="1"/>
    <col min="11019" max="11019" width="12.5" style="3373" customWidth="1"/>
    <col min="11020" max="11265" width="9" style="3373"/>
    <col min="11266" max="11266" width="11.5" style="3373" customWidth="1"/>
    <col min="11267" max="11267" width="7.25" style="3373" customWidth="1"/>
    <col min="11268" max="11268" width="11" style="3373" customWidth="1"/>
    <col min="11269" max="11269" width="13.125" style="3373" customWidth="1"/>
    <col min="11270" max="11270" width="11.875" style="3373" customWidth="1"/>
    <col min="11271" max="11271" width="13.125" style="3373" customWidth="1"/>
    <col min="11272" max="11272" width="13.25" style="3373" customWidth="1"/>
    <col min="11273" max="11273" width="11.875" style="3373" customWidth="1"/>
    <col min="11274" max="11274" width="13.125" style="3373" customWidth="1"/>
    <col min="11275" max="11275" width="12.5" style="3373" customWidth="1"/>
    <col min="11276" max="11521" width="9" style="3373"/>
    <col min="11522" max="11522" width="11.5" style="3373" customWidth="1"/>
    <col min="11523" max="11523" width="7.25" style="3373" customWidth="1"/>
    <col min="11524" max="11524" width="11" style="3373" customWidth="1"/>
    <col min="11525" max="11525" width="13.125" style="3373" customWidth="1"/>
    <col min="11526" max="11526" width="11.875" style="3373" customWidth="1"/>
    <col min="11527" max="11527" width="13.125" style="3373" customWidth="1"/>
    <col min="11528" max="11528" width="13.25" style="3373" customWidth="1"/>
    <col min="11529" max="11529" width="11.875" style="3373" customWidth="1"/>
    <col min="11530" max="11530" width="13.125" style="3373" customWidth="1"/>
    <col min="11531" max="11531" width="12.5" style="3373" customWidth="1"/>
    <col min="11532" max="11777" width="9" style="3373"/>
    <col min="11778" max="11778" width="11.5" style="3373" customWidth="1"/>
    <col min="11779" max="11779" width="7.25" style="3373" customWidth="1"/>
    <col min="11780" max="11780" width="11" style="3373" customWidth="1"/>
    <col min="11781" max="11781" width="13.125" style="3373" customWidth="1"/>
    <col min="11782" max="11782" width="11.875" style="3373" customWidth="1"/>
    <col min="11783" max="11783" width="13.125" style="3373" customWidth="1"/>
    <col min="11784" max="11784" width="13.25" style="3373" customWidth="1"/>
    <col min="11785" max="11785" width="11.875" style="3373" customWidth="1"/>
    <col min="11786" max="11786" width="13.125" style="3373" customWidth="1"/>
    <col min="11787" max="11787" width="12.5" style="3373" customWidth="1"/>
    <col min="11788" max="12033" width="9" style="3373"/>
    <col min="12034" max="12034" width="11.5" style="3373" customWidth="1"/>
    <col min="12035" max="12035" width="7.25" style="3373" customWidth="1"/>
    <col min="12036" max="12036" width="11" style="3373" customWidth="1"/>
    <col min="12037" max="12037" width="13.125" style="3373" customWidth="1"/>
    <col min="12038" max="12038" width="11.875" style="3373" customWidth="1"/>
    <col min="12039" max="12039" width="13.125" style="3373" customWidth="1"/>
    <col min="12040" max="12040" width="13.25" style="3373" customWidth="1"/>
    <col min="12041" max="12041" width="11.875" style="3373" customWidth="1"/>
    <col min="12042" max="12042" width="13.125" style="3373" customWidth="1"/>
    <col min="12043" max="12043" width="12.5" style="3373" customWidth="1"/>
    <col min="12044" max="12289" width="9" style="3373"/>
    <col min="12290" max="12290" width="11.5" style="3373" customWidth="1"/>
    <col min="12291" max="12291" width="7.25" style="3373" customWidth="1"/>
    <col min="12292" max="12292" width="11" style="3373" customWidth="1"/>
    <col min="12293" max="12293" width="13.125" style="3373" customWidth="1"/>
    <col min="12294" max="12294" width="11.875" style="3373" customWidth="1"/>
    <col min="12295" max="12295" width="13.125" style="3373" customWidth="1"/>
    <col min="12296" max="12296" width="13.25" style="3373" customWidth="1"/>
    <col min="12297" max="12297" width="11.875" style="3373" customWidth="1"/>
    <col min="12298" max="12298" width="13.125" style="3373" customWidth="1"/>
    <col min="12299" max="12299" width="12.5" style="3373" customWidth="1"/>
    <col min="12300" max="12545" width="9" style="3373"/>
    <col min="12546" max="12546" width="11.5" style="3373" customWidth="1"/>
    <col min="12547" max="12547" width="7.25" style="3373" customWidth="1"/>
    <col min="12548" max="12548" width="11" style="3373" customWidth="1"/>
    <col min="12549" max="12549" width="13.125" style="3373" customWidth="1"/>
    <col min="12550" max="12550" width="11.875" style="3373" customWidth="1"/>
    <col min="12551" max="12551" width="13.125" style="3373" customWidth="1"/>
    <col min="12552" max="12552" width="13.25" style="3373" customWidth="1"/>
    <col min="12553" max="12553" width="11.875" style="3373" customWidth="1"/>
    <col min="12554" max="12554" width="13.125" style="3373" customWidth="1"/>
    <col min="12555" max="12555" width="12.5" style="3373" customWidth="1"/>
    <col min="12556" max="12801" width="9" style="3373"/>
    <col min="12802" max="12802" width="11.5" style="3373" customWidth="1"/>
    <col min="12803" max="12803" width="7.25" style="3373" customWidth="1"/>
    <col min="12804" max="12804" width="11" style="3373" customWidth="1"/>
    <col min="12805" max="12805" width="13.125" style="3373" customWidth="1"/>
    <col min="12806" max="12806" width="11.875" style="3373" customWidth="1"/>
    <col min="12807" max="12807" width="13.125" style="3373" customWidth="1"/>
    <col min="12808" max="12808" width="13.25" style="3373" customWidth="1"/>
    <col min="12809" max="12809" width="11.875" style="3373" customWidth="1"/>
    <col min="12810" max="12810" width="13.125" style="3373" customWidth="1"/>
    <col min="12811" max="12811" width="12.5" style="3373" customWidth="1"/>
    <col min="12812" max="13057" width="9" style="3373"/>
    <col min="13058" max="13058" width="11.5" style="3373" customWidth="1"/>
    <col min="13059" max="13059" width="7.25" style="3373" customWidth="1"/>
    <col min="13060" max="13060" width="11" style="3373" customWidth="1"/>
    <col min="13061" max="13061" width="13.125" style="3373" customWidth="1"/>
    <col min="13062" max="13062" width="11.875" style="3373" customWidth="1"/>
    <col min="13063" max="13063" width="13.125" style="3373" customWidth="1"/>
    <col min="13064" max="13064" width="13.25" style="3373" customWidth="1"/>
    <col min="13065" max="13065" width="11.875" style="3373" customWidth="1"/>
    <col min="13066" max="13066" width="13.125" style="3373" customWidth="1"/>
    <col min="13067" max="13067" width="12.5" style="3373" customWidth="1"/>
    <col min="13068" max="13313" width="9" style="3373"/>
    <col min="13314" max="13314" width="11.5" style="3373" customWidth="1"/>
    <col min="13315" max="13315" width="7.25" style="3373" customWidth="1"/>
    <col min="13316" max="13316" width="11" style="3373" customWidth="1"/>
    <col min="13317" max="13317" width="13.125" style="3373" customWidth="1"/>
    <col min="13318" max="13318" width="11.875" style="3373" customWidth="1"/>
    <col min="13319" max="13319" width="13.125" style="3373" customWidth="1"/>
    <col min="13320" max="13320" width="13.25" style="3373" customWidth="1"/>
    <col min="13321" max="13321" width="11.875" style="3373" customWidth="1"/>
    <col min="13322" max="13322" width="13.125" style="3373" customWidth="1"/>
    <col min="13323" max="13323" width="12.5" style="3373" customWidth="1"/>
    <col min="13324" max="13569" width="9" style="3373"/>
    <col min="13570" max="13570" width="11.5" style="3373" customWidth="1"/>
    <col min="13571" max="13571" width="7.25" style="3373" customWidth="1"/>
    <col min="13572" max="13572" width="11" style="3373" customWidth="1"/>
    <col min="13573" max="13573" width="13.125" style="3373" customWidth="1"/>
    <col min="13574" max="13574" width="11.875" style="3373" customWidth="1"/>
    <col min="13575" max="13575" width="13.125" style="3373" customWidth="1"/>
    <col min="13576" max="13576" width="13.25" style="3373" customWidth="1"/>
    <col min="13577" max="13577" width="11.875" style="3373" customWidth="1"/>
    <col min="13578" max="13578" width="13.125" style="3373" customWidth="1"/>
    <col min="13579" max="13579" width="12.5" style="3373" customWidth="1"/>
    <col min="13580" max="13825" width="9" style="3373"/>
    <col min="13826" max="13826" width="11.5" style="3373" customWidth="1"/>
    <col min="13827" max="13827" width="7.25" style="3373" customWidth="1"/>
    <col min="13828" max="13828" width="11" style="3373" customWidth="1"/>
    <col min="13829" max="13829" width="13.125" style="3373" customWidth="1"/>
    <col min="13830" max="13830" width="11.875" style="3373" customWidth="1"/>
    <col min="13831" max="13831" width="13.125" style="3373" customWidth="1"/>
    <col min="13832" max="13832" width="13.25" style="3373" customWidth="1"/>
    <col min="13833" max="13833" width="11.875" style="3373" customWidth="1"/>
    <col min="13834" max="13834" width="13.125" style="3373" customWidth="1"/>
    <col min="13835" max="13835" width="12.5" style="3373" customWidth="1"/>
    <col min="13836" max="14081" width="9" style="3373"/>
    <col min="14082" max="14082" width="11.5" style="3373" customWidth="1"/>
    <col min="14083" max="14083" width="7.25" style="3373" customWidth="1"/>
    <col min="14084" max="14084" width="11" style="3373" customWidth="1"/>
    <col min="14085" max="14085" width="13.125" style="3373" customWidth="1"/>
    <col min="14086" max="14086" width="11.875" style="3373" customWidth="1"/>
    <col min="14087" max="14087" width="13.125" style="3373" customWidth="1"/>
    <col min="14088" max="14088" width="13.25" style="3373" customWidth="1"/>
    <col min="14089" max="14089" width="11.875" style="3373" customWidth="1"/>
    <col min="14090" max="14090" width="13.125" style="3373" customWidth="1"/>
    <col min="14091" max="14091" width="12.5" style="3373" customWidth="1"/>
    <col min="14092" max="14337" width="9" style="3373"/>
    <col min="14338" max="14338" width="11.5" style="3373" customWidth="1"/>
    <col min="14339" max="14339" width="7.25" style="3373" customWidth="1"/>
    <col min="14340" max="14340" width="11" style="3373" customWidth="1"/>
    <col min="14341" max="14341" width="13.125" style="3373" customWidth="1"/>
    <col min="14342" max="14342" width="11.875" style="3373" customWidth="1"/>
    <col min="14343" max="14343" width="13.125" style="3373" customWidth="1"/>
    <col min="14344" max="14344" width="13.25" style="3373" customWidth="1"/>
    <col min="14345" max="14345" width="11.875" style="3373" customWidth="1"/>
    <col min="14346" max="14346" width="13.125" style="3373" customWidth="1"/>
    <col min="14347" max="14347" width="12.5" style="3373" customWidth="1"/>
    <col min="14348" max="14593" width="9" style="3373"/>
    <col min="14594" max="14594" width="11.5" style="3373" customWidth="1"/>
    <col min="14595" max="14595" width="7.25" style="3373" customWidth="1"/>
    <col min="14596" max="14596" width="11" style="3373" customWidth="1"/>
    <col min="14597" max="14597" width="13.125" style="3373" customWidth="1"/>
    <col min="14598" max="14598" width="11.875" style="3373" customWidth="1"/>
    <col min="14599" max="14599" width="13.125" style="3373" customWidth="1"/>
    <col min="14600" max="14600" width="13.25" style="3373" customWidth="1"/>
    <col min="14601" max="14601" width="11.875" style="3373" customWidth="1"/>
    <col min="14602" max="14602" width="13.125" style="3373" customWidth="1"/>
    <col min="14603" max="14603" width="12.5" style="3373" customWidth="1"/>
    <col min="14604" max="14849" width="9" style="3373"/>
    <col min="14850" max="14850" width="11.5" style="3373" customWidth="1"/>
    <col min="14851" max="14851" width="7.25" style="3373" customWidth="1"/>
    <col min="14852" max="14852" width="11" style="3373" customWidth="1"/>
    <col min="14853" max="14853" width="13.125" style="3373" customWidth="1"/>
    <col min="14854" max="14854" width="11.875" style="3373" customWidth="1"/>
    <col min="14855" max="14855" width="13.125" style="3373" customWidth="1"/>
    <col min="14856" max="14856" width="13.25" style="3373" customWidth="1"/>
    <col min="14857" max="14857" width="11.875" style="3373" customWidth="1"/>
    <col min="14858" max="14858" width="13.125" style="3373" customWidth="1"/>
    <col min="14859" max="14859" width="12.5" style="3373" customWidth="1"/>
    <col min="14860" max="15105" width="9" style="3373"/>
    <col min="15106" max="15106" width="11.5" style="3373" customWidth="1"/>
    <col min="15107" max="15107" width="7.25" style="3373" customWidth="1"/>
    <col min="15108" max="15108" width="11" style="3373" customWidth="1"/>
    <col min="15109" max="15109" width="13.125" style="3373" customWidth="1"/>
    <col min="15110" max="15110" width="11.875" style="3373" customWidth="1"/>
    <col min="15111" max="15111" width="13.125" style="3373" customWidth="1"/>
    <col min="15112" max="15112" width="13.25" style="3373" customWidth="1"/>
    <col min="15113" max="15113" width="11.875" style="3373" customWidth="1"/>
    <col min="15114" max="15114" width="13.125" style="3373" customWidth="1"/>
    <col min="15115" max="15115" width="12.5" style="3373" customWidth="1"/>
    <col min="15116" max="15361" width="9" style="3373"/>
    <col min="15362" max="15362" width="11.5" style="3373" customWidth="1"/>
    <col min="15363" max="15363" width="7.25" style="3373" customWidth="1"/>
    <col min="15364" max="15364" width="11" style="3373" customWidth="1"/>
    <col min="15365" max="15365" width="13.125" style="3373" customWidth="1"/>
    <col min="15366" max="15366" width="11.875" style="3373" customWidth="1"/>
    <col min="15367" max="15367" width="13.125" style="3373" customWidth="1"/>
    <col min="15368" max="15368" width="13.25" style="3373" customWidth="1"/>
    <col min="15369" max="15369" width="11.875" style="3373" customWidth="1"/>
    <col min="15370" max="15370" width="13.125" style="3373" customWidth="1"/>
    <col min="15371" max="15371" width="12.5" style="3373" customWidth="1"/>
    <col min="15372" max="15617" width="9" style="3373"/>
    <col min="15618" max="15618" width="11.5" style="3373" customWidth="1"/>
    <col min="15619" max="15619" width="7.25" style="3373" customWidth="1"/>
    <col min="15620" max="15620" width="11" style="3373" customWidth="1"/>
    <col min="15621" max="15621" width="13.125" style="3373" customWidth="1"/>
    <col min="15622" max="15622" width="11.875" style="3373" customWidth="1"/>
    <col min="15623" max="15623" width="13.125" style="3373" customWidth="1"/>
    <col min="15624" max="15624" width="13.25" style="3373" customWidth="1"/>
    <col min="15625" max="15625" width="11.875" style="3373" customWidth="1"/>
    <col min="15626" max="15626" width="13.125" style="3373" customWidth="1"/>
    <col min="15627" max="15627" width="12.5" style="3373" customWidth="1"/>
    <col min="15628" max="15873" width="9" style="3373"/>
    <col min="15874" max="15874" width="11.5" style="3373" customWidth="1"/>
    <col min="15875" max="15875" width="7.25" style="3373" customWidth="1"/>
    <col min="15876" max="15876" width="11" style="3373" customWidth="1"/>
    <col min="15877" max="15877" width="13.125" style="3373" customWidth="1"/>
    <col min="15878" max="15878" width="11.875" style="3373" customWidth="1"/>
    <col min="15879" max="15879" width="13.125" style="3373" customWidth="1"/>
    <col min="15880" max="15880" width="13.25" style="3373" customWidth="1"/>
    <col min="15881" max="15881" width="11.875" style="3373" customWidth="1"/>
    <col min="15882" max="15882" width="13.125" style="3373" customWidth="1"/>
    <col min="15883" max="15883" width="12.5" style="3373" customWidth="1"/>
    <col min="15884" max="16129" width="9" style="3373"/>
    <col min="16130" max="16130" width="11.5" style="3373" customWidth="1"/>
    <col min="16131" max="16131" width="7.25" style="3373" customWidth="1"/>
    <col min="16132" max="16132" width="11" style="3373" customWidth="1"/>
    <col min="16133" max="16133" width="13.125" style="3373" customWidth="1"/>
    <col min="16134" max="16134" width="11.875" style="3373" customWidth="1"/>
    <col min="16135" max="16135" width="13.125" style="3373" customWidth="1"/>
    <col min="16136" max="16136" width="13.25" style="3373" customWidth="1"/>
    <col min="16137" max="16137" width="11.875" style="3373" customWidth="1"/>
    <col min="16138" max="16138" width="13.125" style="3373" customWidth="1"/>
    <col min="16139" max="16139" width="12.5" style="3373" customWidth="1"/>
    <col min="16140" max="16384" width="9" style="3373"/>
  </cols>
  <sheetData>
    <row r="1" spans="1:24" ht="22.5">
      <c r="A1" s="3920" t="s">
        <v>3337</v>
      </c>
      <c r="B1" s="3921"/>
      <c r="C1" s="3921"/>
      <c r="D1" s="3921"/>
      <c r="E1" s="3921"/>
      <c r="F1" s="3921"/>
      <c r="G1" s="3922"/>
      <c r="H1" s="3922"/>
      <c r="I1" s="3922"/>
      <c r="J1" s="3922"/>
    </row>
    <row r="2" spans="1:24">
      <c r="A2" s="3910"/>
      <c r="B2" s="3910" t="s">
        <v>3338</v>
      </c>
      <c r="C2" s="3923" t="s">
        <v>3339</v>
      </c>
      <c r="D2" s="3924"/>
      <c r="E2" s="3924"/>
      <c r="F2" s="3924"/>
      <c r="G2" s="3900" t="s">
        <v>3340</v>
      </c>
      <c r="H2" s="3900"/>
      <c r="I2" s="3900"/>
      <c r="J2" s="3900"/>
      <c r="K2" s="3899" t="s">
        <v>3785</v>
      </c>
      <c r="N2" s="3890" t="s">
        <v>3860</v>
      </c>
      <c r="O2" s="3891"/>
      <c r="P2" s="3891"/>
      <c r="Q2" s="3891"/>
      <c r="R2" s="3891"/>
      <c r="S2" s="3891"/>
      <c r="T2" s="3892"/>
      <c r="U2" s="3701"/>
    </row>
    <row r="3" spans="1:24">
      <c r="A3" s="3911"/>
      <c r="B3" s="3911"/>
      <c r="C3" s="3374" t="s">
        <v>3341</v>
      </c>
      <c r="D3" s="3375" t="s">
        <v>3342</v>
      </c>
      <c r="E3" s="3375" t="s">
        <v>3343</v>
      </c>
      <c r="F3" s="3375" t="s">
        <v>3344</v>
      </c>
      <c r="G3" s="3376" t="s">
        <v>3341</v>
      </c>
      <c r="H3" s="3375" t="s">
        <v>3342</v>
      </c>
      <c r="I3" s="3376" t="s">
        <v>3343</v>
      </c>
      <c r="J3" s="3375" t="s">
        <v>3784</v>
      </c>
      <c r="K3" s="3900"/>
      <c r="N3" s="3702" t="s">
        <v>3790</v>
      </c>
      <c r="O3" s="3702" t="s">
        <v>3820</v>
      </c>
      <c r="P3" s="3702" t="s">
        <v>3791</v>
      </c>
      <c r="Q3" s="3702" t="s">
        <v>3792</v>
      </c>
      <c r="R3" s="3702" t="s">
        <v>3793</v>
      </c>
      <c r="S3" s="3702" t="s">
        <v>3794</v>
      </c>
      <c r="T3" s="3702" t="s">
        <v>3795</v>
      </c>
      <c r="U3" s="3701" t="s">
        <v>3817</v>
      </c>
    </row>
    <row r="4" spans="1:24">
      <c r="A4" s="3910" t="s">
        <v>3345</v>
      </c>
      <c r="B4" s="3377" t="s">
        <v>3346</v>
      </c>
      <c r="C4" s="3374"/>
      <c r="D4" s="3378"/>
      <c r="E4" s="3375"/>
      <c r="F4" s="3375"/>
      <c r="G4" s="3376"/>
      <c r="H4" s="3387"/>
      <c r="I4" s="3376"/>
      <c r="J4" s="3375"/>
      <c r="K4" s="3375"/>
      <c r="N4" s="3888" t="s">
        <v>3804</v>
      </c>
      <c r="O4" s="3888" t="s">
        <v>3835</v>
      </c>
      <c r="P4" s="3903" t="s">
        <v>3796</v>
      </c>
      <c r="Q4" s="3703" t="s">
        <v>3797</v>
      </c>
      <c r="R4" s="3702">
        <v>4986.59</v>
      </c>
      <c r="S4" s="3702"/>
      <c r="T4" s="3702" t="s">
        <v>3800</v>
      </c>
      <c r="U4" s="3701"/>
    </row>
    <row r="5" spans="1:24">
      <c r="A5" s="3916"/>
      <c r="B5" s="3915" t="s">
        <v>3347</v>
      </c>
      <c r="C5" s="3379">
        <v>57.88</v>
      </c>
      <c r="D5" s="3917" t="s">
        <v>3348</v>
      </c>
      <c r="E5" s="3380" t="s">
        <v>3349</v>
      </c>
      <c r="F5" s="3375"/>
      <c r="G5" s="3919">
        <v>4264.3</v>
      </c>
      <c r="H5" s="3897" t="s">
        <v>3348</v>
      </c>
      <c r="I5" s="3898" t="s">
        <v>3350</v>
      </c>
      <c r="J5" s="3894" t="s">
        <v>3765</v>
      </c>
      <c r="K5" s="3894" t="s">
        <v>3351</v>
      </c>
      <c r="N5" s="3893"/>
      <c r="O5" s="3893"/>
      <c r="P5" s="3903"/>
      <c r="Q5" s="3703" t="s">
        <v>3798</v>
      </c>
      <c r="R5" s="3704">
        <v>457.87</v>
      </c>
      <c r="S5" s="3702"/>
      <c r="T5" s="3702" t="s">
        <v>3782</v>
      </c>
      <c r="U5" s="3701"/>
    </row>
    <row r="6" spans="1:24">
      <c r="A6" s="3916"/>
      <c r="B6" s="3896"/>
      <c r="C6" s="3379">
        <v>1079.7</v>
      </c>
      <c r="D6" s="3918"/>
      <c r="E6" s="3380" t="s">
        <v>3352</v>
      </c>
      <c r="F6" s="3375"/>
      <c r="G6" s="3919"/>
      <c r="H6" s="3897"/>
      <c r="I6" s="3898"/>
      <c r="J6" s="3894"/>
      <c r="K6" s="3894"/>
      <c r="N6" s="3893"/>
      <c r="O6" s="3893"/>
      <c r="P6" s="3903"/>
      <c r="Q6" s="3703" t="s">
        <v>3799</v>
      </c>
      <c r="R6" s="3704">
        <v>1091.23</v>
      </c>
      <c r="S6" s="3702"/>
      <c r="T6" s="3702" t="s">
        <v>3801</v>
      </c>
      <c r="U6" s="3701"/>
    </row>
    <row r="7" spans="1:24">
      <c r="A7" s="3916"/>
      <c r="B7" s="3375" t="s">
        <v>3353</v>
      </c>
      <c r="C7" s="3379">
        <v>523.66</v>
      </c>
      <c r="D7" s="3380" t="s">
        <v>3354</v>
      </c>
      <c r="E7" s="3380" t="s">
        <v>3355</v>
      </c>
      <c r="F7" s="3375"/>
      <c r="G7" s="3381">
        <v>457.87</v>
      </c>
      <c r="H7" s="3380" t="s">
        <v>3354</v>
      </c>
      <c r="I7" s="3394" t="s">
        <v>3356</v>
      </c>
      <c r="J7" s="3375" t="s">
        <v>3357</v>
      </c>
      <c r="K7" s="3375" t="s">
        <v>3783</v>
      </c>
      <c r="N7" s="3889"/>
      <c r="O7" s="3889"/>
      <c r="P7" s="3703" t="s">
        <v>3802</v>
      </c>
      <c r="Q7" s="3703" t="s">
        <v>3803</v>
      </c>
      <c r="R7" s="3704">
        <v>130.97999999999999</v>
      </c>
      <c r="S7" s="3702"/>
      <c r="T7" s="3702" t="s">
        <v>3801</v>
      </c>
      <c r="U7" s="3701"/>
    </row>
    <row r="8" spans="1:24" ht="36">
      <c r="A8" s="3911"/>
      <c r="B8" s="3382" t="s">
        <v>3358</v>
      </c>
      <c r="C8" s="3383">
        <f>SUM(C5:C7)</f>
        <v>1661.2400000000002</v>
      </c>
      <c r="D8" s="3384"/>
      <c r="E8" s="3382"/>
      <c r="F8" s="3382"/>
      <c r="G8" s="3385">
        <f>SUM(G5:G7)</f>
        <v>4722.17</v>
      </c>
      <c r="H8" s="3386"/>
      <c r="I8" s="3386"/>
      <c r="J8" s="3375"/>
      <c r="K8" s="3375"/>
      <c r="N8" s="3702" t="s">
        <v>3805</v>
      </c>
      <c r="O8" s="3702" t="s">
        <v>3876</v>
      </c>
      <c r="P8" s="3703" t="s">
        <v>3806</v>
      </c>
      <c r="Q8" s="3703" t="s">
        <v>3807</v>
      </c>
      <c r="R8" s="3704">
        <v>4449.57</v>
      </c>
      <c r="S8" s="3702"/>
      <c r="T8" s="3702" t="s">
        <v>3782</v>
      </c>
      <c r="U8" s="3701" t="s">
        <v>3877</v>
      </c>
    </row>
    <row r="9" spans="1:24" ht="36">
      <c r="A9" s="3910" t="s">
        <v>3359</v>
      </c>
      <c r="B9" s="3895" t="s">
        <v>3353</v>
      </c>
      <c r="C9" s="3379"/>
      <c r="D9" s="3387"/>
      <c r="E9" s="3388"/>
      <c r="F9" s="3375"/>
      <c r="G9" s="3381">
        <v>4986.59</v>
      </c>
      <c r="H9" s="3897" t="s">
        <v>3354</v>
      </c>
      <c r="I9" s="3394" t="s">
        <v>3360</v>
      </c>
      <c r="J9" s="3375" t="s">
        <v>3357</v>
      </c>
      <c r="K9" s="3375" t="s">
        <v>3787</v>
      </c>
      <c r="N9" s="3702" t="s">
        <v>3808</v>
      </c>
      <c r="O9" s="3702" t="s">
        <v>3879</v>
      </c>
      <c r="P9" s="3703" t="s">
        <v>3809</v>
      </c>
      <c r="Q9" s="3703" t="s">
        <v>3810</v>
      </c>
      <c r="R9" s="3704">
        <v>237.84</v>
      </c>
      <c r="S9" s="3702"/>
      <c r="T9" s="3702" t="s">
        <v>3878</v>
      </c>
      <c r="U9" s="3701" t="s">
        <v>3877</v>
      </c>
    </row>
    <row r="10" spans="1:24">
      <c r="A10" s="3916"/>
      <c r="B10" s="3896"/>
      <c r="C10" s="3379"/>
      <c r="D10" s="3387"/>
      <c r="E10" s="3388"/>
      <c r="F10" s="3375"/>
      <c r="G10" s="3381">
        <v>28.93</v>
      </c>
      <c r="H10" s="3897"/>
      <c r="I10" s="3394" t="s">
        <v>3788</v>
      </c>
      <c r="J10" s="3375" t="s">
        <v>3357</v>
      </c>
      <c r="K10" s="3375" t="s">
        <v>3786</v>
      </c>
      <c r="N10" s="3888" t="s">
        <v>3811</v>
      </c>
      <c r="O10" s="3888" t="s">
        <v>3880</v>
      </c>
      <c r="P10" s="3703" t="s">
        <v>3812</v>
      </c>
      <c r="Q10" s="3703" t="s">
        <v>3814</v>
      </c>
      <c r="R10" s="3704">
        <v>3059.79</v>
      </c>
      <c r="S10" s="3702"/>
      <c r="T10" s="3702" t="s">
        <v>3800</v>
      </c>
      <c r="U10" s="3701" t="s">
        <v>3818</v>
      </c>
    </row>
    <row r="11" spans="1:24">
      <c r="A11" s="3916"/>
      <c r="B11" s="3904">
        <v>1</v>
      </c>
      <c r="C11" s="3379"/>
      <c r="D11" s="3387"/>
      <c r="E11" s="3375"/>
      <c r="F11" s="3375"/>
      <c r="G11" s="3381">
        <v>3031.55</v>
      </c>
      <c r="H11" s="3897" t="s">
        <v>3361</v>
      </c>
      <c r="I11" s="3395" t="s">
        <v>3362</v>
      </c>
      <c r="J11" s="3375" t="s">
        <v>3357</v>
      </c>
      <c r="K11" s="3375" t="s">
        <v>3444</v>
      </c>
      <c r="N11" s="3889"/>
      <c r="O11" s="3889"/>
      <c r="P11" s="3703" t="s">
        <v>3813</v>
      </c>
      <c r="Q11" s="3703" t="s">
        <v>3815</v>
      </c>
      <c r="R11" s="3704">
        <v>965.19</v>
      </c>
      <c r="S11" s="3702"/>
      <c r="T11" s="3702" t="s">
        <v>3816</v>
      </c>
      <c r="U11" s="3701" t="s">
        <v>3818</v>
      </c>
    </row>
    <row r="12" spans="1:24" ht="24">
      <c r="A12" s="3916"/>
      <c r="B12" s="3905"/>
      <c r="C12" s="3379"/>
      <c r="D12" s="3387"/>
      <c r="E12" s="3375"/>
      <c r="F12" s="3375"/>
      <c r="G12" s="3381">
        <v>965.19</v>
      </c>
      <c r="H12" s="3897"/>
      <c r="I12" s="3395">
        <v>103</v>
      </c>
      <c r="J12" s="3375" t="s">
        <v>3357</v>
      </c>
      <c r="K12" s="3375" t="s">
        <v>3444</v>
      </c>
      <c r="N12" s="3702" t="s">
        <v>3819</v>
      </c>
      <c r="O12" s="3702" t="s">
        <v>3875</v>
      </c>
      <c r="P12" s="3703" t="s">
        <v>3821</v>
      </c>
      <c r="Q12" s="3703" t="s">
        <v>3822</v>
      </c>
      <c r="R12" s="3702">
        <v>5275.09</v>
      </c>
      <c r="S12" s="3702"/>
      <c r="T12" s="3702" t="s">
        <v>3800</v>
      </c>
      <c r="U12" s="3701" t="s">
        <v>3818</v>
      </c>
    </row>
    <row r="13" spans="1:24" ht="24">
      <c r="A13" s="3916"/>
      <c r="B13" s="3377">
        <v>2</v>
      </c>
      <c r="C13" s="3379"/>
      <c r="D13" s="3387"/>
      <c r="E13" s="3375"/>
      <c r="F13" s="3375"/>
      <c r="G13" s="3381">
        <v>5246.86</v>
      </c>
      <c r="H13" s="3380" t="s">
        <v>3363</v>
      </c>
      <c r="I13" s="3395" t="s">
        <v>3364</v>
      </c>
      <c r="J13" s="3375" t="s">
        <v>3357</v>
      </c>
      <c r="K13" s="3375" t="s">
        <v>3445</v>
      </c>
      <c r="N13" s="3702" t="s">
        <v>3823</v>
      </c>
      <c r="O13" s="3702" t="s">
        <v>3824</v>
      </c>
      <c r="P13" s="3703" t="s">
        <v>3825</v>
      </c>
      <c r="Q13" s="3703" t="s">
        <v>3826</v>
      </c>
      <c r="R13" s="3702">
        <v>5705.32</v>
      </c>
      <c r="S13" s="3702"/>
      <c r="T13" s="3702" t="s">
        <v>3800</v>
      </c>
      <c r="U13" s="3701" t="s">
        <v>3818</v>
      </c>
    </row>
    <row r="14" spans="1:24" ht="24">
      <c r="A14" s="3916"/>
      <c r="B14" s="3377">
        <v>3</v>
      </c>
      <c r="C14" s="3379"/>
      <c r="D14" s="3387"/>
      <c r="E14" s="3375"/>
      <c r="F14" s="3375"/>
      <c r="G14" s="3381">
        <v>5677.09</v>
      </c>
      <c r="H14" s="3380" t="s">
        <v>3365</v>
      </c>
      <c r="I14" s="3395" t="s">
        <v>3366</v>
      </c>
      <c r="J14" s="3375" t="s">
        <v>3357</v>
      </c>
      <c r="K14" s="3375" t="s">
        <v>3445</v>
      </c>
      <c r="N14" s="3702" t="s">
        <v>3827</v>
      </c>
      <c r="O14" s="3702" t="s">
        <v>3830</v>
      </c>
      <c r="P14" s="3703" t="s">
        <v>3828</v>
      </c>
      <c r="Q14" s="3703" t="s">
        <v>3829</v>
      </c>
      <c r="R14" s="3702">
        <v>5705.32</v>
      </c>
      <c r="S14" s="3702"/>
      <c r="T14" s="3702" t="s">
        <v>3800</v>
      </c>
      <c r="U14" s="3701" t="s">
        <v>3818</v>
      </c>
    </row>
    <row r="15" spans="1:24" ht="24" customHeight="1">
      <c r="A15" s="3916"/>
      <c r="B15" s="3377">
        <v>4</v>
      </c>
      <c r="C15" s="3379"/>
      <c r="D15" s="3387"/>
      <c r="E15" s="3375"/>
      <c r="F15" s="3375"/>
      <c r="G15" s="3381">
        <v>5677.09</v>
      </c>
      <c r="H15" s="3380" t="s">
        <v>3367</v>
      </c>
      <c r="I15" s="3395" t="s">
        <v>3368</v>
      </c>
      <c r="J15" s="3375" t="s">
        <v>3357</v>
      </c>
      <c r="K15" s="3375" t="s">
        <v>3445</v>
      </c>
      <c r="N15" s="3888" t="s">
        <v>3831</v>
      </c>
      <c r="O15" s="3888" t="s">
        <v>3835</v>
      </c>
      <c r="P15" s="3901" t="s">
        <v>3836</v>
      </c>
      <c r="Q15" s="3703" t="s">
        <v>3837</v>
      </c>
      <c r="R15" s="3702">
        <v>1073.06</v>
      </c>
      <c r="S15" s="3702"/>
      <c r="T15" s="3702" t="s">
        <v>3843</v>
      </c>
      <c r="U15" s="3701" t="s">
        <v>3840</v>
      </c>
      <c r="W15" s="3699" t="s">
        <v>3986</v>
      </c>
      <c r="X15" s="3699">
        <f>R17+R19+R21+R23+R25+R27+R29+R31+R15</f>
        <v>13650.39</v>
      </c>
    </row>
    <row r="16" spans="1:24">
      <c r="A16" s="3916"/>
      <c r="B16" s="3377"/>
      <c r="C16" s="3379"/>
      <c r="D16" s="3387"/>
      <c r="E16" s="3375"/>
      <c r="F16" s="3375"/>
      <c r="G16" s="3381"/>
      <c r="H16" s="3684"/>
      <c r="I16" s="3686"/>
      <c r="J16" s="3375"/>
      <c r="K16" s="3375"/>
      <c r="N16" s="3889"/>
      <c r="O16" s="3889"/>
      <c r="P16" s="3902"/>
      <c r="Q16" s="3703" t="s">
        <v>3838</v>
      </c>
      <c r="R16" s="3702">
        <v>1688.99</v>
      </c>
      <c r="S16" s="3702"/>
      <c r="T16" s="3702" t="s">
        <v>3844</v>
      </c>
      <c r="U16" s="3701" t="s">
        <v>3840</v>
      </c>
      <c r="W16" s="3699" t="s">
        <v>3987</v>
      </c>
      <c r="X16" s="3699">
        <f>R16+R18+R20+R22+R24+R26+R28+R30+R32</f>
        <v>15421.440000000002</v>
      </c>
    </row>
    <row r="17" spans="1:24">
      <c r="A17" s="3916"/>
      <c r="B17" s="3377"/>
      <c r="C17" s="3379"/>
      <c r="D17" s="3387"/>
      <c r="E17" s="3375"/>
      <c r="F17" s="3375"/>
      <c r="G17" s="3381"/>
      <c r="H17" s="3684"/>
      <c r="I17" s="3686"/>
      <c r="J17" s="3375"/>
      <c r="K17" s="3375"/>
      <c r="N17" s="3884" t="s">
        <v>3832</v>
      </c>
      <c r="O17" s="3888" t="s">
        <v>3835</v>
      </c>
      <c r="P17" s="3886" t="s">
        <v>3845</v>
      </c>
      <c r="Q17" s="3703" t="s">
        <v>3841</v>
      </c>
      <c r="R17" s="3702">
        <v>1073.06</v>
      </c>
      <c r="S17" s="3702"/>
      <c r="T17" s="3702" t="s">
        <v>3839</v>
      </c>
      <c r="U17" s="3701" t="s">
        <v>3840</v>
      </c>
      <c r="W17" s="3699" t="s">
        <v>3988</v>
      </c>
      <c r="X17" s="3699">
        <f>X16+X15</f>
        <v>29071.83</v>
      </c>
    </row>
    <row r="18" spans="1:24">
      <c r="A18" s="3911"/>
      <c r="B18" s="3382" t="s">
        <v>3358</v>
      </c>
      <c r="C18" s="3383"/>
      <c r="D18" s="3384"/>
      <c r="E18" s="3382"/>
      <c r="F18" s="3382"/>
      <c r="G18" s="3385">
        <f>SUM(G9:G15)</f>
        <v>25613.3</v>
      </c>
      <c r="H18" s="3384"/>
      <c r="I18" s="3382"/>
      <c r="J18" s="3375"/>
      <c r="K18" s="3375"/>
      <c r="N18" s="3885"/>
      <c r="O18" s="3889"/>
      <c r="P18" s="3887"/>
      <c r="Q18" s="3703" t="s">
        <v>3842</v>
      </c>
      <c r="R18" s="3702">
        <v>1688.99</v>
      </c>
      <c r="S18" s="3702"/>
      <c r="T18" s="3702" t="s">
        <v>3844</v>
      </c>
      <c r="U18" s="3701" t="s">
        <v>3840</v>
      </c>
    </row>
    <row r="19" spans="1:24">
      <c r="A19" s="3685"/>
      <c r="B19" s="3382"/>
      <c r="C19" s="3383"/>
      <c r="D19" s="3384"/>
      <c r="E19" s="3382"/>
      <c r="F19" s="3382"/>
      <c r="G19" s="3385"/>
      <c r="H19" s="3384"/>
      <c r="I19" s="3382"/>
      <c r="J19" s="3375"/>
      <c r="K19" s="3375"/>
      <c r="N19" s="3884" t="s">
        <v>3846</v>
      </c>
      <c r="O19" s="3884" t="s">
        <v>3847</v>
      </c>
      <c r="P19" s="3886" t="s">
        <v>3848</v>
      </c>
      <c r="Q19" s="3703" t="s">
        <v>3849</v>
      </c>
      <c r="R19" s="3702">
        <v>1073.06</v>
      </c>
      <c r="S19" s="3702"/>
      <c r="T19" s="3702" t="s">
        <v>3839</v>
      </c>
      <c r="U19" s="3701" t="s">
        <v>3840</v>
      </c>
    </row>
    <row r="20" spans="1:24">
      <c r="A20" s="3910" t="s">
        <v>3369</v>
      </c>
      <c r="B20" s="3377">
        <v>1</v>
      </c>
      <c r="C20" s="3379"/>
      <c r="D20" s="3387"/>
      <c r="E20" s="3375"/>
      <c r="F20" s="3375"/>
      <c r="G20" s="3381"/>
      <c r="H20" s="3387"/>
      <c r="I20" s="3395"/>
      <c r="J20" s="3375"/>
      <c r="K20" s="3375"/>
      <c r="N20" s="3885"/>
      <c r="O20" s="3885"/>
      <c r="P20" s="3887"/>
      <c r="Q20" s="3703" t="s">
        <v>3850</v>
      </c>
      <c r="R20" s="3702">
        <v>1688.99</v>
      </c>
      <c r="S20" s="3702"/>
      <c r="T20" s="3702" t="s">
        <v>3844</v>
      </c>
      <c r="U20" s="3701" t="s">
        <v>3840</v>
      </c>
    </row>
    <row r="21" spans="1:24">
      <c r="A21" s="3916"/>
      <c r="B21" s="3377"/>
      <c r="C21" s="3379"/>
      <c r="D21" s="3387"/>
      <c r="E21" s="3375"/>
      <c r="F21" s="3375"/>
      <c r="G21" s="3381"/>
      <c r="H21" s="3387"/>
      <c r="I21" s="3686"/>
      <c r="J21" s="3375"/>
      <c r="K21" s="3375"/>
      <c r="N21" s="3884" t="s">
        <v>3851</v>
      </c>
      <c r="O21" s="3884" t="s">
        <v>3847</v>
      </c>
      <c r="P21" s="3886" t="s">
        <v>3852</v>
      </c>
      <c r="Q21" s="3703" t="s">
        <v>3853</v>
      </c>
      <c r="R21" s="3702">
        <v>1073.06</v>
      </c>
      <c r="S21" s="3702"/>
      <c r="T21" s="3702" t="s">
        <v>3839</v>
      </c>
      <c r="U21" s="3701" t="s">
        <v>3840</v>
      </c>
    </row>
    <row r="22" spans="1:24">
      <c r="A22" s="3916"/>
      <c r="B22" s="3377">
        <v>6</v>
      </c>
      <c r="C22" s="3379"/>
      <c r="D22" s="3380"/>
      <c r="E22" s="3375"/>
      <c r="F22" s="3375"/>
      <c r="G22" s="3381">
        <v>955.06</v>
      </c>
      <c r="H22" s="3380" t="s">
        <v>3370</v>
      </c>
      <c r="I22" s="3395" t="s">
        <v>3371</v>
      </c>
      <c r="J22" s="3375" t="s">
        <v>3372</v>
      </c>
      <c r="K22" s="3375" t="s">
        <v>3446</v>
      </c>
      <c r="N22" s="3885"/>
      <c r="O22" s="3885"/>
      <c r="P22" s="3887"/>
      <c r="Q22" s="3703" t="s">
        <v>3854</v>
      </c>
      <c r="R22" s="3702">
        <v>1688.99</v>
      </c>
      <c r="S22" s="3702"/>
      <c r="T22" s="3702" t="s">
        <v>3844</v>
      </c>
      <c r="U22" s="3701" t="s">
        <v>3840</v>
      </c>
    </row>
    <row r="23" spans="1:24">
      <c r="A23" s="3916"/>
      <c r="B23" s="3377"/>
      <c r="C23" s="3379"/>
      <c r="D23" s="3684"/>
      <c r="E23" s="3375"/>
      <c r="F23" s="3375"/>
      <c r="G23" s="3381"/>
      <c r="H23" s="3684"/>
      <c r="I23" s="3686"/>
      <c r="J23" s="3375"/>
      <c r="K23" s="3375"/>
      <c r="N23" s="3884" t="s">
        <v>3855</v>
      </c>
      <c r="O23" s="3884" t="s">
        <v>3847</v>
      </c>
      <c r="P23" s="3886" t="s">
        <v>3856</v>
      </c>
      <c r="Q23" s="3703" t="s">
        <v>3857</v>
      </c>
      <c r="R23" s="3702">
        <v>1043.22</v>
      </c>
      <c r="S23" s="3702"/>
      <c r="T23" s="3702" t="s">
        <v>3839</v>
      </c>
      <c r="U23" s="3701" t="s">
        <v>3840</v>
      </c>
    </row>
    <row r="24" spans="1:24">
      <c r="A24" s="3916"/>
      <c r="B24" s="3377">
        <v>7</v>
      </c>
      <c r="C24" s="3379">
        <v>77.14</v>
      </c>
      <c r="D24" s="3380" t="s">
        <v>3373</v>
      </c>
      <c r="E24" s="3388" t="s">
        <v>3374</v>
      </c>
      <c r="F24" s="3375" t="s">
        <v>3375</v>
      </c>
      <c r="G24" s="3381">
        <v>1073.06</v>
      </c>
      <c r="H24" s="3380" t="s">
        <v>3373</v>
      </c>
      <c r="I24" s="3395">
        <v>702</v>
      </c>
      <c r="J24" s="3375" t="s">
        <v>3376</v>
      </c>
      <c r="K24" s="3375" t="s">
        <v>3446</v>
      </c>
      <c r="N24" s="3885"/>
      <c r="O24" s="3885"/>
      <c r="P24" s="3887"/>
      <c r="Q24" s="3703" t="s">
        <v>3858</v>
      </c>
      <c r="R24" s="3702">
        <v>1688.99</v>
      </c>
      <c r="S24" s="3702"/>
      <c r="T24" s="3702" t="s">
        <v>3844</v>
      </c>
      <c r="U24" s="3701" t="s">
        <v>3840</v>
      </c>
    </row>
    <row r="25" spans="1:24">
      <c r="A25" s="3916"/>
      <c r="B25" s="3377"/>
      <c r="C25" s="3379"/>
      <c r="D25" s="3684"/>
      <c r="E25" s="3681"/>
      <c r="F25" s="3375"/>
      <c r="G25" s="3381"/>
      <c r="H25" s="3684"/>
      <c r="I25" s="3686"/>
      <c r="J25" s="3375"/>
      <c r="K25" s="3375"/>
      <c r="N25" s="3884" t="s">
        <v>3859</v>
      </c>
      <c r="O25" s="3884" t="s">
        <v>3835</v>
      </c>
      <c r="P25" s="3886" t="s">
        <v>3861</v>
      </c>
      <c r="Q25" s="3703" t="s">
        <v>3862</v>
      </c>
      <c r="R25" s="3702">
        <v>1021.2</v>
      </c>
      <c r="S25" s="3702"/>
      <c r="T25" s="3702" t="s">
        <v>3839</v>
      </c>
      <c r="U25" s="3701" t="s">
        <v>3840</v>
      </c>
    </row>
    <row r="26" spans="1:24">
      <c r="A26" s="3916"/>
      <c r="B26" s="3377">
        <v>8</v>
      </c>
      <c r="C26" s="3379">
        <v>77.14</v>
      </c>
      <c r="D26" s="3380" t="s">
        <v>3377</v>
      </c>
      <c r="E26" s="3388" t="s">
        <v>3378</v>
      </c>
      <c r="F26" s="3375" t="s">
        <v>3375</v>
      </c>
      <c r="G26" s="3381">
        <v>1073.06</v>
      </c>
      <c r="H26" s="3380" t="s">
        <v>3377</v>
      </c>
      <c r="I26" s="3395">
        <v>802</v>
      </c>
      <c r="J26" s="3375" t="s">
        <v>3376</v>
      </c>
      <c r="K26" s="3375" t="s">
        <v>3446</v>
      </c>
      <c r="N26" s="3885"/>
      <c r="O26" s="3885"/>
      <c r="P26" s="3887"/>
      <c r="Q26" s="3703" t="s">
        <v>3863</v>
      </c>
      <c r="R26" s="3702">
        <v>1688.99</v>
      </c>
      <c r="S26" s="3702"/>
      <c r="T26" s="3702" t="s">
        <v>3844</v>
      </c>
      <c r="U26" s="3701" t="s">
        <v>3840</v>
      </c>
    </row>
    <row r="27" spans="1:24">
      <c r="A27" s="3916"/>
      <c r="B27" s="3377"/>
      <c r="C27" s="3379"/>
      <c r="D27" s="3684"/>
      <c r="E27" s="3681"/>
      <c r="F27" s="3375"/>
      <c r="G27" s="3381"/>
      <c r="H27" s="3684"/>
      <c r="I27" s="3686"/>
      <c r="J27" s="3375"/>
      <c r="K27" s="3375"/>
      <c r="N27" s="3884" t="s">
        <v>3833</v>
      </c>
      <c r="O27" s="3884" t="s">
        <v>3835</v>
      </c>
      <c r="P27" s="3886" t="s">
        <v>3864</v>
      </c>
      <c r="Q27" s="3703" t="s">
        <v>3866</v>
      </c>
      <c r="R27" s="3704">
        <v>2457.79</v>
      </c>
      <c r="S27" s="3702"/>
      <c r="T27" s="3702" t="s">
        <v>3839</v>
      </c>
      <c r="U27" s="3701" t="s">
        <v>3840</v>
      </c>
    </row>
    <row r="28" spans="1:24">
      <c r="A28" s="3916"/>
      <c r="B28" s="3377">
        <v>9</v>
      </c>
      <c r="C28" s="3379">
        <v>77.14</v>
      </c>
      <c r="D28" s="3380" t="s">
        <v>3379</v>
      </c>
      <c r="E28" s="3388" t="s">
        <v>3380</v>
      </c>
      <c r="F28" s="3375" t="s">
        <v>3375</v>
      </c>
      <c r="G28" s="3381">
        <v>1073.06</v>
      </c>
      <c r="H28" s="3380" t="s">
        <v>3379</v>
      </c>
      <c r="I28" s="3395">
        <v>902</v>
      </c>
      <c r="J28" s="3375" t="s">
        <v>3376</v>
      </c>
      <c r="K28" s="3375" t="s">
        <v>3446</v>
      </c>
      <c r="N28" s="3885"/>
      <c r="O28" s="3885"/>
      <c r="P28" s="3887"/>
      <c r="Q28" s="3703" t="s">
        <v>3865</v>
      </c>
      <c r="R28" s="3704">
        <v>1791.94</v>
      </c>
      <c r="S28" s="3702"/>
      <c r="T28" s="3702" t="s">
        <v>3844</v>
      </c>
      <c r="U28" s="3701" t="s">
        <v>3840</v>
      </c>
    </row>
    <row r="29" spans="1:24">
      <c r="A29" s="3916"/>
      <c r="B29" s="3377"/>
      <c r="C29" s="3379"/>
      <c r="D29" s="3684"/>
      <c r="E29" s="3681"/>
      <c r="F29" s="3375"/>
      <c r="G29" s="3381"/>
      <c r="H29" s="3684"/>
      <c r="I29" s="3686"/>
      <c r="J29" s="3375"/>
      <c r="K29" s="3375"/>
      <c r="N29" s="3884" t="s">
        <v>3834</v>
      </c>
      <c r="O29" s="3884" t="s">
        <v>3835</v>
      </c>
      <c r="P29" s="3886" t="s">
        <v>3867</v>
      </c>
      <c r="Q29" s="3703" t="s">
        <v>3868</v>
      </c>
      <c r="R29" s="3704">
        <v>2457.79</v>
      </c>
      <c r="S29" s="3702"/>
      <c r="T29" s="3702" t="s">
        <v>3839</v>
      </c>
      <c r="U29" s="3701" t="s">
        <v>3840</v>
      </c>
    </row>
    <row r="30" spans="1:24">
      <c r="A30" s="3916"/>
      <c r="B30" s="3377">
        <v>10</v>
      </c>
      <c r="C30" s="3379">
        <v>77.14</v>
      </c>
      <c r="D30" s="3380" t="s">
        <v>3381</v>
      </c>
      <c r="E30" s="3388" t="s">
        <v>3382</v>
      </c>
      <c r="F30" s="3375" t="s">
        <v>3375</v>
      </c>
      <c r="G30" s="3381">
        <v>1043.22</v>
      </c>
      <c r="H30" s="3380" t="s">
        <v>3381</v>
      </c>
      <c r="I30" s="3395">
        <v>1002</v>
      </c>
      <c r="J30" s="3375" t="s">
        <v>3376</v>
      </c>
      <c r="K30" s="3375" t="s">
        <v>3446</v>
      </c>
      <c r="N30" s="3885"/>
      <c r="O30" s="3885"/>
      <c r="P30" s="3887"/>
      <c r="Q30" s="3703" t="s">
        <v>3869</v>
      </c>
      <c r="R30" s="3704">
        <v>1791.94</v>
      </c>
      <c r="S30" s="3702"/>
      <c r="T30" s="3702" t="s">
        <v>3844</v>
      </c>
      <c r="U30" s="3701" t="s">
        <v>3840</v>
      </c>
    </row>
    <row r="31" spans="1:24" ht="24" customHeight="1">
      <c r="A31" s="3916"/>
      <c r="B31" s="3377">
        <v>11</v>
      </c>
      <c r="C31" s="3379">
        <v>77.14</v>
      </c>
      <c r="D31" s="3380" t="s">
        <v>3383</v>
      </c>
      <c r="E31" s="3388" t="s">
        <v>3384</v>
      </c>
      <c r="F31" s="3375" t="s">
        <v>3375</v>
      </c>
      <c r="G31" s="3381">
        <v>1021.2</v>
      </c>
      <c r="H31" s="3380" t="s">
        <v>3383</v>
      </c>
      <c r="I31" s="3395">
        <v>1102</v>
      </c>
      <c r="J31" s="3375" t="s">
        <v>3376</v>
      </c>
      <c r="K31" s="3375" t="s">
        <v>3446</v>
      </c>
      <c r="N31" s="3884" t="s">
        <v>3870</v>
      </c>
      <c r="O31" s="3884" t="s">
        <v>3835</v>
      </c>
      <c r="P31" s="3886" t="s">
        <v>3871</v>
      </c>
      <c r="Q31" s="3746" t="s">
        <v>3872</v>
      </c>
      <c r="R31" s="3704">
        <v>2378.15</v>
      </c>
      <c r="S31" s="3702"/>
      <c r="T31" s="3702" t="s">
        <v>3839</v>
      </c>
      <c r="U31" s="3701" t="s">
        <v>3840</v>
      </c>
    </row>
    <row r="32" spans="1:24">
      <c r="A32" s="3916"/>
      <c r="B32" s="3377">
        <v>12</v>
      </c>
      <c r="C32" s="3379"/>
      <c r="D32" s="3380"/>
      <c r="E32" s="3375"/>
      <c r="F32" s="3375"/>
      <c r="G32" s="3381">
        <v>2248.3200000000002</v>
      </c>
      <c r="H32" s="3380" t="s">
        <v>3385</v>
      </c>
      <c r="I32" s="3395" t="s">
        <v>3386</v>
      </c>
      <c r="J32" s="3375" t="s">
        <v>3376</v>
      </c>
      <c r="K32" s="3375" t="s">
        <v>3446</v>
      </c>
      <c r="N32" s="3885"/>
      <c r="O32" s="3885"/>
      <c r="P32" s="3887"/>
      <c r="Q32" s="3703" t="s">
        <v>3873</v>
      </c>
      <c r="R32" s="3704">
        <v>1703.62</v>
      </c>
      <c r="S32" s="3702"/>
      <c r="T32" s="3702" t="s">
        <v>3844</v>
      </c>
      <c r="U32" s="3701" t="s">
        <v>3840</v>
      </c>
    </row>
    <row r="33" spans="1:21">
      <c r="A33" s="3916"/>
      <c r="B33" s="3377">
        <v>13</v>
      </c>
      <c r="C33" s="3379"/>
      <c r="D33" s="3380"/>
      <c r="E33" s="3375"/>
      <c r="F33" s="3375"/>
      <c r="G33" s="3381">
        <v>2248.3200000000002</v>
      </c>
      <c r="H33" s="3380" t="s">
        <v>3387</v>
      </c>
      <c r="I33" s="3395" t="s">
        <v>3388</v>
      </c>
      <c r="J33" s="3375" t="s">
        <v>3376</v>
      </c>
      <c r="K33" s="3375" t="s">
        <v>3446</v>
      </c>
      <c r="N33" s="3702" t="s">
        <v>3874</v>
      </c>
      <c r="O33" s="3702"/>
      <c r="P33" s="3703"/>
      <c r="Q33" s="3703"/>
      <c r="R33" s="3702">
        <f>SUM(R4:R32)</f>
        <v>61136.619999999988</v>
      </c>
      <c r="S33" s="3702"/>
      <c r="T33" s="3702"/>
      <c r="U33" s="3701"/>
    </row>
    <row r="34" spans="1:21">
      <c r="A34" s="3916"/>
      <c r="B34" s="3377">
        <v>14</v>
      </c>
      <c r="C34" s="3379"/>
      <c r="D34" s="3380"/>
      <c r="E34" s="3375"/>
      <c r="F34" s="3375"/>
      <c r="G34" s="3381">
        <v>2240.09</v>
      </c>
      <c r="H34" s="3380" t="s">
        <v>3389</v>
      </c>
      <c r="I34" s="3395" t="s">
        <v>3390</v>
      </c>
      <c r="J34" s="3375" t="s">
        <v>3376</v>
      </c>
      <c r="K34" s="3375" t="s">
        <v>3446</v>
      </c>
      <c r="P34" s="3700"/>
      <c r="Q34" s="3700"/>
    </row>
    <row r="35" spans="1:21">
      <c r="A35" s="3911"/>
      <c r="B35" s="3382" t="s">
        <v>3358</v>
      </c>
      <c r="C35" s="3383">
        <f>SUM(C24:C34)</f>
        <v>385.7</v>
      </c>
      <c r="D35" s="3384"/>
      <c r="E35" s="3389"/>
      <c r="F35" s="3382"/>
      <c r="G35" s="3385">
        <f>SUM(G22:G34)</f>
        <v>12975.39</v>
      </c>
      <c r="H35" s="3384"/>
      <c r="I35" s="3389"/>
      <c r="J35" s="3375"/>
      <c r="K35" s="3375"/>
      <c r="P35" s="3700"/>
      <c r="Q35" s="3700"/>
      <c r="R35" s="3707" t="s">
        <v>3887</v>
      </c>
      <c r="S35" s="3699" t="s">
        <v>3883</v>
      </c>
      <c r="T35" s="3699" t="s">
        <v>3885</v>
      </c>
    </row>
    <row r="36" spans="1:21">
      <c r="A36" s="3910" t="s">
        <v>3391</v>
      </c>
      <c r="B36" s="3375" t="s">
        <v>3392</v>
      </c>
      <c r="C36" s="3379">
        <v>92.17</v>
      </c>
      <c r="D36" s="3378" t="s">
        <v>3393</v>
      </c>
      <c r="E36" s="3380" t="s">
        <v>3394</v>
      </c>
      <c r="F36" s="3375" t="s">
        <v>460</v>
      </c>
      <c r="G36" s="3381">
        <v>237.84</v>
      </c>
      <c r="H36" s="3380" t="s">
        <v>3393</v>
      </c>
      <c r="I36" s="3394" t="s">
        <v>3395</v>
      </c>
      <c r="J36" s="3375" t="s">
        <v>460</v>
      </c>
      <c r="K36" s="3375" t="s">
        <v>3443</v>
      </c>
      <c r="R36" s="3699" t="s">
        <v>3782</v>
      </c>
      <c r="T36" s="3699">
        <f>R8+R5</f>
        <v>4907.4399999999996</v>
      </c>
    </row>
    <row r="37" spans="1:21">
      <c r="A37" s="3916"/>
      <c r="B37" s="3375" t="s">
        <v>3396</v>
      </c>
      <c r="C37" s="3379">
        <v>876.7</v>
      </c>
      <c r="D37" s="3380" t="s">
        <v>3397</v>
      </c>
      <c r="E37" s="3380" t="s">
        <v>3398</v>
      </c>
      <c r="F37" s="3375" t="s">
        <v>3399</v>
      </c>
      <c r="G37" s="3381">
        <v>185.28</v>
      </c>
      <c r="H37" s="3380" t="s">
        <v>3397</v>
      </c>
      <c r="I37" s="3394" t="s">
        <v>3400</v>
      </c>
      <c r="J37" s="3375" t="s">
        <v>3399</v>
      </c>
      <c r="K37" s="3682" t="s">
        <v>3442</v>
      </c>
      <c r="R37" s="3699" t="s">
        <v>3881</v>
      </c>
      <c r="S37" s="3699">
        <f>SUM(R10:R14)</f>
        <v>20710.71</v>
      </c>
      <c r="T37" s="3699">
        <f>R4</f>
        <v>4986.59</v>
      </c>
      <c r="U37" s="3699">
        <f>S37+T37</f>
        <v>25697.3</v>
      </c>
    </row>
    <row r="38" spans="1:21">
      <c r="A38" s="3916"/>
      <c r="B38" s="3375" t="s">
        <v>3401</v>
      </c>
      <c r="C38" s="3379">
        <v>79.56</v>
      </c>
      <c r="D38" s="3380" t="s">
        <v>3402</v>
      </c>
      <c r="E38" s="3380" t="s">
        <v>3403</v>
      </c>
      <c r="F38" s="3375" t="s">
        <v>3404</v>
      </c>
      <c r="G38" s="3381">
        <v>1062.3</v>
      </c>
      <c r="H38" s="3380" t="s">
        <v>3402</v>
      </c>
      <c r="I38" s="3394" t="s">
        <v>3405</v>
      </c>
      <c r="J38" s="3375" t="s">
        <v>3406</v>
      </c>
      <c r="K38" s="3683" t="s">
        <v>3789</v>
      </c>
      <c r="O38" s="3699" t="s">
        <v>3980</v>
      </c>
      <c r="P38" s="3699" t="s">
        <v>3981</v>
      </c>
      <c r="Q38" s="3699" t="s">
        <v>3982</v>
      </c>
      <c r="R38" s="3699" t="s">
        <v>3888</v>
      </c>
      <c r="S38" s="3699">
        <f>SUM(R15:R32)</f>
        <v>29071.829999999998</v>
      </c>
    </row>
    <row r="39" spans="1:21">
      <c r="A39" s="3916"/>
      <c r="B39" s="3375" t="s">
        <v>3407</v>
      </c>
      <c r="C39" s="3379">
        <v>1075.5999999999999</v>
      </c>
      <c r="D39" s="3380"/>
      <c r="E39" s="3388">
        <v>1</v>
      </c>
      <c r="F39" s="3375" t="s">
        <v>3408</v>
      </c>
      <c r="G39" s="3381">
        <v>130.97999999999999</v>
      </c>
      <c r="H39" s="3380"/>
      <c r="I39" s="3395">
        <v>2</v>
      </c>
      <c r="J39" s="3375" t="s">
        <v>3408</v>
      </c>
      <c r="K39" s="3375" t="s">
        <v>3441</v>
      </c>
      <c r="N39" s="3699" t="s">
        <v>3979</v>
      </c>
      <c r="O39" s="3706">
        <f>C5+C6</f>
        <v>1137.5800000000002</v>
      </c>
      <c r="P39" s="3705">
        <f>G5+G7</f>
        <v>4722.17</v>
      </c>
      <c r="Q39" s="3705">
        <f>P39+O39</f>
        <v>5859.75</v>
      </c>
      <c r="R39" s="3699" t="s">
        <v>3886</v>
      </c>
      <c r="T39" s="3699">
        <f>R6+R7+R9</f>
        <v>1460.05</v>
      </c>
    </row>
    <row r="40" spans="1:21">
      <c r="A40" s="3916"/>
      <c r="B40" s="3377">
        <v>1</v>
      </c>
      <c r="C40" s="3379">
        <v>336.87</v>
      </c>
      <c r="D40" s="3380" t="s">
        <v>3409</v>
      </c>
      <c r="E40" s="3388">
        <v>101</v>
      </c>
      <c r="F40" s="3375" t="s">
        <v>3391</v>
      </c>
      <c r="G40" s="3381">
        <v>28.23</v>
      </c>
      <c r="H40" s="3380" t="s">
        <v>3409</v>
      </c>
      <c r="I40" s="3395" t="s">
        <v>3410</v>
      </c>
      <c r="J40" s="3375" t="s">
        <v>3411</v>
      </c>
      <c r="K40" s="3375" t="s">
        <v>3444</v>
      </c>
      <c r="N40" s="3699">
        <v>108</v>
      </c>
      <c r="P40" s="3699">
        <f>ROUNDDOWN(P39/Q39*N40,0)</f>
        <v>87</v>
      </c>
      <c r="R40" s="3699" t="s">
        <v>3874</v>
      </c>
      <c r="S40" s="3699">
        <f>SUM(S36:S39)</f>
        <v>49782.539999999994</v>
      </c>
      <c r="T40" s="3699">
        <f>SUM(T36:T39)</f>
        <v>11354.079999999998</v>
      </c>
      <c r="U40" s="3699">
        <f>S40+T40</f>
        <v>61136.619999999995</v>
      </c>
    </row>
    <row r="41" spans="1:21">
      <c r="A41" s="3916"/>
      <c r="B41" s="3377">
        <v>2</v>
      </c>
      <c r="C41" s="3379">
        <v>80.37</v>
      </c>
      <c r="D41" s="3380" t="s">
        <v>3412</v>
      </c>
      <c r="E41" s="3388">
        <v>201</v>
      </c>
      <c r="F41" s="3375" t="s">
        <v>3391</v>
      </c>
      <c r="G41" s="3381">
        <v>28.23</v>
      </c>
      <c r="H41" s="3380" t="s">
        <v>3412</v>
      </c>
      <c r="I41" s="3395" t="s">
        <v>3413</v>
      </c>
      <c r="J41" s="3375" t="s">
        <v>3411</v>
      </c>
      <c r="K41" s="3375" t="s">
        <v>3445</v>
      </c>
    </row>
    <row r="42" spans="1:21">
      <c r="A42" s="3916"/>
      <c r="B42" s="3377">
        <v>3</v>
      </c>
      <c r="C42" s="3379">
        <v>80.37</v>
      </c>
      <c r="D42" s="3380" t="s">
        <v>3414</v>
      </c>
      <c r="E42" s="3388">
        <v>301</v>
      </c>
      <c r="F42" s="3375" t="s">
        <v>3391</v>
      </c>
      <c r="G42" s="3381">
        <v>28.23</v>
      </c>
      <c r="H42" s="3380" t="s">
        <v>3414</v>
      </c>
      <c r="I42" s="3395" t="s">
        <v>3415</v>
      </c>
      <c r="J42" s="3375" t="s">
        <v>3411</v>
      </c>
      <c r="K42" s="3375" t="s">
        <v>3445</v>
      </c>
      <c r="R42" s="3707" t="s">
        <v>3889</v>
      </c>
      <c r="S42" s="3699" t="s">
        <v>3883</v>
      </c>
      <c r="T42" s="3699" t="s">
        <v>3885</v>
      </c>
      <c r="U42" s="3699" t="s">
        <v>3892</v>
      </c>
    </row>
    <row r="43" spans="1:21">
      <c r="A43" s="3916"/>
      <c r="B43" s="3377">
        <v>4</v>
      </c>
      <c r="C43" s="3379">
        <v>80.37</v>
      </c>
      <c r="D43" s="3380" t="s">
        <v>3416</v>
      </c>
      <c r="E43" s="3388">
        <v>401</v>
      </c>
      <c r="F43" s="3375" t="s">
        <v>3391</v>
      </c>
      <c r="G43" s="3381">
        <v>28.23</v>
      </c>
      <c r="H43" s="3380" t="s">
        <v>3416</v>
      </c>
      <c r="I43" s="3395" t="s">
        <v>3417</v>
      </c>
      <c r="J43" s="3375" t="s">
        <v>3411</v>
      </c>
      <c r="K43" s="3375" t="s">
        <v>3445</v>
      </c>
      <c r="R43" s="3699" t="s">
        <v>3782</v>
      </c>
      <c r="T43" s="3705">
        <f>G5</f>
        <v>4264.3</v>
      </c>
      <c r="U43" s="3699">
        <v>208</v>
      </c>
    </row>
    <row r="44" spans="1:21">
      <c r="A44" s="3916"/>
      <c r="B44" s="3377">
        <v>5</v>
      </c>
      <c r="C44" s="3390">
        <v>5756.2</v>
      </c>
      <c r="D44" s="3387"/>
      <c r="E44" s="3388">
        <v>501</v>
      </c>
      <c r="F44" s="3375" t="s">
        <v>3391</v>
      </c>
      <c r="G44" s="3381"/>
      <c r="H44" s="3387"/>
      <c r="I44" s="3395"/>
      <c r="J44" s="3375"/>
      <c r="K44" s="3375"/>
      <c r="R44" s="3699" t="s">
        <v>3881</v>
      </c>
      <c r="S44" s="3705">
        <f>SUM(G11:G15)</f>
        <v>20597.78</v>
      </c>
      <c r="T44" s="3705">
        <f>SUM(G9:G10)+G7</f>
        <v>5473.39</v>
      </c>
    </row>
    <row r="45" spans="1:21">
      <c r="A45" s="3916"/>
      <c r="B45" s="3904">
        <v>6</v>
      </c>
      <c r="C45" s="3906">
        <v>1703.27</v>
      </c>
      <c r="D45" s="3917" t="s">
        <v>3418</v>
      </c>
      <c r="E45" s="3910">
        <v>601</v>
      </c>
      <c r="F45" s="3375" t="s">
        <v>3391</v>
      </c>
      <c r="G45" s="3381">
        <v>118</v>
      </c>
      <c r="H45" s="3897" t="s">
        <v>3418</v>
      </c>
      <c r="I45" s="3395" t="s">
        <v>3419</v>
      </c>
      <c r="J45" s="3375" t="s">
        <v>3408</v>
      </c>
      <c r="K45" s="3375" t="s">
        <v>3446</v>
      </c>
      <c r="R45" s="3699" t="s">
        <v>3882</v>
      </c>
      <c r="S45" s="3705">
        <f>G35</f>
        <v>12975.39</v>
      </c>
    </row>
    <row r="46" spans="1:21">
      <c r="A46" s="3916"/>
      <c r="B46" s="3905"/>
      <c r="C46" s="3907"/>
      <c r="D46" s="3918"/>
      <c r="E46" s="3911"/>
      <c r="F46" s="3375" t="s">
        <v>3391</v>
      </c>
      <c r="G46" s="3381">
        <v>1688.99</v>
      </c>
      <c r="H46" s="3897"/>
      <c r="I46" s="3395">
        <v>603</v>
      </c>
      <c r="J46" s="3375" t="s">
        <v>3391</v>
      </c>
      <c r="K46" s="3375" t="s">
        <v>3446</v>
      </c>
      <c r="R46" s="3699" t="s">
        <v>3884</v>
      </c>
      <c r="S46" s="3705">
        <f>SUM(G39:G58)-0.01</f>
        <v>16340.339999999998</v>
      </c>
      <c r="T46" s="3705">
        <f>SUM(G36:G38)</f>
        <v>1485.42</v>
      </c>
    </row>
    <row r="47" spans="1:21">
      <c r="A47" s="3916"/>
      <c r="B47" s="3377">
        <v>7</v>
      </c>
      <c r="C47" s="3379">
        <v>1634.24</v>
      </c>
      <c r="D47" s="3380" t="s">
        <v>3420</v>
      </c>
      <c r="E47" s="3388" t="s">
        <v>3421</v>
      </c>
      <c r="F47" s="3375" t="s">
        <v>3391</v>
      </c>
      <c r="G47" s="3381">
        <v>1688.99</v>
      </c>
      <c r="H47" s="3380" t="s">
        <v>3420</v>
      </c>
      <c r="I47" s="3395">
        <v>703</v>
      </c>
      <c r="J47" s="3375" t="s">
        <v>3391</v>
      </c>
      <c r="K47" s="3375" t="s">
        <v>3446</v>
      </c>
    </row>
    <row r="48" spans="1:21">
      <c r="A48" s="3916"/>
      <c r="B48" s="3377">
        <v>8</v>
      </c>
      <c r="C48" s="3379">
        <v>1634.24</v>
      </c>
      <c r="D48" s="3380" t="s">
        <v>3422</v>
      </c>
      <c r="E48" s="3388" t="s">
        <v>3423</v>
      </c>
      <c r="F48" s="3375" t="s">
        <v>3391</v>
      </c>
      <c r="G48" s="3381">
        <v>1688.99</v>
      </c>
      <c r="H48" s="3380" t="s">
        <v>3422</v>
      </c>
      <c r="I48" s="3395">
        <v>803</v>
      </c>
      <c r="J48" s="3375" t="s">
        <v>3391</v>
      </c>
      <c r="K48" s="3375" t="s">
        <v>3446</v>
      </c>
      <c r="R48" s="3699" t="s">
        <v>3874</v>
      </c>
      <c r="S48" s="3699">
        <f>SUM(S43:S47)</f>
        <v>49913.509999999995</v>
      </c>
      <c r="T48" s="3705">
        <f>SUM(T43:T47)</f>
        <v>11223.11</v>
      </c>
      <c r="U48" s="3699">
        <f>S48+T48</f>
        <v>61136.619999999995</v>
      </c>
    </row>
    <row r="49" spans="1:21">
      <c r="A49" s="3916"/>
      <c r="B49" s="3377">
        <v>9</v>
      </c>
      <c r="C49" s="3379">
        <v>1634.24</v>
      </c>
      <c r="D49" s="3380" t="s">
        <v>3424</v>
      </c>
      <c r="E49" s="3388" t="s">
        <v>3425</v>
      </c>
      <c r="F49" s="3375" t="s">
        <v>3391</v>
      </c>
      <c r="G49" s="3381">
        <v>1688.99</v>
      </c>
      <c r="H49" s="3380" t="s">
        <v>3424</v>
      </c>
      <c r="I49" s="3395">
        <v>903</v>
      </c>
      <c r="J49" s="3375" t="s">
        <v>3391</v>
      </c>
      <c r="K49" s="3375" t="s">
        <v>3446</v>
      </c>
    </row>
    <row r="50" spans="1:21">
      <c r="A50" s="3916"/>
      <c r="B50" s="3377">
        <v>10</v>
      </c>
      <c r="C50" s="3379">
        <v>1634.24</v>
      </c>
      <c r="D50" s="3380" t="s">
        <v>3426</v>
      </c>
      <c r="E50" s="3388" t="s">
        <v>3427</v>
      </c>
      <c r="F50" s="3375" t="s">
        <v>3391</v>
      </c>
      <c r="G50" s="3381">
        <v>1688.99</v>
      </c>
      <c r="H50" s="3380" t="s">
        <v>3426</v>
      </c>
      <c r="I50" s="3395">
        <v>1003</v>
      </c>
      <c r="J50" s="3375" t="s">
        <v>3391</v>
      </c>
      <c r="K50" s="3375" t="s">
        <v>3446</v>
      </c>
      <c r="S50" s="3699" t="s">
        <v>3883</v>
      </c>
      <c r="T50" s="3699" t="s">
        <v>3885</v>
      </c>
    </row>
    <row r="51" spans="1:21">
      <c r="A51" s="3916"/>
      <c r="B51" s="3377">
        <v>11</v>
      </c>
      <c r="C51" s="3379">
        <v>1634.24</v>
      </c>
      <c r="D51" s="3380" t="s">
        <v>3428</v>
      </c>
      <c r="E51" s="3388" t="s">
        <v>3429</v>
      </c>
      <c r="F51" s="3375" t="s">
        <v>3391</v>
      </c>
      <c r="G51" s="3381">
        <v>1688.99</v>
      </c>
      <c r="H51" s="3380" t="s">
        <v>3428</v>
      </c>
      <c r="I51" s="3395">
        <v>1103</v>
      </c>
      <c r="J51" s="3375" t="s">
        <v>3391</v>
      </c>
      <c r="K51" s="3375" t="s">
        <v>3446</v>
      </c>
      <c r="R51" s="3699" t="s">
        <v>3890</v>
      </c>
      <c r="S51" s="3706">
        <f>SUM(C39:C51)</f>
        <v>17284.25</v>
      </c>
      <c r="T51" s="3706">
        <f>SUM(C36:C38)</f>
        <v>1048.43</v>
      </c>
    </row>
    <row r="52" spans="1:21">
      <c r="A52" s="3916"/>
      <c r="B52" s="3904">
        <v>12</v>
      </c>
      <c r="C52" s="3906"/>
      <c r="D52" s="3908"/>
      <c r="E52" s="3895"/>
      <c r="F52" s="3895"/>
      <c r="G52" s="3381">
        <v>209.47</v>
      </c>
      <c r="H52" s="3897" t="s">
        <v>3430</v>
      </c>
      <c r="I52" s="3395" t="s">
        <v>3431</v>
      </c>
      <c r="J52" s="3375" t="s">
        <v>3391</v>
      </c>
      <c r="K52" s="3375" t="s">
        <v>3446</v>
      </c>
      <c r="R52" s="3699" t="s">
        <v>3891</v>
      </c>
      <c r="S52" s="3706">
        <f>S51+S46</f>
        <v>33624.589999999997</v>
      </c>
      <c r="T52" s="3706">
        <f>T51+T46</f>
        <v>2533.8500000000004</v>
      </c>
      <c r="U52" s="3706">
        <f>T52+S52</f>
        <v>36158.439999999995</v>
      </c>
    </row>
    <row r="53" spans="1:21">
      <c r="A53" s="3916"/>
      <c r="B53" s="3905"/>
      <c r="C53" s="3907"/>
      <c r="D53" s="3909"/>
      <c r="E53" s="3896"/>
      <c r="F53" s="3896"/>
      <c r="G53" s="3381">
        <v>1791.94</v>
      </c>
      <c r="H53" s="3897"/>
      <c r="I53" s="3395">
        <v>1203</v>
      </c>
      <c r="J53" s="3375" t="s">
        <v>3391</v>
      </c>
      <c r="K53" s="3375" t="s">
        <v>3446</v>
      </c>
    </row>
    <row r="54" spans="1:21">
      <c r="A54" s="3916"/>
      <c r="B54" s="3904">
        <v>13</v>
      </c>
      <c r="C54" s="3906"/>
      <c r="D54" s="3908"/>
      <c r="E54" s="3895"/>
      <c r="F54" s="3895"/>
      <c r="G54" s="3381">
        <v>209.47</v>
      </c>
      <c r="H54" s="3897" t="s">
        <v>3432</v>
      </c>
      <c r="I54" s="3395" t="s">
        <v>3433</v>
      </c>
      <c r="J54" s="3375" t="s">
        <v>3391</v>
      </c>
      <c r="K54" s="3375" t="s">
        <v>3446</v>
      </c>
      <c r="P54" s="3699" t="s">
        <v>4111</v>
      </c>
      <c r="Q54" s="3699">
        <v>2020</v>
      </c>
      <c r="R54" s="3699">
        <v>2021</v>
      </c>
      <c r="S54" s="3699">
        <v>2022</v>
      </c>
      <c r="T54" s="3699" t="s">
        <v>3916</v>
      </c>
    </row>
    <row r="55" spans="1:21">
      <c r="A55" s="3916"/>
      <c r="B55" s="3905"/>
      <c r="C55" s="3907"/>
      <c r="D55" s="3909"/>
      <c r="E55" s="3896"/>
      <c r="F55" s="3896"/>
      <c r="G55" s="3381">
        <v>1791.94</v>
      </c>
      <c r="H55" s="3897"/>
      <c r="I55" s="3395">
        <v>1303</v>
      </c>
      <c r="J55" s="3375" t="s">
        <v>3391</v>
      </c>
      <c r="K55" s="3375" t="s">
        <v>3446</v>
      </c>
      <c r="P55" s="3699" t="s">
        <v>3912</v>
      </c>
      <c r="Q55" s="3699">
        <v>2820.1610000000001</v>
      </c>
      <c r="R55" s="3699">
        <v>3075.4207000000001</v>
      </c>
      <c r="S55" s="3699">
        <v>2042.5959</v>
      </c>
      <c r="T55" s="3699">
        <v>2113.7512999999999</v>
      </c>
    </row>
    <row r="56" spans="1:21">
      <c r="A56" s="3916"/>
      <c r="B56" s="3904">
        <v>14</v>
      </c>
      <c r="C56" s="3906"/>
      <c r="D56" s="3908"/>
      <c r="E56" s="3895"/>
      <c r="F56" s="3895"/>
      <c r="G56" s="3381">
        <v>133.19</v>
      </c>
      <c r="H56" s="3897" t="s">
        <v>3434</v>
      </c>
      <c r="I56" s="3395" t="s">
        <v>3985</v>
      </c>
      <c r="J56" s="3375" t="s">
        <v>3391</v>
      </c>
      <c r="K56" s="3375" t="s">
        <v>3446</v>
      </c>
      <c r="P56" s="3699" t="s">
        <v>3913</v>
      </c>
      <c r="Q56" s="3699">
        <v>17666.05</v>
      </c>
      <c r="R56" s="3699">
        <v>17666.05</v>
      </c>
      <c r="S56" s="3699">
        <v>17666.05</v>
      </c>
      <c r="T56" s="3699">
        <v>24388.5</v>
      </c>
    </row>
    <row r="57" spans="1:21">
      <c r="A57" s="3916"/>
      <c r="B57" s="3912"/>
      <c r="C57" s="3913"/>
      <c r="D57" s="3914"/>
      <c r="E57" s="3915"/>
      <c r="F57" s="3915"/>
      <c r="G57" s="3381">
        <v>4.88</v>
      </c>
      <c r="H57" s="3897"/>
      <c r="I57" s="3395" t="s">
        <v>3435</v>
      </c>
      <c r="J57" s="3375" t="s">
        <v>3391</v>
      </c>
      <c r="K57" s="3375" t="s">
        <v>3446</v>
      </c>
      <c r="P57" s="3699" t="s">
        <v>3914</v>
      </c>
      <c r="Q57" s="3699">
        <v>15431.52</v>
      </c>
      <c r="R57" s="3699">
        <v>14374.93</v>
      </c>
      <c r="S57" s="3699">
        <v>14814.76</v>
      </c>
      <c r="T57" s="3699">
        <v>24671.26</v>
      </c>
    </row>
    <row r="58" spans="1:21">
      <c r="A58" s="3916"/>
      <c r="B58" s="3905"/>
      <c r="C58" s="3907"/>
      <c r="D58" s="3909"/>
      <c r="E58" s="3896"/>
      <c r="F58" s="3896"/>
      <c r="G58" s="3381">
        <v>1703.62</v>
      </c>
      <c r="H58" s="3897"/>
      <c r="I58" s="3395">
        <v>1403</v>
      </c>
      <c r="J58" s="3375" t="s">
        <v>3391</v>
      </c>
      <c r="K58" s="3375" t="s">
        <v>3446</v>
      </c>
      <c r="P58" s="3699" t="s">
        <v>3915</v>
      </c>
      <c r="Q58" s="3711">
        <f>ROUND(Q57/Q56,4)</f>
        <v>0.87350000000000005</v>
      </c>
      <c r="R58" s="3711">
        <f t="shared" ref="R58:T58" si="0">ROUND(R57/R56,4)</f>
        <v>0.81369999999999998</v>
      </c>
      <c r="S58" s="3711">
        <f t="shared" si="0"/>
        <v>0.83860000000000001</v>
      </c>
      <c r="T58" s="3711">
        <f t="shared" si="0"/>
        <v>1.0116000000000001</v>
      </c>
    </row>
    <row r="59" spans="1:21">
      <c r="A59" s="3916"/>
      <c r="B59" s="3382" t="s">
        <v>3436</v>
      </c>
      <c r="C59" s="3383">
        <f>SUM(C36:C56)</f>
        <v>18332.68</v>
      </c>
      <c r="D59" s="3384"/>
      <c r="E59" s="3382"/>
      <c r="F59" s="3382"/>
      <c r="G59" s="3385">
        <f>SUM(G36:G58)</f>
        <v>17825.77</v>
      </c>
      <c r="H59" s="3384"/>
      <c r="I59" s="3389"/>
      <c r="J59" s="3375"/>
      <c r="K59" s="3375"/>
      <c r="P59" s="3699" t="s">
        <v>3917</v>
      </c>
      <c r="Q59" s="3699">
        <v>2920.2901000000002</v>
      </c>
      <c r="R59" s="3699">
        <v>2895.9638</v>
      </c>
      <c r="S59" s="3699">
        <v>2191.3991000000001</v>
      </c>
      <c r="T59" s="3699">
        <v>1361.3241</v>
      </c>
    </row>
    <row r="60" spans="1:21">
      <c r="A60" s="3382" t="s">
        <v>3437</v>
      </c>
      <c r="B60" s="3382"/>
      <c r="C60" s="3383">
        <v>20379.62</v>
      </c>
      <c r="D60" s="3382"/>
      <c r="E60" s="3382"/>
      <c r="F60" s="3382"/>
      <c r="G60" s="3385">
        <v>61136.63</v>
      </c>
      <c r="H60" s="3375"/>
      <c r="I60" s="3376"/>
      <c r="J60" s="3375"/>
      <c r="K60" s="3375"/>
      <c r="P60" s="3699" t="s">
        <v>3913</v>
      </c>
      <c r="Q60" s="3699">
        <v>12638.62</v>
      </c>
      <c r="R60" s="3699">
        <v>12638.62</v>
      </c>
      <c r="S60" s="3699">
        <v>12638.62</v>
      </c>
      <c r="T60" s="3699">
        <v>12638.62</v>
      </c>
    </row>
    <row r="61" spans="1:21">
      <c r="P61" s="3699" t="s">
        <v>3914</v>
      </c>
      <c r="Q61" s="3699">
        <v>11386.25</v>
      </c>
      <c r="R61" s="3699">
        <v>11047.4</v>
      </c>
      <c r="S61" s="3699">
        <v>9084.5400000000009</v>
      </c>
      <c r="T61" s="3699">
        <v>7044.55</v>
      </c>
    </row>
    <row r="62" spans="1:21">
      <c r="A62" s="3391" t="s">
        <v>3438</v>
      </c>
      <c r="P62" s="3699" t="s">
        <v>3915</v>
      </c>
      <c r="Q62" s="3711">
        <f>ROUND(Q61/Q60,4)</f>
        <v>0.90090000000000003</v>
      </c>
      <c r="R62" s="3711">
        <f>ROUND(R61/R60,4)</f>
        <v>0.87409999999999999</v>
      </c>
      <c r="S62" s="3711">
        <f>ROUND(S61/S60,4)</f>
        <v>0.71879999999999999</v>
      </c>
      <c r="T62" s="3711">
        <f>ROUND(T61/T60,4)</f>
        <v>0.55740000000000001</v>
      </c>
    </row>
    <row r="64" spans="1:21" ht="15" thickBot="1"/>
    <row r="65" spans="4:20" ht="15" thickBot="1">
      <c r="P65" s="3741" t="s">
        <v>4112</v>
      </c>
      <c r="Q65" s="3742">
        <v>2020</v>
      </c>
      <c r="R65" s="3742">
        <v>2021</v>
      </c>
      <c r="S65" s="3742">
        <v>2022</v>
      </c>
      <c r="T65" s="3742" t="s">
        <v>4113</v>
      </c>
    </row>
    <row r="66" spans="4:20" ht="15" thickBot="1">
      <c r="D66" s="3392"/>
      <c r="P66" s="3743" t="s">
        <v>673</v>
      </c>
      <c r="Q66" s="3744">
        <v>2820.1610000000001</v>
      </c>
      <c r="R66" s="3744">
        <v>3075.4207000000001</v>
      </c>
      <c r="S66" s="3744">
        <v>2042.5959</v>
      </c>
      <c r="T66" s="3744">
        <v>2113.7512999999999</v>
      </c>
    </row>
    <row r="67" spans="4:20" ht="15" thickBot="1">
      <c r="E67" s="3393"/>
      <c r="P67" s="3743" t="s">
        <v>21</v>
      </c>
      <c r="Q67" s="3744">
        <v>2920.2901000000002</v>
      </c>
      <c r="R67" s="3744">
        <v>2895.9638</v>
      </c>
      <c r="S67" s="3744">
        <v>2191.3991000000001</v>
      </c>
      <c r="T67" s="3744">
        <v>1361.3241</v>
      </c>
    </row>
    <row r="68" spans="4:20" ht="15" thickBot="1">
      <c r="P68" s="3743" t="s">
        <v>3893</v>
      </c>
      <c r="Q68" s="3744">
        <v>5730.0069000000003</v>
      </c>
      <c r="R68" s="3744">
        <v>8874.7679000000007</v>
      </c>
      <c r="S68" s="3744">
        <v>5679.8333000000002</v>
      </c>
      <c r="T68" s="3744">
        <v>6366.8283000000001</v>
      </c>
    </row>
    <row r="69" spans="4:20" ht="15" thickBot="1">
      <c r="P69" s="3743" t="s">
        <v>3568</v>
      </c>
      <c r="Q69" s="3745">
        <f>SUM(Q66:Q68)</f>
        <v>11470.458000000001</v>
      </c>
      <c r="R69" s="3745">
        <f t="shared" ref="R69:T69" si="1">SUM(R66:R68)</f>
        <v>14846.152400000001</v>
      </c>
      <c r="S69" s="3745">
        <f t="shared" si="1"/>
        <v>9913.828300000001</v>
      </c>
      <c r="T69" s="3745">
        <f t="shared" si="1"/>
        <v>9841.9036999999989</v>
      </c>
    </row>
  </sheetData>
  <mergeCells count="77">
    <mergeCell ref="A1:J1"/>
    <mergeCell ref="A2:A3"/>
    <mergeCell ref="B2:B3"/>
    <mergeCell ref="C2:F2"/>
    <mergeCell ref="G2:J2"/>
    <mergeCell ref="A4:A8"/>
    <mergeCell ref="B5:B6"/>
    <mergeCell ref="D5:D6"/>
    <mergeCell ref="G5:G6"/>
    <mergeCell ref="H5:H6"/>
    <mergeCell ref="A9:A18"/>
    <mergeCell ref="B9:B10"/>
    <mergeCell ref="H9:H10"/>
    <mergeCell ref="B11:B12"/>
    <mergeCell ref="H11:H12"/>
    <mergeCell ref="A20:A35"/>
    <mergeCell ref="A36:A59"/>
    <mergeCell ref="B45:B46"/>
    <mergeCell ref="C45:C46"/>
    <mergeCell ref="D45:D46"/>
    <mergeCell ref="B54:B55"/>
    <mergeCell ref="C54:C55"/>
    <mergeCell ref="D54:D55"/>
    <mergeCell ref="H56:H58"/>
    <mergeCell ref="H45:H46"/>
    <mergeCell ref="B52:B53"/>
    <mergeCell ref="C52:C53"/>
    <mergeCell ref="D52:D53"/>
    <mergeCell ref="E52:E53"/>
    <mergeCell ref="F52:F53"/>
    <mergeCell ref="H52:H53"/>
    <mergeCell ref="E45:E46"/>
    <mergeCell ref="E54:E55"/>
    <mergeCell ref="B56:B58"/>
    <mergeCell ref="C56:C58"/>
    <mergeCell ref="D56:D58"/>
    <mergeCell ref="E56:E58"/>
    <mergeCell ref="F56:F58"/>
    <mergeCell ref="N2:T2"/>
    <mergeCell ref="N4:N7"/>
    <mergeCell ref="K5:K6"/>
    <mergeCell ref="F54:F55"/>
    <mergeCell ref="H54:H55"/>
    <mergeCell ref="J5:J6"/>
    <mergeCell ref="I5:I6"/>
    <mergeCell ref="K2:K3"/>
    <mergeCell ref="N10:N11"/>
    <mergeCell ref="O4:O7"/>
    <mergeCell ref="O10:O11"/>
    <mergeCell ref="P15:P16"/>
    <mergeCell ref="O15:O16"/>
    <mergeCell ref="N15:N16"/>
    <mergeCell ref="P4:P6"/>
    <mergeCell ref="N17:N18"/>
    <mergeCell ref="O17:O18"/>
    <mergeCell ref="P17:P18"/>
    <mergeCell ref="N19:N20"/>
    <mergeCell ref="O19:O20"/>
    <mergeCell ref="P19:P20"/>
    <mergeCell ref="N21:N22"/>
    <mergeCell ref="O21:O22"/>
    <mergeCell ref="P21:P22"/>
    <mergeCell ref="N23:N24"/>
    <mergeCell ref="O23:O24"/>
    <mergeCell ref="P23:P24"/>
    <mergeCell ref="N25:N26"/>
    <mergeCell ref="O25:O26"/>
    <mergeCell ref="P25:P26"/>
    <mergeCell ref="N27:N28"/>
    <mergeCell ref="O27:O28"/>
    <mergeCell ref="P27:P28"/>
    <mergeCell ref="N29:N30"/>
    <mergeCell ref="O29:O30"/>
    <mergeCell ref="P29:P30"/>
    <mergeCell ref="O31:O32"/>
    <mergeCell ref="N31:N32"/>
    <mergeCell ref="P31:P32"/>
  </mergeCells>
  <phoneticPr fontId="134" type="noConversion"/>
  <pageMargins left="0.75" right="0.75" top="0.55000000000000004" bottom="0.52" header="0.5" footer="0.5"/>
  <pageSetup paperSize="8"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O34" sqref="O3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hidden="1" customWidth="1"/>
    <col min="22" max="22" width="10.875" style="1568" hidden="1" customWidth="1"/>
    <col min="23" max="27" width="10.75" style="1568" hidden="1" customWidth="1"/>
    <col min="28" max="28" width="10.875" style="1568" hidden="1" customWidth="1"/>
    <col min="29" max="29" width="11" style="1568" bestFit="1" customWidth="1"/>
    <col min="30" max="30" width="10" style="1568" hidden="1" customWidth="1"/>
    <col min="31" max="31" width="9.75" style="1568" hidden="1" customWidth="1"/>
    <col min="32" max="39" width="9.5" style="1568" hidden="1" customWidth="1"/>
    <col min="40"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3698">
        <v>6245.0829999999996</v>
      </c>
      <c r="B3" s="10">
        <f>IF(C3="否",G5-AT5,G5)</f>
        <v>61136.619999999995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1" t="s">
        <v>1071</v>
      </c>
      <c r="B5" s="1342"/>
      <c r="C5" s="1342"/>
      <c r="D5" s="1344"/>
      <c r="E5" s="12" t="s">
        <v>0</v>
      </c>
      <c r="F5" s="12">
        <f>SUM(F13:F587)</f>
        <v>0</v>
      </c>
      <c r="G5" s="12">
        <f>SUM(G13:G587)</f>
        <v>61136.619999999995</v>
      </c>
      <c r="H5" s="12">
        <f t="shared" ref="H5:AT5" si="0">SUM(H13:H656)</f>
        <v>61136.619999999995</v>
      </c>
      <c r="I5" s="12">
        <f t="shared" si="0"/>
        <v>20597.78</v>
      </c>
      <c r="J5" s="12">
        <f t="shared" si="0"/>
        <v>0</v>
      </c>
      <c r="K5" s="12">
        <f t="shared" si="0"/>
        <v>5473.39</v>
      </c>
      <c r="L5" s="12">
        <f t="shared" si="0"/>
        <v>0</v>
      </c>
      <c r="M5" s="12">
        <f t="shared" si="0"/>
        <v>4264.3</v>
      </c>
      <c r="N5" s="12">
        <f t="shared" si="0"/>
        <v>0</v>
      </c>
      <c r="O5" s="12">
        <f t="shared" si="0"/>
        <v>16340.339999999998</v>
      </c>
      <c r="P5" s="12">
        <f t="shared" si="0"/>
        <v>0</v>
      </c>
      <c r="Q5" s="12">
        <f t="shared" si="0"/>
        <v>1485.42</v>
      </c>
      <c r="R5" s="12">
        <f t="shared" si="0"/>
        <v>0</v>
      </c>
      <c r="S5" s="12">
        <f t="shared" si="0"/>
        <v>12975.39</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1"/>
      <c r="AV5" s="11" t="s">
        <v>1071</v>
      </c>
      <c r="AW5" s="1342"/>
      <c r="AX5" s="1342"/>
      <c r="AY5" s="13" t="s">
        <v>2</v>
      </c>
      <c r="AZ5" s="14">
        <f t="shared" ref="AZ5:BT5" si="1">SUM(AZ13:AZ656)</f>
        <v>61136.619999999995</v>
      </c>
      <c r="BA5" s="14">
        <f t="shared" si="1"/>
        <v>61136.619999999995</v>
      </c>
      <c r="BB5" s="14">
        <f t="shared" si="1"/>
        <v>20597.78</v>
      </c>
      <c r="BC5" s="14">
        <f t="shared" si="1"/>
        <v>5473.39</v>
      </c>
      <c r="BD5" s="14">
        <f t="shared" si="1"/>
        <v>4264.3</v>
      </c>
      <c r="BE5" s="14">
        <f t="shared" si="1"/>
        <v>16340.339999999998</v>
      </c>
      <c r="BF5" s="14">
        <f t="shared" si="1"/>
        <v>1485.42</v>
      </c>
      <c r="BG5" s="14">
        <f t="shared" si="1"/>
        <v>12975.39</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4" customFormat="1" ht="12.75">
      <c r="A6" s="11" t="s">
        <v>1072</v>
      </c>
      <c r="B6" s="1581"/>
      <c r="C6" s="1581"/>
      <c r="D6" s="1582"/>
      <c r="E6" s="12">
        <f>H6+AC6+AT6</f>
        <v>6245.09</v>
      </c>
      <c r="F6" s="12" t="s">
        <v>0</v>
      </c>
      <c r="G6" s="12" t="s">
        <v>1</v>
      </c>
      <c r="H6" s="16">
        <f>SUMIF(I$12:AB$12,"总值",I6:AB6)</f>
        <v>6245.09</v>
      </c>
      <c r="I6" s="12">
        <f t="shared" ref="I6:AB6" si="2">ROUND($A$3*I5/$B$3,2)</f>
        <v>2104.06</v>
      </c>
      <c r="J6" s="12">
        <f t="shared" si="2"/>
        <v>0</v>
      </c>
      <c r="K6" s="12">
        <f t="shared" si="2"/>
        <v>559.1</v>
      </c>
      <c r="L6" s="12">
        <f t="shared" si="2"/>
        <v>0</v>
      </c>
      <c r="M6" s="12">
        <f t="shared" si="2"/>
        <v>435.6</v>
      </c>
      <c r="N6" s="12">
        <f t="shared" si="2"/>
        <v>0</v>
      </c>
      <c r="O6" s="12">
        <f t="shared" si="2"/>
        <v>1669.16</v>
      </c>
      <c r="P6" s="12">
        <f t="shared" si="2"/>
        <v>0</v>
      </c>
      <c r="Q6" s="12">
        <f t="shared" si="2"/>
        <v>151.74</v>
      </c>
      <c r="R6" s="12">
        <f t="shared" si="2"/>
        <v>0</v>
      </c>
      <c r="S6" s="12">
        <f t="shared" si="2"/>
        <v>1325.43</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3"/>
      <c r="AV6" s="11" t="s">
        <v>1072</v>
      </c>
      <c r="AW6" s="1581"/>
      <c r="AX6" s="1581"/>
      <c r="AY6" s="3709">
        <f>IF(AY3&gt;0,AY3,ROUND($A$3*AZ5/$B$3,3))</f>
        <v>6245.0829999999996</v>
      </c>
      <c r="AZ6" s="12" t="s">
        <v>2</v>
      </c>
      <c r="BA6" s="12">
        <f>ROUND($AY$6*BA5/$AZ$5,2)</f>
        <v>6245.08</v>
      </c>
      <c r="BB6" s="12">
        <f>ROUND($AY$6*BB5/$AZ$5,2)</f>
        <v>2104.06</v>
      </c>
      <c r="BC6" s="12">
        <f t="shared" ref="BC6:BH6" si="4">ROUND($AY$6*BC5/$AZ$5,2)</f>
        <v>559.1</v>
      </c>
      <c r="BD6" s="12">
        <f t="shared" si="4"/>
        <v>435.6</v>
      </c>
      <c r="BE6" s="12">
        <f t="shared" si="4"/>
        <v>1669.16</v>
      </c>
      <c r="BF6" s="12">
        <f t="shared" si="4"/>
        <v>151.74</v>
      </c>
      <c r="BG6" s="12">
        <f t="shared" si="4"/>
        <v>1325.43</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7">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18" t="s">
        <v>1081</v>
      </c>
      <c r="AW7" s="1573" t="s">
        <v>1082</v>
      </c>
      <c r="AX7" s="18"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1"/>
    </row>
    <row r="9" spans="1:72" s="1596" customFormat="1" ht="12.75">
      <c r="A9" s="1589"/>
      <c r="B9" s="1589"/>
      <c r="C9" s="1589"/>
      <c r="D9" s="1589"/>
      <c r="E9" s="1589"/>
      <c r="F9" s="1589"/>
      <c r="G9" s="1065"/>
      <c r="H9" s="1597" t="s">
        <v>1091</v>
      </c>
      <c r="I9" s="1598" t="s">
        <v>3440</v>
      </c>
      <c r="J9" s="804"/>
      <c r="K9" s="1598" t="s">
        <v>3439</v>
      </c>
      <c r="L9" s="804"/>
      <c r="M9" s="1598" t="s">
        <v>3439</v>
      </c>
      <c r="N9" s="804"/>
      <c r="O9" s="1598" t="s">
        <v>3440</v>
      </c>
      <c r="P9" s="804"/>
      <c r="Q9" s="1598" t="s">
        <v>3439</v>
      </c>
      <c r="R9" s="804"/>
      <c r="S9" s="1598" t="s">
        <v>3440</v>
      </c>
      <c r="T9" s="804"/>
      <c r="U9" s="1598"/>
      <c r="V9" s="804"/>
      <c r="W9" s="1598"/>
      <c r="X9" s="1599"/>
      <c r="Y9" s="1598"/>
      <c r="Z9" s="804"/>
      <c r="AA9" s="1598"/>
      <c r="AB9" s="804"/>
      <c r="AC9" s="1590" t="s">
        <v>1091</v>
      </c>
      <c r="AD9" s="11" t="s">
        <v>1092</v>
      </c>
      <c r="AE9" s="1071"/>
      <c r="AF9" s="11" t="s">
        <v>1093</v>
      </c>
      <c r="AG9" s="1071"/>
      <c r="AH9" s="11" t="s">
        <v>1092</v>
      </c>
      <c r="AI9" s="1071"/>
      <c r="AJ9" s="11" t="s">
        <v>1093</v>
      </c>
      <c r="AK9" s="1071"/>
      <c r="AL9" s="11" t="s">
        <v>1092</v>
      </c>
      <c r="AM9" s="1071"/>
      <c r="AN9" s="11" t="s">
        <v>1093</v>
      </c>
      <c r="AO9" s="1071"/>
      <c r="AP9" s="11" t="s">
        <v>1092</v>
      </c>
      <c r="AQ9" s="1071"/>
      <c r="AR9" s="11" t="s">
        <v>1093</v>
      </c>
      <c r="AS9" s="1600"/>
      <c r="AT9" s="1589"/>
      <c r="AU9" s="1589" t="s">
        <v>1094</v>
      </c>
      <c r="AV9" s="1065"/>
      <c r="AW9" s="1572"/>
      <c r="AX9" s="1065"/>
      <c r="AY9" s="23"/>
      <c r="AZ9" s="23" t="s">
        <v>1084</v>
      </c>
      <c r="BA9" s="1601" t="s">
        <v>1095</v>
      </c>
      <c r="BB9" s="1602"/>
      <c r="BC9" s="1083"/>
      <c r="BD9" s="1083"/>
      <c r="BE9" s="1083"/>
      <c r="BF9" s="1083"/>
      <c r="BG9" s="1083"/>
      <c r="BH9" s="1083"/>
      <c r="BI9" s="1083"/>
      <c r="BJ9" s="1083"/>
      <c r="BK9" s="1603"/>
      <c r="BL9" s="11" t="s">
        <v>1096</v>
      </c>
      <c r="BM9" s="1355"/>
      <c r="BN9" s="1592"/>
      <c r="BO9" s="1355"/>
      <c r="BP9" s="1355"/>
      <c r="BQ9" s="1355"/>
      <c r="BR9" s="1355"/>
      <c r="BS9" s="1355"/>
      <c r="BT9" s="21"/>
    </row>
    <row r="10" spans="1:72" s="1596" customFormat="1" ht="12.75">
      <c r="A10" s="1589"/>
      <c r="B10" s="1589"/>
      <c r="C10" s="1589"/>
      <c r="D10" s="1589"/>
      <c r="E10" s="1589"/>
      <c r="F10" s="1589"/>
      <c r="G10" s="1065"/>
      <c r="H10" s="23"/>
      <c r="I10" s="1598" t="s">
        <v>673</v>
      </c>
      <c r="J10" s="804"/>
      <c r="K10" s="1604" t="s">
        <v>673</v>
      </c>
      <c r="L10" s="804"/>
      <c r="M10" s="1604" t="s">
        <v>3298</v>
      </c>
      <c r="N10" s="804"/>
      <c r="O10" s="1604" t="s">
        <v>3774</v>
      </c>
      <c r="P10" s="804"/>
      <c r="Q10" s="1604" t="s">
        <v>3774</v>
      </c>
      <c r="R10" s="804"/>
      <c r="S10" s="1604" t="s">
        <v>3774</v>
      </c>
      <c r="T10" s="804"/>
      <c r="U10" s="1604"/>
      <c r="V10" s="804"/>
      <c r="W10" s="1604"/>
      <c r="X10" s="804"/>
      <c r="Y10" s="1604"/>
      <c r="Z10" s="804"/>
      <c r="AA10" s="1604"/>
      <c r="AB10" s="804"/>
      <c r="AC10" s="1065"/>
      <c r="AD10" s="11" t="s">
        <v>1097</v>
      </c>
      <c r="AE10" s="1605"/>
      <c r="AF10" s="11" t="s">
        <v>1097</v>
      </c>
      <c r="AG10" s="1605"/>
      <c r="AH10" s="11" t="s">
        <v>1098</v>
      </c>
      <c r="AI10" s="1605"/>
      <c r="AJ10" s="11" t="s">
        <v>1098</v>
      </c>
      <c r="AK10" s="1605"/>
      <c r="AL10" s="11" t="s">
        <v>1099</v>
      </c>
      <c r="AM10" s="1071"/>
      <c r="AN10" s="11" t="s">
        <v>1099</v>
      </c>
      <c r="AO10" s="1071"/>
      <c r="AP10" s="11" t="s">
        <v>1100</v>
      </c>
      <c r="AQ10" s="1071"/>
      <c r="AR10" s="11" t="s">
        <v>1100</v>
      </c>
      <c r="AS10" s="1071"/>
      <c r="AT10" s="1589"/>
      <c r="AU10" s="1589"/>
      <c r="AV10" s="1065"/>
      <c r="AW10" s="1572"/>
      <c r="AX10" s="1065"/>
      <c r="AY10" s="23"/>
      <c r="AZ10" s="23"/>
      <c r="BA10" s="1606" t="s">
        <v>1091</v>
      </c>
      <c r="BB10" s="1607" t="str">
        <f>I9</f>
        <v>地上</v>
      </c>
      <c r="BC10" s="24" t="str">
        <f>K9</f>
        <v>地下</v>
      </c>
      <c r="BD10" s="24" t="str">
        <f>M9</f>
        <v>地下</v>
      </c>
      <c r="BE10" s="24" t="str">
        <f>O9</f>
        <v>地上</v>
      </c>
      <c r="BF10" s="24" t="str">
        <f>Q9</f>
        <v>地下</v>
      </c>
      <c r="BG10" s="24" t="str">
        <f>S9</f>
        <v>地上</v>
      </c>
      <c r="BH10" s="24">
        <f>U9</f>
        <v>0</v>
      </c>
      <c r="BI10" s="24">
        <f>W9</f>
        <v>0</v>
      </c>
      <c r="BJ10" s="24">
        <f>Y9</f>
        <v>0</v>
      </c>
      <c r="BK10" s="24">
        <f>AA9</f>
        <v>0</v>
      </c>
      <c r="BL10" s="20" t="s">
        <v>1091</v>
      </c>
      <c r="BM10" s="1354" t="str">
        <f>AD9</f>
        <v>地上</v>
      </c>
      <c r="BN10" s="24" t="str">
        <f>AF9</f>
        <v>地下</v>
      </c>
      <c r="BO10" s="1354" t="str">
        <f>AH9</f>
        <v>地上</v>
      </c>
      <c r="BP10" s="24" t="str">
        <f>AJ9</f>
        <v>地下</v>
      </c>
      <c r="BQ10" s="1354" t="str">
        <f>AL9</f>
        <v>地上</v>
      </c>
      <c r="BR10" s="24" t="str">
        <f>AN9</f>
        <v>地下</v>
      </c>
      <c r="BS10" s="1354" t="str">
        <f>AP9</f>
        <v>地上</v>
      </c>
      <c r="BT10" s="1608" t="str">
        <f>AR9</f>
        <v>地下</v>
      </c>
    </row>
    <row r="11" spans="1:72" s="1596" customFormat="1" ht="12.75">
      <c r="A11" s="1589"/>
      <c r="B11" s="1589"/>
      <c r="C11" s="1589"/>
      <c r="D11" s="1589"/>
      <c r="E11" s="1589"/>
      <c r="F11" s="1589"/>
      <c r="G11" s="1065"/>
      <c r="H11" s="1606"/>
      <c r="I11" s="1609" t="s">
        <v>3781</v>
      </c>
      <c r="J11" s="1610"/>
      <c r="K11" s="1609" t="s">
        <v>3781</v>
      </c>
      <c r="L11" s="1610"/>
      <c r="M11" s="1609" t="s">
        <v>3298</v>
      </c>
      <c r="N11" s="1610"/>
      <c r="O11" s="1609" t="s">
        <v>3893</v>
      </c>
      <c r="P11" s="1610"/>
      <c r="Q11" s="1609" t="s">
        <v>3893</v>
      </c>
      <c r="R11" s="1610"/>
      <c r="S11" s="1609" t="s">
        <v>3894</v>
      </c>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3"/>
      <c r="AZ11" s="23"/>
      <c r="BA11" s="23"/>
      <c r="BB11" s="1594" t="str">
        <f>I10</f>
        <v>商业</v>
      </c>
      <c r="BC11" s="1594" t="str">
        <f>K10</f>
        <v>商业</v>
      </c>
      <c r="BD11" s="1594" t="str">
        <f>M10</f>
        <v>车库</v>
      </c>
      <c r="BE11" s="1594" t="str">
        <f>O10</f>
        <v>住宅</v>
      </c>
      <c r="BF11" s="1594" t="str">
        <f>Q10</f>
        <v>住宅</v>
      </c>
      <c r="BG11" s="1594" t="str">
        <f>S10</f>
        <v>住宅</v>
      </c>
      <c r="BH11" s="1594">
        <f>U10</f>
        <v>0</v>
      </c>
      <c r="BI11" s="1594">
        <f>W10</f>
        <v>0</v>
      </c>
      <c r="BJ11" s="1594">
        <f>Y10</f>
        <v>0</v>
      </c>
      <c r="BK11" s="1594">
        <f>AA10</f>
        <v>0</v>
      </c>
      <c r="BL11" s="1065"/>
      <c r="BM11" s="1354" t="str">
        <f>AD10</f>
        <v>公共配套设施</v>
      </c>
      <c r="BN11" s="1354" t="str">
        <f>AF10</f>
        <v>公共配套设施</v>
      </c>
      <c r="BO11" s="19" t="str">
        <f>AH10</f>
        <v>物业管理用房</v>
      </c>
      <c r="BP11" s="19" t="str">
        <f>AJ10</f>
        <v>物业管理用房</v>
      </c>
      <c r="BQ11" s="19" t="str">
        <f>AL10</f>
        <v>设备及其他</v>
      </c>
      <c r="BR11" s="19" t="str">
        <f>AN10</f>
        <v>设备及其他</v>
      </c>
      <c r="BS11" s="20" t="str">
        <f>AP10</f>
        <v>未注明</v>
      </c>
      <c r="BT11" s="1613" t="str">
        <f>AR10</f>
        <v>未注明</v>
      </c>
    </row>
    <row r="12" spans="1:72" s="1574" customFormat="1" ht="12.75">
      <c r="A12" s="1614"/>
      <c r="B12" s="1614"/>
      <c r="C12" s="1614"/>
      <c r="D12" s="1614"/>
      <c r="E12" s="1614"/>
      <c r="F12" s="1614"/>
      <c r="G12" s="25"/>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614" t="s">
        <v>1104</v>
      </c>
      <c r="AT12" s="1617"/>
      <c r="AU12" s="1614"/>
      <c r="AV12" s="26"/>
      <c r="AW12" s="1573"/>
      <c r="AX12" s="26"/>
      <c r="AY12" s="1618"/>
      <c r="AZ12" s="23"/>
      <c r="BA12" s="1606"/>
      <c r="BB12" s="19" t="str">
        <f>I11</f>
        <v>底商</v>
      </c>
      <c r="BC12" s="1619" t="str">
        <f>K11</f>
        <v>底商</v>
      </c>
      <c r="BD12" s="1619" t="str">
        <f>M11</f>
        <v>车库</v>
      </c>
      <c r="BE12" s="1594" t="str">
        <f>O11</f>
        <v>酒店</v>
      </c>
      <c r="BF12" s="1594" t="str">
        <f>Q11</f>
        <v>酒店</v>
      </c>
      <c r="BG12" s="1594" t="str">
        <f>S11</f>
        <v>办公楼</v>
      </c>
      <c r="BH12" s="1594">
        <f>U11</f>
        <v>0</v>
      </c>
      <c r="BI12" s="1594">
        <f>W11</f>
        <v>0</v>
      </c>
      <c r="BJ12" s="1594">
        <f>Y11</f>
        <v>0</v>
      </c>
      <c r="BK12" s="1594">
        <f>AA11</f>
        <v>0</v>
      </c>
      <c r="BL12" s="1065"/>
      <c r="BM12" s="1354" t="str">
        <f>AD11</f>
        <v>（住宅）</v>
      </c>
      <c r="BN12" s="1354" t="str">
        <f>AF11</f>
        <v>（住宅）</v>
      </c>
      <c r="BO12" s="19" t="str">
        <f>AH11</f>
        <v>（住宅、计出让金）</v>
      </c>
      <c r="BP12" s="19" t="str">
        <f>AJ11</f>
        <v>（住宅、计出让金）</v>
      </c>
      <c r="BQ12" s="19">
        <f>AL11</f>
        <v>0</v>
      </c>
      <c r="BR12" s="19">
        <f>AN11</f>
        <v>0</v>
      </c>
      <c r="BS12" s="20">
        <f>AP11</f>
        <v>0</v>
      </c>
      <c r="BT12" s="1613">
        <f>AR11</f>
        <v>0</v>
      </c>
    </row>
    <row r="13" spans="1:72" s="1574" customFormat="1">
      <c r="A13" s="1046"/>
      <c r="B13" s="29"/>
      <c r="C13" s="29"/>
      <c r="D13" s="1620" t="s">
        <v>3450</v>
      </c>
      <c r="E13" s="12">
        <f>IF($C$3="是",ROUND($A$3*G13/$B$3,2),ROUND($A$3*(G13-AT13)/$B$3,2))</f>
        <v>6245.08</v>
      </c>
      <c r="F13" s="27"/>
      <c r="G13" s="28">
        <f>H13+AC13+AT13</f>
        <v>61136.619999999995</v>
      </c>
      <c r="H13" s="16">
        <f>SUMIF(I$12:AB$12,"总值",I13:AB13)</f>
        <v>61136.619999999995</v>
      </c>
      <c r="I13" s="1621">
        <f>区域分配表!S44</f>
        <v>20597.78</v>
      </c>
      <c r="J13" s="1621"/>
      <c r="K13" s="1621">
        <f>区域分配表!T44</f>
        <v>5473.39</v>
      </c>
      <c r="L13" s="1621"/>
      <c r="M13" s="1621">
        <f>区域分配表!T43</f>
        <v>4264.3</v>
      </c>
      <c r="N13" s="1621"/>
      <c r="O13" s="1621">
        <f>区域分配表!S46</f>
        <v>16340.339999999998</v>
      </c>
      <c r="P13" s="1621"/>
      <c r="Q13" s="1621">
        <f>区域分配表!T46</f>
        <v>1485.42</v>
      </c>
      <c r="R13" s="1621"/>
      <c r="S13" s="1621">
        <f>区域分配表!S45</f>
        <v>12975.39</v>
      </c>
      <c r="T13" s="1621"/>
      <c r="U13" s="1621"/>
      <c r="V13" s="1621"/>
      <c r="W13" s="1621"/>
      <c r="X13" s="1621"/>
      <c r="Y13" s="1621"/>
      <c r="Z13" s="1621"/>
      <c r="AA13" s="1621"/>
      <c r="AB13" s="1621"/>
      <c r="AC13" s="12">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6245.08</v>
      </c>
      <c r="AZ13" s="12">
        <f>BA13+BL13</f>
        <v>61136.619999999995</v>
      </c>
      <c r="BA13" s="12">
        <f>SUM(BB13:BK13)</f>
        <v>61136.619999999995</v>
      </c>
      <c r="BB13" s="12">
        <f>IF($D13="是",I13-J13,0)</f>
        <v>20597.78</v>
      </c>
      <c r="BC13" s="12">
        <f>IF($D13="是",K13-L13,0)</f>
        <v>5473.39</v>
      </c>
      <c r="BD13" s="12">
        <f>IF($D13="是",M13-N13,0)</f>
        <v>4264.3</v>
      </c>
      <c r="BE13" s="12">
        <f>IF($D13="是",O13-P13,0)</f>
        <v>16340.339999999998</v>
      </c>
      <c r="BF13" s="12">
        <f>IF($D13="是",Q13-R13,0)</f>
        <v>1485.42</v>
      </c>
      <c r="BG13" s="12">
        <f>IF($D13="是",S13-T13,0)</f>
        <v>12975.39</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7">
        <f>IF($D13="是",AR13-AS13,0)</f>
        <v>0</v>
      </c>
    </row>
    <row r="14" spans="1:72" s="1574" customFormat="1">
      <c r="A14" s="1046"/>
      <c r="B14" s="29"/>
      <c r="C14" s="29"/>
      <c r="D14" s="1620"/>
      <c r="E14" s="12">
        <f>IF($C$3="是",ROUND($A$3*G14/$B$3,2),ROUND($A$3*(G14-AT14)/$B$3,2))</f>
        <v>0</v>
      </c>
      <c r="F14" s="27"/>
      <c r="G14" s="28">
        <f>H14+AC14+AT14</f>
        <v>0</v>
      </c>
      <c r="H14" s="16">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2">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7">
        <f>IF($D14="是",AR14-AS14,0)</f>
        <v>0</v>
      </c>
    </row>
    <row r="15" spans="1:72" s="1574" customFormat="1">
      <c r="A15" s="1046"/>
      <c r="B15" s="29"/>
      <c r="C15" s="29"/>
      <c r="D15" s="1620"/>
      <c r="E15" s="12">
        <f>IF($C$3="是",ROUND($A$3*G15/$B$3,2),ROUND($A$3*(G15-AT15)/$B$3,2))</f>
        <v>0</v>
      </c>
      <c r="F15" s="27"/>
      <c r="G15" s="28">
        <f>H15+AC15+AT15</f>
        <v>0</v>
      </c>
      <c r="H15" s="16">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2">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7">
        <f>IF($D15="是",AR15-AS15,0)</f>
        <v>0</v>
      </c>
    </row>
    <row r="16" spans="1:72" s="1574" customFormat="1">
      <c r="A16" s="1046"/>
      <c r="B16" s="29"/>
      <c r="C16" s="29"/>
      <c r="D16" s="1620"/>
      <c r="E16" s="12">
        <f>IF($C$3="是",ROUND($A$3*G16/$B$3,2),ROUND($A$3*(G16-AT16)/$B$3,2))</f>
        <v>0</v>
      </c>
      <c r="F16" s="27"/>
      <c r="G16" s="28">
        <f>H16+AC16+AT16</f>
        <v>0</v>
      </c>
      <c r="H16" s="16">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2">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7">
        <f>IF($D16="是",AR16-AS16,0)</f>
        <v>0</v>
      </c>
    </row>
    <row r="17" spans="1:72" s="1574" customFormat="1">
      <c r="A17" s="1046"/>
      <c r="B17" s="29"/>
      <c r="C17" s="29"/>
      <c r="D17" s="1620"/>
      <c r="E17" s="12">
        <f>IF($C$3="是",ROUND($A$3*G17/$B$3,2),ROUND($A$3*(G17-AT17)/$B$3,2))</f>
        <v>0</v>
      </c>
      <c r="F17" s="27"/>
      <c r="G17" s="28">
        <f>H17+AC17+AT17</f>
        <v>0</v>
      </c>
      <c r="H17" s="16">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2">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7">
        <f>IF($D17="是",AR17-AS17,0)</f>
        <v>0</v>
      </c>
    </row>
    <row r="18" spans="1:72">
      <c r="A18" s="6"/>
      <c r="B18" s="29"/>
      <c r="C18" s="29"/>
      <c r="D18" s="1620"/>
      <c r="E18" s="30">
        <f t="shared" ref="E18:E112" si="7">IF($C$3="是",ROUND($A$3*G18/$B$3,2),ROUND($A$3*(G18-AT18)/$B$3,2))</f>
        <v>0</v>
      </c>
      <c r="F18" s="31"/>
      <c r="G18" s="32">
        <f t="shared" ref="G18:G109" si="8">H18+AC18+AT18</f>
        <v>0</v>
      </c>
      <c r="H18" s="33">
        <f t="shared" ref="H18:H109" si="9">SUMIF(I$12:AB$12,"总值",I18:AB18)</f>
        <v>0</v>
      </c>
      <c r="I18" s="1621"/>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26"/>
      <c r="AV18" s="1338">
        <f t="shared" ref="AV18:AV112" si="11">A18</f>
        <v>0</v>
      </c>
      <c r="AW18" s="1338">
        <f t="shared" ref="AW18:AW112" si="12">B18</f>
        <v>0</v>
      </c>
      <c r="AX18" s="1338">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620"/>
      <c r="E19" s="30">
        <f t="shared" si="7"/>
        <v>0</v>
      </c>
      <c r="F19" s="31"/>
      <c r="G19" s="32">
        <f t="shared" si="8"/>
        <v>0</v>
      </c>
      <c r="H19" s="33">
        <f t="shared" si="9"/>
        <v>0</v>
      </c>
      <c r="I19" s="1621"/>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26"/>
      <c r="AV19" s="1338">
        <f t="shared" si="11"/>
        <v>0</v>
      </c>
      <c r="AW19" s="1338">
        <f t="shared" si="12"/>
        <v>0</v>
      </c>
      <c r="AX19" s="1338">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620"/>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26"/>
      <c r="AV20" s="1338">
        <f t="shared" si="11"/>
        <v>0</v>
      </c>
      <c r="AW20" s="1338">
        <f t="shared" si="12"/>
        <v>0</v>
      </c>
      <c r="AX20" s="1338">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620"/>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26"/>
      <c r="AV21" s="1338">
        <f t="shared" si="11"/>
        <v>0</v>
      </c>
      <c r="AW21" s="1338">
        <f t="shared" si="12"/>
        <v>0</v>
      </c>
      <c r="AX21" s="1338">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620"/>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26"/>
      <c r="AV22" s="1338">
        <f t="shared" si="11"/>
        <v>0</v>
      </c>
      <c r="AW22" s="1338">
        <f t="shared" si="12"/>
        <v>0</v>
      </c>
      <c r="AX22" s="1338">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620"/>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26"/>
      <c r="AV23" s="1338">
        <f t="shared" si="11"/>
        <v>0</v>
      </c>
      <c r="AW23" s="1338">
        <f t="shared" si="12"/>
        <v>0</v>
      </c>
      <c r="AX23" s="1338">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620"/>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26"/>
      <c r="AV24" s="1338">
        <f t="shared" si="11"/>
        <v>0</v>
      </c>
      <c r="AW24" s="1338">
        <f t="shared" si="12"/>
        <v>0</v>
      </c>
      <c r="AX24" s="1338">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620"/>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26"/>
      <c r="AV25" s="1338">
        <f t="shared" si="11"/>
        <v>0</v>
      </c>
      <c r="AW25" s="1338">
        <f t="shared" si="12"/>
        <v>0</v>
      </c>
      <c r="AX25" s="1338">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620"/>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26"/>
      <c r="AV26" s="1338">
        <f t="shared" si="11"/>
        <v>0</v>
      </c>
      <c r="AW26" s="1338">
        <f t="shared" si="12"/>
        <v>0</v>
      </c>
      <c r="AX26" s="1338">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620"/>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26"/>
      <c r="AV27" s="1338">
        <f t="shared" si="11"/>
        <v>0</v>
      </c>
      <c r="AW27" s="1338">
        <f t="shared" si="12"/>
        <v>0</v>
      </c>
      <c r="AX27" s="1338">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620"/>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26"/>
      <c r="AV28" s="1338">
        <f t="shared" si="11"/>
        <v>0</v>
      </c>
      <c r="AW28" s="1338">
        <f t="shared" si="12"/>
        <v>0</v>
      </c>
      <c r="AX28" s="1338">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620"/>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26"/>
      <c r="AV29" s="1338">
        <f t="shared" si="11"/>
        <v>0</v>
      </c>
      <c r="AW29" s="1338">
        <f t="shared" si="12"/>
        <v>0</v>
      </c>
      <c r="AX29" s="1338">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620"/>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26"/>
      <c r="AV30" s="1338">
        <f t="shared" si="11"/>
        <v>0</v>
      </c>
      <c r="AW30" s="1338">
        <f t="shared" si="12"/>
        <v>0</v>
      </c>
      <c r="AX30" s="1338">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620"/>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26"/>
      <c r="AV31" s="1338">
        <f t="shared" si="11"/>
        <v>0</v>
      </c>
      <c r="AW31" s="1338">
        <f t="shared" si="12"/>
        <v>0</v>
      </c>
      <c r="AX31" s="1338">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620"/>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26"/>
      <c r="AV32" s="1338">
        <f t="shared" si="11"/>
        <v>0</v>
      </c>
      <c r="AW32" s="1338">
        <f t="shared" si="12"/>
        <v>0</v>
      </c>
      <c r="AX32" s="1338">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620"/>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26"/>
      <c r="AV33" s="1338">
        <f t="shared" si="11"/>
        <v>0</v>
      </c>
      <c r="AW33" s="1338">
        <f t="shared" si="12"/>
        <v>0</v>
      </c>
      <c r="AX33" s="1338">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620"/>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26"/>
      <c r="AV34" s="1338">
        <f t="shared" si="11"/>
        <v>0</v>
      </c>
      <c r="AW34" s="1338">
        <f t="shared" si="12"/>
        <v>0</v>
      </c>
      <c r="AX34" s="1338">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620"/>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26"/>
      <c r="AV35" s="1338">
        <f t="shared" si="11"/>
        <v>0</v>
      </c>
      <c r="AW35" s="1338">
        <f t="shared" si="12"/>
        <v>0</v>
      </c>
      <c r="AX35" s="1338">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620"/>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26"/>
      <c r="AV36" s="1338">
        <f t="shared" si="11"/>
        <v>0</v>
      </c>
      <c r="AW36" s="1338">
        <f t="shared" si="12"/>
        <v>0</v>
      </c>
      <c r="AX36" s="1338">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620"/>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626"/>
      <c r="AV37" s="1338">
        <f t="shared" si="11"/>
        <v>0</v>
      </c>
      <c r="AW37" s="1338">
        <f t="shared" si="12"/>
        <v>0</v>
      </c>
      <c r="AX37" s="1338">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620"/>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26"/>
      <c r="AV38" s="1338">
        <f t="shared" si="11"/>
        <v>0</v>
      </c>
      <c r="AW38" s="1338">
        <f t="shared" si="12"/>
        <v>0</v>
      </c>
      <c r="AX38" s="1338">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20"/>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26"/>
      <c r="AV39" s="1338">
        <f t="shared" si="11"/>
        <v>0</v>
      </c>
      <c r="AW39" s="1338">
        <f t="shared" si="12"/>
        <v>0</v>
      </c>
      <c r="AX39" s="1338">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20"/>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26"/>
      <c r="AV40" s="1338">
        <f t="shared" si="11"/>
        <v>0</v>
      </c>
      <c r="AW40" s="1338">
        <f t="shared" si="12"/>
        <v>0</v>
      </c>
      <c r="AX40" s="1338">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20"/>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26"/>
      <c r="AV41" s="1338">
        <f t="shared" si="11"/>
        <v>0</v>
      </c>
      <c r="AW41" s="1338">
        <f t="shared" si="12"/>
        <v>0</v>
      </c>
      <c r="AX41" s="1338">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620"/>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26"/>
      <c r="AV42" s="1338">
        <f t="shared" si="11"/>
        <v>0</v>
      </c>
      <c r="AW42" s="1338">
        <f t="shared" si="12"/>
        <v>0</v>
      </c>
      <c r="AX42" s="1338">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620"/>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26"/>
      <c r="AV43" s="1338">
        <f t="shared" si="11"/>
        <v>0</v>
      </c>
      <c r="AW43" s="1338">
        <f t="shared" si="12"/>
        <v>0</v>
      </c>
      <c r="AX43" s="1338">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20"/>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26"/>
      <c r="AV44" s="1338">
        <f t="shared" si="11"/>
        <v>0</v>
      </c>
      <c r="AW44" s="1338">
        <f t="shared" si="12"/>
        <v>0</v>
      </c>
      <c r="AX44" s="1338">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20"/>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26"/>
      <c r="AV45" s="1338">
        <f t="shared" si="11"/>
        <v>0</v>
      </c>
      <c r="AW45" s="1338">
        <f t="shared" si="12"/>
        <v>0</v>
      </c>
      <c r="AX45" s="1338">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20"/>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26"/>
      <c r="AV46" s="1338">
        <f t="shared" si="11"/>
        <v>0</v>
      </c>
      <c r="AW46" s="1338">
        <f t="shared" si="12"/>
        <v>0</v>
      </c>
      <c r="AX46" s="1338">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20"/>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26"/>
      <c r="AV47" s="1338">
        <f t="shared" si="11"/>
        <v>0</v>
      </c>
      <c r="AW47" s="1338">
        <f t="shared" si="12"/>
        <v>0</v>
      </c>
      <c r="AX47" s="1338">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20"/>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26"/>
      <c r="AV48" s="1338">
        <f t="shared" si="11"/>
        <v>0</v>
      </c>
      <c r="AW48" s="1338">
        <f t="shared" si="12"/>
        <v>0</v>
      </c>
      <c r="AX48" s="1338">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20"/>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26"/>
      <c r="AV49" s="1338">
        <f t="shared" si="11"/>
        <v>0</v>
      </c>
      <c r="AW49" s="1338">
        <f t="shared" si="12"/>
        <v>0</v>
      </c>
      <c r="AX49" s="1338">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20"/>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26"/>
      <c r="AV50" s="1338">
        <f t="shared" si="11"/>
        <v>0</v>
      </c>
      <c r="AW50" s="1338">
        <f t="shared" si="12"/>
        <v>0</v>
      </c>
      <c r="AX50" s="1338">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20"/>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26"/>
      <c r="AV51" s="1338">
        <f t="shared" si="11"/>
        <v>0</v>
      </c>
      <c r="AW51" s="1338">
        <f t="shared" si="12"/>
        <v>0</v>
      </c>
      <c r="AX51" s="1338">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20"/>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26"/>
      <c r="AV52" s="1338">
        <f t="shared" si="11"/>
        <v>0</v>
      </c>
      <c r="AW52" s="1338">
        <f t="shared" si="12"/>
        <v>0</v>
      </c>
      <c r="AX52" s="1338">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25"/>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26"/>
      <c r="AV53" s="1338">
        <f t="shared" si="11"/>
        <v>0</v>
      </c>
      <c r="AW53" s="1338">
        <f t="shared" si="12"/>
        <v>0</v>
      </c>
      <c r="AX53" s="1338">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25"/>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26"/>
      <c r="AV54" s="1338">
        <f t="shared" si="11"/>
        <v>0</v>
      </c>
      <c r="AW54" s="1338">
        <f t="shared" si="12"/>
        <v>0</v>
      </c>
      <c r="AX54" s="1338">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25"/>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26"/>
      <c r="AV55" s="1338">
        <f t="shared" si="11"/>
        <v>0</v>
      </c>
      <c r="AW55" s="1338">
        <f t="shared" si="12"/>
        <v>0</v>
      </c>
      <c r="AX55" s="1338">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25"/>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26"/>
      <c r="AV56" s="1338">
        <f t="shared" si="11"/>
        <v>0</v>
      </c>
      <c r="AW56" s="1338">
        <f t="shared" si="12"/>
        <v>0</v>
      </c>
      <c r="AX56" s="1338">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25"/>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26"/>
      <c r="AV57" s="1338">
        <f t="shared" si="11"/>
        <v>0</v>
      </c>
      <c r="AW57" s="1338">
        <f t="shared" si="12"/>
        <v>0</v>
      </c>
      <c r="AX57" s="1338">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25"/>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26"/>
      <c r="AV58" s="1338">
        <f t="shared" si="11"/>
        <v>0</v>
      </c>
      <c r="AW58" s="1338">
        <f t="shared" si="12"/>
        <v>0</v>
      </c>
      <c r="AX58" s="1338">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25"/>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26"/>
      <c r="AV59" s="1338">
        <f t="shared" si="11"/>
        <v>0</v>
      </c>
      <c r="AW59" s="1338">
        <f t="shared" si="12"/>
        <v>0</v>
      </c>
      <c r="AX59" s="1338">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25"/>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26"/>
      <c r="AV60" s="1338">
        <f t="shared" si="11"/>
        <v>0</v>
      </c>
      <c r="AW60" s="1338">
        <f t="shared" si="12"/>
        <v>0</v>
      </c>
      <c r="AX60" s="1338">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25"/>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26"/>
      <c r="AV61" s="1338">
        <f t="shared" si="11"/>
        <v>0</v>
      </c>
      <c r="AW61" s="1338">
        <f t="shared" si="12"/>
        <v>0</v>
      </c>
      <c r="AX61" s="1338">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25"/>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26"/>
      <c r="AV62" s="1338">
        <f t="shared" si="11"/>
        <v>0</v>
      </c>
      <c r="AW62" s="1338">
        <f t="shared" si="12"/>
        <v>0</v>
      </c>
      <c r="AX62" s="1338">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25"/>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26"/>
      <c r="AV63" s="1338">
        <f t="shared" si="11"/>
        <v>0</v>
      </c>
      <c r="AW63" s="1338">
        <f t="shared" si="12"/>
        <v>0</v>
      </c>
      <c r="AX63" s="1338">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25"/>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26"/>
      <c r="AV64" s="1338">
        <f t="shared" si="11"/>
        <v>0</v>
      </c>
      <c r="AW64" s="1338">
        <f t="shared" si="12"/>
        <v>0</v>
      </c>
      <c r="AX64" s="1338">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25"/>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26"/>
      <c r="AV65" s="1338">
        <f t="shared" si="11"/>
        <v>0</v>
      </c>
      <c r="AW65" s="1338">
        <f t="shared" si="12"/>
        <v>0</v>
      </c>
      <c r="AX65" s="1338">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25"/>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26"/>
      <c r="AV66" s="1338">
        <f t="shared" si="11"/>
        <v>0</v>
      </c>
      <c r="AW66" s="1338">
        <f t="shared" si="12"/>
        <v>0</v>
      </c>
      <c r="AX66" s="1338">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25"/>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26"/>
      <c r="AV67" s="1338">
        <f t="shared" si="11"/>
        <v>0</v>
      </c>
      <c r="AW67" s="1338">
        <f t="shared" si="12"/>
        <v>0</v>
      </c>
      <c r="AX67" s="1338">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25"/>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26"/>
      <c r="AV68" s="1338">
        <f t="shared" si="11"/>
        <v>0</v>
      </c>
      <c r="AW68" s="1338">
        <f t="shared" si="12"/>
        <v>0</v>
      </c>
      <c r="AX68" s="1338">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25"/>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26"/>
      <c r="AV69" s="1338">
        <f t="shared" si="11"/>
        <v>0</v>
      </c>
      <c r="AW69" s="1338">
        <f t="shared" si="12"/>
        <v>0</v>
      </c>
      <c r="AX69" s="1338">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25"/>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26"/>
      <c r="AV70" s="1338">
        <f t="shared" si="11"/>
        <v>0</v>
      </c>
      <c r="AW70" s="1338">
        <f t="shared" si="12"/>
        <v>0</v>
      </c>
      <c r="AX70" s="1338">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25"/>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26"/>
      <c r="AV71" s="1338">
        <f t="shared" si="11"/>
        <v>0</v>
      </c>
      <c r="AW71" s="1338">
        <f t="shared" si="12"/>
        <v>0</v>
      </c>
      <c r="AX71" s="1338">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25"/>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26"/>
      <c r="AV72" s="1338">
        <f t="shared" si="11"/>
        <v>0</v>
      </c>
      <c r="AW72" s="1338">
        <f t="shared" si="12"/>
        <v>0</v>
      </c>
      <c r="AX72" s="1338">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25"/>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26"/>
      <c r="AV73" s="1338">
        <f t="shared" si="11"/>
        <v>0</v>
      </c>
      <c r="AW73" s="1338">
        <f t="shared" si="12"/>
        <v>0</v>
      </c>
      <c r="AX73" s="1338">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25"/>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26"/>
      <c r="AV74" s="1338">
        <f t="shared" si="11"/>
        <v>0</v>
      </c>
      <c r="AW74" s="1338">
        <f t="shared" si="12"/>
        <v>0</v>
      </c>
      <c r="AX74" s="1338">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25"/>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26"/>
      <c r="AV75" s="1338">
        <f t="shared" si="11"/>
        <v>0</v>
      </c>
      <c r="AW75" s="1338">
        <f t="shared" si="12"/>
        <v>0</v>
      </c>
      <c r="AX75" s="1338">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25"/>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26"/>
      <c r="AV76" s="1338">
        <f t="shared" si="11"/>
        <v>0</v>
      </c>
      <c r="AW76" s="1338">
        <f t="shared" si="12"/>
        <v>0</v>
      </c>
      <c r="AX76" s="1338">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25"/>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26"/>
      <c r="AV77" s="1338">
        <f t="shared" si="11"/>
        <v>0</v>
      </c>
      <c r="AW77" s="1338">
        <f t="shared" si="12"/>
        <v>0</v>
      </c>
      <c r="AX77" s="1338">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25"/>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26"/>
      <c r="AV78" s="1338">
        <f t="shared" si="11"/>
        <v>0</v>
      </c>
      <c r="AW78" s="1338">
        <f t="shared" si="12"/>
        <v>0</v>
      </c>
      <c r="AX78" s="1338">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25"/>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26"/>
      <c r="AV79" s="1338">
        <f t="shared" si="11"/>
        <v>0</v>
      </c>
      <c r="AW79" s="1338">
        <f t="shared" si="12"/>
        <v>0</v>
      </c>
      <c r="AX79" s="1338">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25"/>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26"/>
      <c r="AV80" s="1338">
        <f t="shared" si="11"/>
        <v>0</v>
      </c>
      <c r="AW80" s="1338">
        <f t="shared" si="12"/>
        <v>0</v>
      </c>
      <c r="AX80" s="1338">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25"/>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26"/>
      <c r="AV81" s="1338">
        <f t="shared" si="11"/>
        <v>0</v>
      </c>
      <c r="AW81" s="1338">
        <f t="shared" si="12"/>
        <v>0</v>
      </c>
      <c r="AX81" s="1338">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25"/>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26"/>
      <c r="AV82" s="1338">
        <f t="shared" si="11"/>
        <v>0</v>
      </c>
      <c r="AW82" s="1338">
        <f t="shared" si="12"/>
        <v>0</v>
      </c>
      <c r="AX82" s="1338">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25"/>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26"/>
      <c r="AV83" s="1338">
        <f t="shared" si="11"/>
        <v>0</v>
      </c>
      <c r="AW83" s="1338">
        <f t="shared" si="12"/>
        <v>0</v>
      </c>
      <c r="AX83" s="1338">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25"/>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26"/>
      <c r="AV84" s="1338">
        <f t="shared" si="11"/>
        <v>0</v>
      </c>
      <c r="AW84" s="1338">
        <f t="shared" si="12"/>
        <v>0</v>
      </c>
      <c r="AX84" s="1338">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25"/>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26"/>
      <c r="AV85" s="1338">
        <f t="shared" si="11"/>
        <v>0</v>
      </c>
      <c r="AW85" s="1338">
        <f t="shared" si="12"/>
        <v>0</v>
      </c>
      <c r="AX85" s="1338">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25"/>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26"/>
      <c r="AV86" s="1338">
        <f t="shared" si="11"/>
        <v>0</v>
      </c>
      <c r="AW86" s="1338">
        <f t="shared" si="12"/>
        <v>0</v>
      </c>
      <c r="AX86" s="1338">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25"/>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26"/>
      <c r="AV87" s="1338">
        <f t="shared" si="11"/>
        <v>0</v>
      </c>
      <c r="AW87" s="1338">
        <f t="shared" si="12"/>
        <v>0</v>
      </c>
      <c r="AX87" s="1338">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25"/>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26"/>
      <c r="AV88" s="1338">
        <f t="shared" si="11"/>
        <v>0</v>
      </c>
      <c r="AW88" s="1338">
        <f t="shared" si="12"/>
        <v>0</v>
      </c>
      <c r="AX88" s="1338">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25"/>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26"/>
      <c r="AV89" s="1338">
        <f t="shared" si="11"/>
        <v>0</v>
      </c>
      <c r="AW89" s="1338">
        <f t="shared" si="12"/>
        <v>0</v>
      </c>
      <c r="AX89" s="1338">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25"/>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26"/>
      <c r="AV90" s="1338">
        <f t="shared" si="11"/>
        <v>0</v>
      </c>
      <c r="AW90" s="1338">
        <f t="shared" si="12"/>
        <v>0</v>
      </c>
      <c r="AX90" s="1338">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25"/>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26"/>
      <c r="AV91" s="1338">
        <f t="shared" si="11"/>
        <v>0</v>
      </c>
      <c r="AW91" s="1338">
        <f t="shared" si="12"/>
        <v>0</v>
      </c>
      <c r="AX91" s="1338">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25"/>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26"/>
      <c r="AV92" s="1338">
        <f t="shared" si="11"/>
        <v>0</v>
      </c>
      <c r="AW92" s="1338">
        <f t="shared" si="12"/>
        <v>0</v>
      </c>
      <c r="AX92" s="1338">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25"/>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26"/>
      <c r="AV93" s="1338">
        <f t="shared" si="11"/>
        <v>0</v>
      </c>
      <c r="AW93" s="1338">
        <f t="shared" si="12"/>
        <v>0</v>
      </c>
      <c r="AX93" s="1338">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25"/>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26"/>
      <c r="AV94" s="1338">
        <f t="shared" si="11"/>
        <v>0</v>
      </c>
      <c r="AW94" s="1338">
        <f t="shared" si="12"/>
        <v>0</v>
      </c>
      <c r="AX94" s="1338">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25"/>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26"/>
      <c r="AV95" s="1338">
        <f t="shared" si="11"/>
        <v>0</v>
      </c>
      <c r="AW95" s="1338">
        <f t="shared" si="12"/>
        <v>0</v>
      </c>
      <c r="AX95" s="1338">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25"/>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26"/>
      <c r="AV96" s="1338">
        <f t="shared" si="11"/>
        <v>0</v>
      </c>
      <c r="AW96" s="1338">
        <f t="shared" si="12"/>
        <v>0</v>
      </c>
      <c r="AX96" s="1338">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25"/>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26"/>
      <c r="AV97" s="1338">
        <f t="shared" si="11"/>
        <v>0</v>
      </c>
      <c r="AW97" s="1338">
        <f t="shared" si="12"/>
        <v>0</v>
      </c>
      <c r="AX97" s="1338">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25"/>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26"/>
      <c r="AV98" s="1338">
        <f t="shared" si="11"/>
        <v>0</v>
      </c>
      <c r="AW98" s="1338">
        <f t="shared" si="12"/>
        <v>0</v>
      </c>
      <c r="AX98" s="1338">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25"/>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26"/>
      <c r="AV99" s="1338">
        <f t="shared" si="11"/>
        <v>0</v>
      </c>
      <c r="AW99" s="1338">
        <f t="shared" si="12"/>
        <v>0</v>
      </c>
      <c r="AX99" s="1338">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25"/>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26"/>
      <c r="AV100" s="1338">
        <f t="shared" si="11"/>
        <v>0</v>
      </c>
      <c r="AW100" s="1338">
        <f t="shared" si="12"/>
        <v>0</v>
      </c>
      <c r="AX100" s="1338">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25"/>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26"/>
      <c r="AV101" s="1338">
        <f t="shared" si="11"/>
        <v>0</v>
      </c>
      <c r="AW101" s="1338">
        <f t="shared" si="12"/>
        <v>0</v>
      </c>
      <c r="AX101" s="1338">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25"/>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26"/>
      <c r="AV102" s="1338">
        <f t="shared" si="11"/>
        <v>0</v>
      </c>
      <c r="AW102" s="1338">
        <f t="shared" si="12"/>
        <v>0</v>
      </c>
      <c r="AX102" s="1338">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25"/>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26"/>
      <c r="AV103" s="1338">
        <f t="shared" si="11"/>
        <v>0</v>
      </c>
      <c r="AW103" s="1338">
        <f t="shared" si="12"/>
        <v>0</v>
      </c>
      <c r="AX103" s="1338">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25"/>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26"/>
      <c r="AV104" s="1338">
        <f t="shared" si="11"/>
        <v>0</v>
      </c>
      <c r="AW104" s="1338">
        <f t="shared" si="12"/>
        <v>0</v>
      </c>
      <c r="AX104" s="1338">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25"/>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26"/>
      <c r="AV105" s="1338">
        <f t="shared" si="11"/>
        <v>0</v>
      </c>
      <c r="AW105" s="1338">
        <f t="shared" si="12"/>
        <v>0</v>
      </c>
      <c r="AX105" s="1338">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25"/>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26"/>
      <c r="AV106" s="1338">
        <f t="shared" si="11"/>
        <v>0</v>
      </c>
      <c r="AW106" s="1338">
        <f t="shared" si="12"/>
        <v>0</v>
      </c>
      <c r="AX106" s="1338">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25"/>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26"/>
      <c r="AV107" s="1338">
        <f t="shared" si="11"/>
        <v>0</v>
      </c>
      <c r="AW107" s="1338">
        <f t="shared" si="12"/>
        <v>0</v>
      </c>
      <c r="AX107" s="1338">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25"/>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26"/>
      <c r="AV108" s="1338">
        <f t="shared" si="11"/>
        <v>0</v>
      </c>
      <c r="AW108" s="1338">
        <f t="shared" si="12"/>
        <v>0</v>
      </c>
      <c r="AX108" s="1338">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25"/>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26"/>
      <c r="AV109" s="1338">
        <f t="shared" si="11"/>
        <v>0</v>
      </c>
      <c r="AW109" s="1338">
        <f t="shared" si="12"/>
        <v>0</v>
      </c>
      <c r="AX109" s="1338">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25"/>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566"/>
      <c r="AV110" s="1338">
        <f t="shared" si="11"/>
        <v>0</v>
      </c>
      <c r="AW110" s="1338">
        <f t="shared" si="12"/>
        <v>0</v>
      </c>
      <c r="AX110" s="1338">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25"/>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566"/>
      <c r="AV111" s="1338">
        <f t="shared" si="11"/>
        <v>0</v>
      </c>
      <c r="AW111" s="1338">
        <f t="shared" si="12"/>
        <v>0</v>
      </c>
      <c r="AX111" s="1338">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25"/>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566"/>
      <c r="AV112" s="1338">
        <f t="shared" si="11"/>
        <v>0</v>
      </c>
      <c r="AW112" s="1338">
        <f t="shared" si="12"/>
        <v>0</v>
      </c>
      <c r="AX112" s="1338">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25"/>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26"/>
      <c r="AV113" s="1338">
        <f t="shared" ref="AV113:AV144" si="62">A113</f>
        <v>0</v>
      </c>
      <c r="AW113" s="1338">
        <f t="shared" ref="AW113:AW144" si="63">B113</f>
        <v>0</v>
      </c>
      <c r="AX113" s="1338">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25"/>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26"/>
      <c r="AV114" s="1338">
        <f t="shared" si="62"/>
        <v>0</v>
      </c>
      <c r="AW114" s="1338">
        <f t="shared" si="63"/>
        <v>0</v>
      </c>
      <c r="AX114" s="1338">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25"/>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26"/>
      <c r="AV115" s="1338">
        <f t="shared" si="62"/>
        <v>0</v>
      </c>
      <c r="AW115" s="1338">
        <f t="shared" si="63"/>
        <v>0</v>
      </c>
      <c r="AX115" s="1338">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25"/>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26"/>
      <c r="AV116" s="1338">
        <f t="shared" si="62"/>
        <v>0</v>
      </c>
      <c r="AW116" s="1338">
        <f t="shared" si="63"/>
        <v>0</v>
      </c>
      <c r="AX116" s="1338">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25"/>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26"/>
      <c r="AV117" s="1338">
        <f t="shared" si="62"/>
        <v>0</v>
      </c>
      <c r="AW117" s="1338">
        <f t="shared" si="63"/>
        <v>0</v>
      </c>
      <c r="AX117" s="1338">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25"/>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26"/>
      <c r="AV118" s="1338">
        <f t="shared" si="62"/>
        <v>0</v>
      </c>
      <c r="AW118" s="1338">
        <f t="shared" si="63"/>
        <v>0</v>
      </c>
      <c r="AX118" s="1338">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25"/>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26"/>
      <c r="AV119" s="1338">
        <f t="shared" si="62"/>
        <v>0</v>
      </c>
      <c r="AW119" s="1338">
        <f t="shared" si="63"/>
        <v>0</v>
      </c>
      <c r="AX119" s="1338">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25"/>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26"/>
      <c r="AV120" s="1338">
        <f t="shared" si="62"/>
        <v>0</v>
      </c>
      <c r="AW120" s="1338">
        <f t="shared" si="63"/>
        <v>0</v>
      </c>
      <c r="AX120" s="1338">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25"/>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26"/>
      <c r="AV121" s="1338">
        <f t="shared" si="62"/>
        <v>0</v>
      </c>
      <c r="AW121" s="1338">
        <f t="shared" si="63"/>
        <v>0</v>
      </c>
      <c r="AX121" s="1338">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25"/>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26"/>
      <c r="AV122" s="1338">
        <f t="shared" si="62"/>
        <v>0</v>
      </c>
      <c r="AW122" s="1338">
        <f t="shared" si="63"/>
        <v>0</v>
      </c>
      <c r="AX122" s="1338">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25"/>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26"/>
      <c r="AV123" s="1338">
        <f t="shared" si="62"/>
        <v>0</v>
      </c>
      <c r="AW123" s="1338">
        <f t="shared" si="63"/>
        <v>0</v>
      </c>
      <c r="AX123" s="1338">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25"/>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26"/>
      <c r="AV124" s="1338">
        <f t="shared" si="62"/>
        <v>0</v>
      </c>
      <c r="AW124" s="1338">
        <f t="shared" si="63"/>
        <v>0</v>
      </c>
      <c r="AX124" s="1338">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25"/>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26"/>
      <c r="AV125" s="1338">
        <f t="shared" si="62"/>
        <v>0</v>
      </c>
      <c r="AW125" s="1338">
        <f t="shared" si="63"/>
        <v>0</v>
      </c>
      <c r="AX125" s="1338">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25"/>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26"/>
      <c r="AV126" s="1338">
        <f t="shared" si="62"/>
        <v>0</v>
      </c>
      <c r="AW126" s="1338">
        <f t="shared" si="63"/>
        <v>0</v>
      </c>
      <c r="AX126" s="1338">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25"/>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26"/>
      <c r="AV127" s="1338">
        <f t="shared" si="62"/>
        <v>0</v>
      </c>
      <c r="AW127" s="1338">
        <f t="shared" si="63"/>
        <v>0</v>
      </c>
      <c r="AX127" s="1338">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25"/>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26"/>
      <c r="AV128" s="1338">
        <f t="shared" si="62"/>
        <v>0</v>
      </c>
      <c r="AW128" s="1338">
        <f t="shared" si="63"/>
        <v>0</v>
      </c>
      <c r="AX128" s="1338">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25"/>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26"/>
      <c r="AV129" s="1338">
        <f t="shared" si="62"/>
        <v>0</v>
      </c>
      <c r="AW129" s="1338">
        <f t="shared" si="63"/>
        <v>0</v>
      </c>
      <c r="AX129" s="1338">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25"/>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26"/>
      <c r="AV130" s="1338">
        <f t="shared" si="62"/>
        <v>0</v>
      </c>
      <c r="AW130" s="1338">
        <f t="shared" si="63"/>
        <v>0</v>
      </c>
      <c r="AX130" s="1338">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25"/>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26"/>
      <c r="AV131" s="1338">
        <f t="shared" si="62"/>
        <v>0</v>
      </c>
      <c r="AW131" s="1338">
        <f t="shared" si="63"/>
        <v>0</v>
      </c>
      <c r="AX131" s="1338">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25"/>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26"/>
      <c r="AV132" s="1338">
        <f t="shared" si="62"/>
        <v>0</v>
      </c>
      <c r="AW132" s="1338">
        <f t="shared" si="63"/>
        <v>0</v>
      </c>
      <c r="AX132" s="1338">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25"/>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26"/>
      <c r="AV133" s="1338">
        <f t="shared" si="62"/>
        <v>0</v>
      </c>
      <c r="AW133" s="1338">
        <f t="shared" si="63"/>
        <v>0</v>
      </c>
      <c r="AX133" s="1338">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25"/>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26"/>
      <c r="AV134" s="1338">
        <f t="shared" si="62"/>
        <v>0</v>
      </c>
      <c r="AW134" s="1338">
        <f t="shared" si="63"/>
        <v>0</v>
      </c>
      <c r="AX134" s="1338">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25"/>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26"/>
      <c r="AV135" s="1338">
        <f t="shared" si="62"/>
        <v>0</v>
      </c>
      <c r="AW135" s="1338">
        <f t="shared" si="63"/>
        <v>0</v>
      </c>
      <c r="AX135" s="1338">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25"/>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26"/>
      <c r="AV136" s="1338">
        <f t="shared" si="62"/>
        <v>0</v>
      </c>
      <c r="AW136" s="1338">
        <f t="shared" si="63"/>
        <v>0</v>
      </c>
      <c r="AX136" s="1338">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25"/>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26"/>
      <c r="AV137" s="1338">
        <f t="shared" si="62"/>
        <v>0</v>
      </c>
      <c r="AW137" s="1338">
        <f t="shared" si="63"/>
        <v>0</v>
      </c>
      <c r="AX137" s="1338">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25"/>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26"/>
      <c r="AV138" s="1338">
        <f t="shared" si="62"/>
        <v>0</v>
      </c>
      <c r="AW138" s="1338">
        <f t="shared" si="63"/>
        <v>0</v>
      </c>
      <c r="AX138" s="1338">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25"/>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26"/>
      <c r="AV139" s="1338">
        <f t="shared" si="62"/>
        <v>0</v>
      </c>
      <c r="AW139" s="1338">
        <f t="shared" si="63"/>
        <v>0</v>
      </c>
      <c r="AX139" s="1338">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25"/>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26"/>
      <c r="AV140" s="1338">
        <f t="shared" si="62"/>
        <v>0</v>
      </c>
      <c r="AW140" s="1338">
        <f t="shared" si="63"/>
        <v>0</v>
      </c>
      <c r="AX140" s="1338">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25"/>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26"/>
      <c r="AV141" s="1338">
        <f t="shared" si="62"/>
        <v>0</v>
      </c>
      <c r="AW141" s="1338">
        <f t="shared" si="63"/>
        <v>0</v>
      </c>
      <c r="AX141" s="1338">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25"/>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26"/>
      <c r="AV142" s="1338">
        <f t="shared" si="62"/>
        <v>0</v>
      </c>
      <c r="AW142" s="1338">
        <f t="shared" si="63"/>
        <v>0</v>
      </c>
      <c r="AX142" s="1338">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25"/>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26"/>
      <c r="AV143" s="1338">
        <f t="shared" si="62"/>
        <v>0</v>
      </c>
      <c r="AW143" s="1338">
        <f t="shared" si="63"/>
        <v>0</v>
      </c>
      <c r="AX143" s="1338">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25"/>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26"/>
      <c r="AV144" s="1338">
        <f t="shared" si="62"/>
        <v>0</v>
      </c>
      <c r="AW144" s="1338">
        <f t="shared" si="63"/>
        <v>0</v>
      </c>
      <c r="AX144" s="1338">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25"/>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26"/>
      <c r="AV145" s="1338">
        <f t="shared" ref="AV145:AV176" si="91">A145</f>
        <v>0</v>
      </c>
      <c r="AW145" s="1338">
        <f t="shared" ref="AW145:AW176" si="92">B145</f>
        <v>0</v>
      </c>
      <c r="AX145" s="1338">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25"/>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26"/>
      <c r="AV146" s="1338">
        <f t="shared" si="91"/>
        <v>0</v>
      </c>
      <c r="AW146" s="1338">
        <f t="shared" si="92"/>
        <v>0</v>
      </c>
      <c r="AX146" s="1338">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25"/>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26"/>
      <c r="AV147" s="1338">
        <f t="shared" si="91"/>
        <v>0</v>
      </c>
      <c r="AW147" s="1338">
        <f t="shared" si="92"/>
        <v>0</v>
      </c>
      <c r="AX147" s="1338">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25"/>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26"/>
      <c r="AV148" s="1338">
        <f t="shared" si="91"/>
        <v>0</v>
      </c>
      <c r="AW148" s="1338">
        <f t="shared" si="92"/>
        <v>0</v>
      </c>
      <c r="AX148" s="1338">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25"/>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26"/>
      <c r="AV149" s="1338">
        <f t="shared" si="91"/>
        <v>0</v>
      </c>
      <c r="AW149" s="1338">
        <f t="shared" si="92"/>
        <v>0</v>
      </c>
      <c r="AX149" s="1338">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25"/>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26"/>
      <c r="AV150" s="1338">
        <f t="shared" si="91"/>
        <v>0</v>
      </c>
      <c r="AW150" s="1338">
        <f t="shared" si="92"/>
        <v>0</v>
      </c>
      <c r="AX150" s="1338">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25"/>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26"/>
      <c r="AV151" s="1338">
        <f t="shared" si="91"/>
        <v>0</v>
      </c>
      <c r="AW151" s="1338">
        <f t="shared" si="92"/>
        <v>0</v>
      </c>
      <c r="AX151" s="1338">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25"/>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26"/>
      <c r="AV152" s="1338">
        <f t="shared" si="91"/>
        <v>0</v>
      </c>
      <c r="AW152" s="1338">
        <f t="shared" si="92"/>
        <v>0</v>
      </c>
      <c r="AX152" s="1338">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25"/>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26"/>
      <c r="AV153" s="1338">
        <f t="shared" si="91"/>
        <v>0</v>
      </c>
      <c r="AW153" s="1338">
        <f t="shared" si="92"/>
        <v>0</v>
      </c>
      <c r="AX153" s="1338">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25"/>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26"/>
      <c r="AV154" s="1338">
        <f t="shared" si="91"/>
        <v>0</v>
      </c>
      <c r="AW154" s="1338">
        <f t="shared" si="92"/>
        <v>0</v>
      </c>
      <c r="AX154" s="1338">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25"/>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26"/>
      <c r="AV155" s="1338">
        <f t="shared" si="91"/>
        <v>0</v>
      </c>
      <c r="AW155" s="1338">
        <f t="shared" si="92"/>
        <v>0</v>
      </c>
      <c r="AX155" s="1338">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25"/>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26"/>
      <c r="AV156" s="1338">
        <f t="shared" si="91"/>
        <v>0</v>
      </c>
      <c r="AW156" s="1338">
        <f t="shared" si="92"/>
        <v>0</v>
      </c>
      <c r="AX156" s="1338">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25"/>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26"/>
      <c r="AV157" s="1338">
        <f t="shared" si="91"/>
        <v>0</v>
      </c>
      <c r="AW157" s="1338">
        <f t="shared" si="92"/>
        <v>0</v>
      </c>
      <c r="AX157" s="1338">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25"/>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26"/>
      <c r="AV158" s="1338">
        <f t="shared" si="91"/>
        <v>0</v>
      </c>
      <c r="AW158" s="1338">
        <f t="shared" si="92"/>
        <v>0</v>
      </c>
      <c r="AX158" s="1338">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25"/>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26"/>
      <c r="AV159" s="1338">
        <f t="shared" si="91"/>
        <v>0</v>
      </c>
      <c r="AW159" s="1338">
        <f t="shared" si="92"/>
        <v>0</v>
      </c>
      <c r="AX159" s="1338">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25"/>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26"/>
      <c r="AV160" s="1338">
        <f t="shared" si="91"/>
        <v>0</v>
      </c>
      <c r="AW160" s="1338">
        <f t="shared" si="92"/>
        <v>0</v>
      </c>
      <c r="AX160" s="1338">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25"/>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26"/>
      <c r="AV161" s="1338">
        <f t="shared" si="91"/>
        <v>0</v>
      </c>
      <c r="AW161" s="1338">
        <f t="shared" si="92"/>
        <v>0</v>
      </c>
      <c r="AX161" s="1338">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25"/>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26"/>
      <c r="AV162" s="1338">
        <f t="shared" si="91"/>
        <v>0</v>
      </c>
      <c r="AW162" s="1338">
        <f t="shared" si="92"/>
        <v>0</v>
      </c>
      <c r="AX162" s="1338">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25"/>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26"/>
      <c r="AV163" s="1338">
        <f t="shared" si="91"/>
        <v>0</v>
      </c>
      <c r="AW163" s="1338">
        <f t="shared" si="92"/>
        <v>0</v>
      </c>
      <c r="AX163" s="1338">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25"/>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26"/>
      <c r="AV164" s="1338">
        <f t="shared" si="91"/>
        <v>0</v>
      </c>
      <c r="AW164" s="1338">
        <f t="shared" si="92"/>
        <v>0</v>
      </c>
      <c r="AX164" s="1338">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25"/>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26"/>
      <c r="AV165" s="1338">
        <f t="shared" si="91"/>
        <v>0</v>
      </c>
      <c r="AW165" s="1338">
        <f t="shared" si="92"/>
        <v>0</v>
      </c>
      <c r="AX165" s="1338">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25"/>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26"/>
      <c r="AV166" s="1338">
        <f t="shared" si="91"/>
        <v>0</v>
      </c>
      <c r="AW166" s="1338">
        <f t="shared" si="92"/>
        <v>0</v>
      </c>
      <c r="AX166" s="1338">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25"/>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26"/>
      <c r="AV167" s="1338">
        <f t="shared" si="91"/>
        <v>0</v>
      </c>
      <c r="AW167" s="1338">
        <f t="shared" si="92"/>
        <v>0</v>
      </c>
      <c r="AX167" s="1338">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25"/>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26"/>
      <c r="AV168" s="1338">
        <f t="shared" si="91"/>
        <v>0</v>
      </c>
      <c r="AW168" s="1338">
        <f t="shared" si="92"/>
        <v>0</v>
      </c>
      <c r="AX168" s="1338">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25"/>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26"/>
      <c r="AV169" s="1338">
        <f t="shared" si="91"/>
        <v>0</v>
      </c>
      <c r="AW169" s="1338">
        <f t="shared" si="92"/>
        <v>0</v>
      </c>
      <c r="AX169" s="1338">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25"/>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26"/>
      <c r="AV170" s="1338">
        <f t="shared" si="91"/>
        <v>0</v>
      </c>
      <c r="AW170" s="1338">
        <f t="shared" si="92"/>
        <v>0</v>
      </c>
      <c r="AX170" s="1338">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25"/>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26"/>
      <c r="AV171" s="1338">
        <f t="shared" si="91"/>
        <v>0</v>
      </c>
      <c r="AW171" s="1338">
        <f t="shared" si="92"/>
        <v>0</v>
      </c>
      <c r="AX171" s="1338">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25"/>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26"/>
      <c r="AV172" s="1338">
        <f t="shared" si="91"/>
        <v>0</v>
      </c>
      <c r="AW172" s="1338">
        <f t="shared" si="92"/>
        <v>0</v>
      </c>
      <c r="AX172" s="1338">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25"/>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26"/>
      <c r="AV173" s="1338">
        <f t="shared" si="91"/>
        <v>0</v>
      </c>
      <c r="AW173" s="1338">
        <f t="shared" si="92"/>
        <v>0</v>
      </c>
      <c r="AX173" s="1338">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25"/>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26"/>
      <c r="AV174" s="1338">
        <f t="shared" si="91"/>
        <v>0</v>
      </c>
      <c r="AW174" s="1338">
        <f t="shared" si="92"/>
        <v>0</v>
      </c>
      <c r="AX174" s="1338">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25"/>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26"/>
      <c r="AV175" s="1338">
        <f t="shared" si="91"/>
        <v>0</v>
      </c>
      <c r="AW175" s="1338">
        <f t="shared" si="92"/>
        <v>0</v>
      </c>
      <c r="AX175" s="1338">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25"/>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26"/>
      <c r="AV176" s="1338">
        <f t="shared" si="91"/>
        <v>0</v>
      </c>
      <c r="AW176" s="1338">
        <f t="shared" si="92"/>
        <v>0</v>
      </c>
      <c r="AX176" s="1338">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25"/>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26"/>
      <c r="AV177" s="1338">
        <f t="shared" ref="AV177:AV207" si="120">A177</f>
        <v>0</v>
      </c>
      <c r="AW177" s="1338">
        <f t="shared" ref="AW177:AW207" si="121">B177</f>
        <v>0</v>
      </c>
      <c r="AX177" s="1338">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25"/>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26"/>
      <c r="AV178" s="1338">
        <f t="shared" si="120"/>
        <v>0</v>
      </c>
      <c r="AW178" s="1338">
        <f t="shared" si="121"/>
        <v>0</v>
      </c>
      <c r="AX178" s="1338">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25"/>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26"/>
      <c r="AV179" s="1338">
        <f t="shared" si="120"/>
        <v>0</v>
      </c>
      <c r="AW179" s="1338">
        <f t="shared" si="121"/>
        <v>0</v>
      </c>
      <c r="AX179" s="1338">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25"/>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26"/>
      <c r="AV180" s="1338">
        <f t="shared" si="120"/>
        <v>0</v>
      </c>
      <c r="AW180" s="1338">
        <f t="shared" si="121"/>
        <v>0</v>
      </c>
      <c r="AX180" s="1338">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25"/>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26"/>
      <c r="AV181" s="1338">
        <f t="shared" si="120"/>
        <v>0</v>
      </c>
      <c r="AW181" s="1338">
        <f t="shared" si="121"/>
        <v>0</v>
      </c>
      <c r="AX181" s="1338">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25"/>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26"/>
      <c r="AV182" s="1338">
        <f t="shared" si="120"/>
        <v>0</v>
      </c>
      <c r="AW182" s="1338">
        <f t="shared" si="121"/>
        <v>0</v>
      </c>
      <c r="AX182" s="1338">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25"/>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26"/>
      <c r="AV183" s="1338">
        <f t="shared" si="120"/>
        <v>0</v>
      </c>
      <c r="AW183" s="1338">
        <f t="shared" si="121"/>
        <v>0</v>
      </c>
      <c r="AX183" s="1338">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25"/>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26"/>
      <c r="AV184" s="1338">
        <f t="shared" si="120"/>
        <v>0</v>
      </c>
      <c r="AW184" s="1338">
        <f t="shared" si="121"/>
        <v>0</v>
      </c>
      <c r="AX184" s="1338">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25"/>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26"/>
      <c r="AV185" s="1338">
        <f t="shared" si="120"/>
        <v>0</v>
      </c>
      <c r="AW185" s="1338">
        <f t="shared" si="121"/>
        <v>0</v>
      </c>
      <c r="AX185" s="1338">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25"/>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26"/>
      <c r="AV186" s="1338">
        <f t="shared" si="120"/>
        <v>0</v>
      </c>
      <c r="AW186" s="1338">
        <f t="shared" si="121"/>
        <v>0</v>
      </c>
      <c r="AX186" s="1338">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25"/>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26"/>
      <c r="AV187" s="1338">
        <f t="shared" si="120"/>
        <v>0</v>
      </c>
      <c r="AW187" s="1338">
        <f t="shared" si="121"/>
        <v>0</v>
      </c>
      <c r="AX187" s="1338">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25"/>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26"/>
      <c r="AV188" s="1338">
        <f t="shared" si="120"/>
        <v>0</v>
      </c>
      <c r="AW188" s="1338">
        <f t="shared" si="121"/>
        <v>0</v>
      </c>
      <c r="AX188" s="1338">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25"/>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26"/>
      <c r="AV189" s="1338">
        <f t="shared" si="120"/>
        <v>0</v>
      </c>
      <c r="AW189" s="1338">
        <f t="shared" si="121"/>
        <v>0</v>
      </c>
      <c r="AX189" s="1338">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25"/>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26"/>
      <c r="AV190" s="1338">
        <f t="shared" si="120"/>
        <v>0</v>
      </c>
      <c r="AW190" s="1338">
        <f t="shared" si="121"/>
        <v>0</v>
      </c>
      <c r="AX190" s="1338">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25"/>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26"/>
      <c r="AV191" s="1338">
        <f t="shared" si="120"/>
        <v>0</v>
      </c>
      <c r="AW191" s="1338">
        <f t="shared" si="121"/>
        <v>0</v>
      </c>
      <c r="AX191" s="1338">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25"/>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26"/>
      <c r="AV192" s="1338">
        <f t="shared" si="120"/>
        <v>0</v>
      </c>
      <c r="AW192" s="1338">
        <f t="shared" si="121"/>
        <v>0</v>
      </c>
      <c r="AX192" s="1338">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25"/>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26"/>
      <c r="AV193" s="1338">
        <f t="shared" si="120"/>
        <v>0</v>
      </c>
      <c r="AW193" s="1338">
        <f t="shared" si="121"/>
        <v>0</v>
      </c>
      <c r="AX193" s="1338">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25"/>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26"/>
      <c r="AV194" s="1338">
        <f t="shared" si="120"/>
        <v>0</v>
      </c>
      <c r="AW194" s="1338">
        <f t="shared" si="121"/>
        <v>0</v>
      </c>
      <c r="AX194" s="1338">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25"/>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26"/>
      <c r="AV195" s="1338">
        <f t="shared" si="120"/>
        <v>0</v>
      </c>
      <c r="AW195" s="1338">
        <f t="shared" si="121"/>
        <v>0</v>
      </c>
      <c r="AX195" s="1338">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25"/>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26"/>
      <c r="AV196" s="1338">
        <f t="shared" si="120"/>
        <v>0</v>
      </c>
      <c r="AW196" s="1338">
        <f t="shared" si="121"/>
        <v>0</v>
      </c>
      <c r="AX196" s="1338">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25"/>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26"/>
      <c r="AV197" s="1338">
        <f t="shared" si="120"/>
        <v>0</v>
      </c>
      <c r="AW197" s="1338">
        <f t="shared" si="121"/>
        <v>0</v>
      </c>
      <c r="AX197" s="1338">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25"/>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26"/>
      <c r="AV198" s="1338">
        <f t="shared" si="120"/>
        <v>0</v>
      </c>
      <c r="AW198" s="1338">
        <f t="shared" si="121"/>
        <v>0</v>
      </c>
      <c r="AX198" s="1338">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25"/>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26"/>
      <c r="AV199" s="1338">
        <f t="shared" si="120"/>
        <v>0</v>
      </c>
      <c r="AW199" s="1338">
        <f t="shared" si="121"/>
        <v>0</v>
      </c>
      <c r="AX199" s="1338">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25"/>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26"/>
      <c r="AV200" s="1338">
        <f t="shared" si="120"/>
        <v>0</v>
      </c>
      <c r="AW200" s="1338">
        <f t="shared" si="121"/>
        <v>0</v>
      </c>
      <c r="AX200" s="1338">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25"/>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26"/>
      <c r="AV201" s="1338">
        <f t="shared" si="120"/>
        <v>0</v>
      </c>
      <c r="AW201" s="1338">
        <f t="shared" si="121"/>
        <v>0</v>
      </c>
      <c r="AX201" s="1338">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25"/>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26"/>
      <c r="AV202" s="1338">
        <f t="shared" si="120"/>
        <v>0</v>
      </c>
      <c r="AW202" s="1338">
        <f t="shared" si="121"/>
        <v>0</v>
      </c>
      <c r="AX202" s="1338">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25"/>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26"/>
      <c r="AV203" s="1338">
        <f t="shared" si="120"/>
        <v>0</v>
      </c>
      <c r="AW203" s="1338">
        <f t="shared" si="121"/>
        <v>0</v>
      </c>
      <c r="AX203" s="1338">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25"/>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26"/>
      <c r="AV204" s="1338">
        <f t="shared" si="120"/>
        <v>0</v>
      </c>
      <c r="AW204" s="1338">
        <f t="shared" si="121"/>
        <v>0</v>
      </c>
      <c r="AX204" s="1338">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25"/>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566"/>
      <c r="AV205" s="1338">
        <f t="shared" si="120"/>
        <v>0</v>
      </c>
      <c r="AW205" s="1338">
        <f t="shared" si="121"/>
        <v>0</v>
      </c>
      <c r="AX205" s="1338">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25"/>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566"/>
      <c r="AV206" s="1338">
        <f t="shared" si="120"/>
        <v>0</v>
      </c>
      <c r="AW206" s="1338">
        <f t="shared" si="121"/>
        <v>0</v>
      </c>
      <c r="AX206" s="1338">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25"/>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566"/>
      <c r="AV207" s="1338">
        <f t="shared" si="120"/>
        <v>0</v>
      </c>
      <c r="AW207" s="1338">
        <f t="shared" si="121"/>
        <v>0</v>
      </c>
      <c r="AX207" s="1338">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25"/>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26"/>
      <c r="AV208" s="1338">
        <f t="shared" ref="AV208:AV302" si="127">A208</f>
        <v>0</v>
      </c>
      <c r="AW208" s="1338">
        <f t="shared" ref="AW208:AW302" si="128">B208</f>
        <v>0</v>
      </c>
      <c r="AX208" s="1338">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25"/>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26"/>
      <c r="AV209" s="1338">
        <f t="shared" si="127"/>
        <v>0</v>
      </c>
      <c r="AW209" s="1338">
        <f t="shared" si="128"/>
        <v>0</v>
      </c>
      <c r="AX209" s="1338">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25"/>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26"/>
      <c r="AV210" s="1338">
        <f t="shared" si="127"/>
        <v>0</v>
      </c>
      <c r="AW210" s="1338">
        <f t="shared" si="128"/>
        <v>0</v>
      </c>
      <c r="AX210" s="1338">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25"/>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26"/>
      <c r="AV211" s="1338">
        <f t="shared" si="127"/>
        <v>0</v>
      </c>
      <c r="AW211" s="1338">
        <f t="shared" si="128"/>
        <v>0</v>
      </c>
      <c r="AX211" s="1338">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25"/>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26"/>
      <c r="AV212" s="1338">
        <f t="shared" si="127"/>
        <v>0</v>
      </c>
      <c r="AW212" s="1338">
        <f t="shared" si="128"/>
        <v>0</v>
      </c>
      <c r="AX212" s="1338">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25"/>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26"/>
      <c r="AV213" s="1338">
        <f t="shared" si="127"/>
        <v>0</v>
      </c>
      <c r="AW213" s="1338">
        <f t="shared" si="128"/>
        <v>0</v>
      </c>
      <c r="AX213" s="1338">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25"/>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26"/>
      <c r="AV214" s="1338">
        <f t="shared" si="127"/>
        <v>0</v>
      </c>
      <c r="AW214" s="1338">
        <f t="shared" si="128"/>
        <v>0</v>
      </c>
      <c r="AX214" s="1338">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25"/>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26"/>
      <c r="AV215" s="1338">
        <f t="shared" si="127"/>
        <v>0</v>
      </c>
      <c r="AW215" s="1338">
        <f t="shared" si="128"/>
        <v>0</v>
      </c>
      <c r="AX215" s="1338">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25"/>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26"/>
      <c r="AV216" s="1338">
        <f t="shared" si="127"/>
        <v>0</v>
      </c>
      <c r="AW216" s="1338">
        <f t="shared" si="128"/>
        <v>0</v>
      </c>
      <c r="AX216" s="1338">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25"/>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26"/>
      <c r="AV217" s="1338">
        <f t="shared" si="127"/>
        <v>0</v>
      </c>
      <c r="AW217" s="1338">
        <f t="shared" si="128"/>
        <v>0</v>
      </c>
      <c r="AX217" s="1338">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25"/>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26"/>
      <c r="AV218" s="1338">
        <f t="shared" si="127"/>
        <v>0</v>
      </c>
      <c r="AW218" s="1338">
        <f t="shared" si="128"/>
        <v>0</v>
      </c>
      <c r="AX218" s="1338">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25"/>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26"/>
      <c r="AV219" s="1338">
        <f t="shared" si="127"/>
        <v>0</v>
      </c>
      <c r="AW219" s="1338">
        <f t="shared" si="128"/>
        <v>0</v>
      </c>
      <c r="AX219" s="1338">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25"/>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26"/>
      <c r="AV220" s="1338">
        <f t="shared" si="127"/>
        <v>0</v>
      </c>
      <c r="AW220" s="1338">
        <f t="shared" si="128"/>
        <v>0</v>
      </c>
      <c r="AX220" s="1338">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25"/>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26"/>
      <c r="AV221" s="1338">
        <f t="shared" si="127"/>
        <v>0</v>
      </c>
      <c r="AW221" s="1338">
        <f t="shared" si="128"/>
        <v>0</v>
      </c>
      <c r="AX221" s="1338">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25"/>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26"/>
      <c r="AV222" s="1338">
        <f t="shared" si="127"/>
        <v>0</v>
      </c>
      <c r="AW222" s="1338">
        <f t="shared" si="128"/>
        <v>0</v>
      </c>
      <c r="AX222" s="1338">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25"/>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26"/>
      <c r="AV223" s="1338">
        <f t="shared" si="127"/>
        <v>0</v>
      </c>
      <c r="AW223" s="1338">
        <f t="shared" si="128"/>
        <v>0</v>
      </c>
      <c r="AX223" s="1338">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25"/>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26"/>
      <c r="AV224" s="1338">
        <f t="shared" si="127"/>
        <v>0</v>
      </c>
      <c r="AW224" s="1338">
        <f t="shared" si="128"/>
        <v>0</v>
      </c>
      <c r="AX224" s="1338">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25"/>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26"/>
      <c r="AV225" s="1338">
        <f t="shared" si="127"/>
        <v>0</v>
      </c>
      <c r="AW225" s="1338">
        <f t="shared" si="128"/>
        <v>0</v>
      </c>
      <c r="AX225" s="1338">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25"/>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26"/>
      <c r="AV226" s="1338">
        <f t="shared" si="127"/>
        <v>0</v>
      </c>
      <c r="AW226" s="1338">
        <f t="shared" si="128"/>
        <v>0</v>
      </c>
      <c r="AX226" s="1338">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25"/>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26"/>
      <c r="AV227" s="1338">
        <f t="shared" si="127"/>
        <v>0</v>
      </c>
      <c r="AW227" s="1338">
        <f t="shared" si="128"/>
        <v>0</v>
      </c>
      <c r="AX227" s="1338">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25"/>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26"/>
      <c r="AV228" s="1338">
        <f t="shared" si="127"/>
        <v>0</v>
      </c>
      <c r="AW228" s="1338">
        <f t="shared" si="128"/>
        <v>0</v>
      </c>
      <c r="AX228" s="1338">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25"/>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26"/>
      <c r="AV229" s="1338">
        <f t="shared" si="127"/>
        <v>0</v>
      </c>
      <c r="AW229" s="1338">
        <f t="shared" si="128"/>
        <v>0</v>
      </c>
      <c r="AX229" s="1338">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25"/>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26"/>
      <c r="AV230" s="1338">
        <f t="shared" si="127"/>
        <v>0</v>
      </c>
      <c r="AW230" s="1338">
        <f t="shared" si="128"/>
        <v>0</v>
      </c>
      <c r="AX230" s="1338">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25"/>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26"/>
      <c r="AV231" s="1338">
        <f t="shared" si="127"/>
        <v>0</v>
      </c>
      <c r="AW231" s="1338">
        <f t="shared" si="128"/>
        <v>0</v>
      </c>
      <c r="AX231" s="1338">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25"/>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26"/>
      <c r="AV232" s="1338">
        <f t="shared" si="127"/>
        <v>0</v>
      </c>
      <c r="AW232" s="1338">
        <f t="shared" si="128"/>
        <v>0</v>
      </c>
      <c r="AX232" s="1338">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25"/>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26"/>
      <c r="AV233" s="1338">
        <f t="shared" si="127"/>
        <v>0</v>
      </c>
      <c r="AW233" s="1338">
        <f t="shared" si="128"/>
        <v>0</v>
      </c>
      <c r="AX233" s="1338">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25"/>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26"/>
      <c r="AV234" s="1338">
        <f t="shared" si="127"/>
        <v>0</v>
      </c>
      <c r="AW234" s="1338">
        <f t="shared" si="128"/>
        <v>0</v>
      </c>
      <c r="AX234" s="1338">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25"/>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26"/>
      <c r="AV235" s="1338">
        <f t="shared" si="127"/>
        <v>0</v>
      </c>
      <c r="AW235" s="1338">
        <f t="shared" si="128"/>
        <v>0</v>
      </c>
      <c r="AX235" s="1338">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25"/>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26"/>
      <c r="AV236" s="1338">
        <f t="shared" si="127"/>
        <v>0</v>
      </c>
      <c r="AW236" s="1338">
        <f t="shared" si="128"/>
        <v>0</v>
      </c>
      <c r="AX236" s="1338">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25"/>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26"/>
      <c r="AV237" s="1338">
        <f t="shared" si="127"/>
        <v>0</v>
      </c>
      <c r="AW237" s="1338">
        <f t="shared" si="128"/>
        <v>0</v>
      </c>
      <c r="AX237" s="1338">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25"/>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26"/>
      <c r="AV238" s="1338">
        <f t="shared" si="127"/>
        <v>0</v>
      </c>
      <c r="AW238" s="1338">
        <f t="shared" si="128"/>
        <v>0</v>
      </c>
      <c r="AX238" s="1338">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25"/>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26"/>
      <c r="AV239" s="1338">
        <f t="shared" si="127"/>
        <v>0</v>
      </c>
      <c r="AW239" s="1338">
        <f t="shared" si="128"/>
        <v>0</v>
      </c>
      <c r="AX239" s="1338">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25"/>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26"/>
      <c r="AV240" s="1338">
        <f t="shared" si="127"/>
        <v>0</v>
      </c>
      <c r="AW240" s="1338">
        <f t="shared" si="128"/>
        <v>0</v>
      </c>
      <c r="AX240" s="1338">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25"/>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26"/>
      <c r="AV241" s="1338">
        <f t="shared" si="127"/>
        <v>0</v>
      </c>
      <c r="AW241" s="1338">
        <f t="shared" si="128"/>
        <v>0</v>
      </c>
      <c r="AX241" s="1338">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25"/>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26"/>
      <c r="AV242" s="1338">
        <f t="shared" si="127"/>
        <v>0</v>
      </c>
      <c r="AW242" s="1338">
        <f t="shared" si="128"/>
        <v>0</v>
      </c>
      <c r="AX242" s="1338">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25"/>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26"/>
      <c r="AV243" s="1338">
        <f t="shared" si="127"/>
        <v>0</v>
      </c>
      <c r="AW243" s="1338">
        <f t="shared" si="128"/>
        <v>0</v>
      </c>
      <c r="AX243" s="1338">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25"/>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26"/>
      <c r="AV244" s="1338">
        <f t="shared" si="127"/>
        <v>0</v>
      </c>
      <c r="AW244" s="1338">
        <f t="shared" si="128"/>
        <v>0</v>
      </c>
      <c r="AX244" s="1338">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25"/>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26"/>
      <c r="AV245" s="1338">
        <f t="shared" si="127"/>
        <v>0</v>
      </c>
      <c r="AW245" s="1338">
        <f t="shared" si="128"/>
        <v>0</v>
      </c>
      <c r="AX245" s="1338">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25"/>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26"/>
      <c r="AV246" s="1338">
        <f t="shared" si="127"/>
        <v>0</v>
      </c>
      <c r="AW246" s="1338">
        <f t="shared" si="128"/>
        <v>0</v>
      </c>
      <c r="AX246" s="1338">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25"/>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26"/>
      <c r="AV247" s="1338">
        <f t="shared" si="127"/>
        <v>0</v>
      </c>
      <c r="AW247" s="1338">
        <f t="shared" si="128"/>
        <v>0</v>
      </c>
      <c r="AX247" s="1338">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25"/>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26"/>
      <c r="AV248" s="1338">
        <f t="shared" si="127"/>
        <v>0</v>
      </c>
      <c r="AW248" s="1338">
        <f t="shared" si="128"/>
        <v>0</v>
      </c>
      <c r="AX248" s="1338">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25"/>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26"/>
      <c r="AV249" s="1338">
        <f t="shared" si="127"/>
        <v>0</v>
      </c>
      <c r="AW249" s="1338">
        <f t="shared" si="128"/>
        <v>0</v>
      </c>
      <c r="AX249" s="1338">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25"/>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26"/>
      <c r="AV250" s="1338">
        <f t="shared" si="127"/>
        <v>0</v>
      </c>
      <c r="AW250" s="1338">
        <f t="shared" si="128"/>
        <v>0</v>
      </c>
      <c r="AX250" s="1338">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25"/>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26"/>
      <c r="AV251" s="1338">
        <f t="shared" si="127"/>
        <v>0</v>
      </c>
      <c r="AW251" s="1338">
        <f t="shared" si="128"/>
        <v>0</v>
      </c>
      <c r="AX251" s="1338">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25"/>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26"/>
      <c r="AV252" s="1338">
        <f t="shared" si="127"/>
        <v>0</v>
      </c>
      <c r="AW252" s="1338">
        <f t="shared" si="128"/>
        <v>0</v>
      </c>
      <c r="AX252" s="1338">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25"/>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26"/>
      <c r="AV253" s="1338">
        <f t="shared" si="127"/>
        <v>0</v>
      </c>
      <c r="AW253" s="1338">
        <f t="shared" si="128"/>
        <v>0</v>
      </c>
      <c r="AX253" s="1338">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25"/>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26"/>
      <c r="AV254" s="1338">
        <f t="shared" si="127"/>
        <v>0</v>
      </c>
      <c r="AW254" s="1338">
        <f t="shared" si="128"/>
        <v>0</v>
      </c>
      <c r="AX254" s="1338">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25"/>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26"/>
      <c r="AV255" s="1338">
        <f t="shared" si="127"/>
        <v>0</v>
      </c>
      <c r="AW255" s="1338">
        <f t="shared" si="128"/>
        <v>0</v>
      </c>
      <c r="AX255" s="1338">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25"/>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26"/>
      <c r="AV256" s="1338">
        <f t="shared" si="127"/>
        <v>0</v>
      </c>
      <c r="AW256" s="1338">
        <f t="shared" si="128"/>
        <v>0</v>
      </c>
      <c r="AX256" s="1338">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25"/>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26"/>
      <c r="AV257" s="1338">
        <f t="shared" si="127"/>
        <v>0</v>
      </c>
      <c r="AW257" s="1338">
        <f t="shared" si="128"/>
        <v>0</v>
      </c>
      <c r="AX257" s="1338">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25"/>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26"/>
      <c r="AV258" s="1338">
        <f t="shared" si="127"/>
        <v>0</v>
      </c>
      <c r="AW258" s="1338">
        <f t="shared" si="128"/>
        <v>0</v>
      </c>
      <c r="AX258" s="1338">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25"/>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26"/>
      <c r="AV259" s="1338">
        <f t="shared" si="127"/>
        <v>0</v>
      </c>
      <c r="AW259" s="1338">
        <f t="shared" si="128"/>
        <v>0</v>
      </c>
      <c r="AX259" s="1338">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25"/>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26"/>
      <c r="AV260" s="1338">
        <f t="shared" si="127"/>
        <v>0</v>
      </c>
      <c r="AW260" s="1338">
        <f t="shared" si="128"/>
        <v>0</v>
      </c>
      <c r="AX260" s="1338">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25"/>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26"/>
      <c r="AV261" s="1338">
        <f t="shared" si="127"/>
        <v>0</v>
      </c>
      <c r="AW261" s="1338">
        <f t="shared" si="128"/>
        <v>0</v>
      </c>
      <c r="AX261" s="1338">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25"/>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26"/>
      <c r="AV262" s="1338">
        <f t="shared" si="127"/>
        <v>0</v>
      </c>
      <c r="AW262" s="1338">
        <f t="shared" si="128"/>
        <v>0</v>
      </c>
      <c r="AX262" s="1338">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25"/>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26"/>
      <c r="AV263" s="1338">
        <f t="shared" si="127"/>
        <v>0</v>
      </c>
      <c r="AW263" s="1338">
        <f t="shared" si="128"/>
        <v>0</v>
      </c>
      <c r="AX263" s="1338">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25"/>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26"/>
      <c r="AV264" s="1338">
        <f t="shared" si="127"/>
        <v>0</v>
      </c>
      <c r="AW264" s="1338">
        <f t="shared" si="128"/>
        <v>0</v>
      </c>
      <c r="AX264" s="1338">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25"/>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26"/>
      <c r="AV265" s="1338">
        <f t="shared" si="127"/>
        <v>0</v>
      </c>
      <c r="AW265" s="1338">
        <f t="shared" si="128"/>
        <v>0</v>
      </c>
      <c r="AX265" s="1338">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25"/>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26"/>
      <c r="AV266" s="1338">
        <f t="shared" si="127"/>
        <v>0</v>
      </c>
      <c r="AW266" s="1338">
        <f t="shared" si="128"/>
        <v>0</v>
      </c>
      <c r="AX266" s="1338">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25"/>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26"/>
      <c r="AV267" s="1338">
        <f t="shared" si="127"/>
        <v>0</v>
      </c>
      <c r="AW267" s="1338">
        <f t="shared" si="128"/>
        <v>0</v>
      </c>
      <c r="AX267" s="1338">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25"/>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26"/>
      <c r="AV268" s="1338">
        <f t="shared" si="127"/>
        <v>0</v>
      </c>
      <c r="AW268" s="1338">
        <f t="shared" si="128"/>
        <v>0</v>
      </c>
      <c r="AX268" s="1338">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25"/>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26"/>
      <c r="AV269" s="1338">
        <f t="shared" si="127"/>
        <v>0</v>
      </c>
      <c r="AW269" s="1338">
        <f t="shared" si="128"/>
        <v>0</v>
      </c>
      <c r="AX269" s="1338">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25"/>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26"/>
      <c r="AV270" s="1338">
        <f t="shared" si="127"/>
        <v>0</v>
      </c>
      <c r="AW270" s="1338">
        <f t="shared" si="128"/>
        <v>0</v>
      </c>
      <c r="AX270" s="1338">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25"/>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26"/>
      <c r="AV271" s="1338">
        <f t="shared" si="127"/>
        <v>0</v>
      </c>
      <c r="AW271" s="1338">
        <f t="shared" si="128"/>
        <v>0</v>
      </c>
      <c r="AX271" s="1338">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25"/>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26"/>
      <c r="AV272" s="1338">
        <f t="shared" si="127"/>
        <v>0</v>
      </c>
      <c r="AW272" s="1338">
        <f t="shared" si="128"/>
        <v>0</v>
      </c>
      <c r="AX272" s="1338">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25"/>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26"/>
      <c r="AV273" s="1338">
        <f t="shared" si="127"/>
        <v>0</v>
      </c>
      <c r="AW273" s="1338">
        <f t="shared" si="128"/>
        <v>0</v>
      </c>
      <c r="AX273" s="1338">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25"/>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26"/>
      <c r="AV274" s="1338">
        <f t="shared" si="127"/>
        <v>0</v>
      </c>
      <c r="AW274" s="1338">
        <f t="shared" si="128"/>
        <v>0</v>
      </c>
      <c r="AX274" s="1338">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25"/>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26"/>
      <c r="AV275" s="1338">
        <f t="shared" si="127"/>
        <v>0</v>
      </c>
      <c r="AW275" s="1338">
        <f t="shared" si="128"/>
        <v>0</v>
      </c>
      <c r="AX275" s="1338">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25"/>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26"/>
      <c r="AV276" s="1338">
        <f t="shared" si="127"/>
        <v>0</v>
      </c>
      <c r="AW276" s="1338">
        <f t="shared" si="128"/>
        <v>0</v>
      </c>
      <c r="AX276" s="1338">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25"/>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26"/>
      <c r="AV277" s="1338">
        <f t="shared" si="127"/>
        <v>0</v>
      </c>
      <c r="AW277" s="1338">
        <f t="shared" si="128"/>
        <v>0</v>
      </c>
      <c r="AX277" s="1338">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25"/>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26"/>
      <c r="AV278" s="1338">
        <f t="shared" si="127"/>
        <v>0</v>
      </c>
      <c r="AW278" s="1338">
        <f t="shared" si="128"/>
        <v>0</v>
      </c>
      <c r="AX278" s="1338">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25"/>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26"/>
      <c r="AV279" s="1338">
        <f t="shared" si="127"/>
        <v>0</v>
      </c>
      <c r="AW279" s="1338">
        <f t="shared" si="128"/>
        <v>0</v>
      </c>
      <c r="AX279" s="1338">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25"/>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26"/>
      <c r="AV280" s="1338">
        <f t="shared" si="127"/>
        <v>0</v>
      </c>
      <c r="AW280" s="1338">
        <f t="shared" si="128"/>
        <v>0</v>
      </c>
      <c r="AX280" s="1338">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25"/>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26"/>
      <c r="AV281" s="1338">
        <f t="shared" si="127"/>
        <v>0</v>
      </c>
      <c r="AW281" s="1338">
        <f t="shared" si="128"/>
        <v>0</v>
      </c>
      <c r="AX281" s="1338">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25"/>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26"/>
      <c r="AV282" s="1338">
        <f t="shared" si="127"/>
        <v>0</v>
      </c>
      <c r="AW282" s="1338">
        <f t="shared" si="128"/>
        <v>0</v>
      </c>
      <c r="AX282" s="1338">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25"/>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26"/>
      <c r="AV283" s="1338">
        <f t="shared" si="127"/>
        <v>0</v>
      </c>
      <c r="AW283" s="1338">
        <f t="shared" si="128"/>
        <v>0</v>
      </c>
      <c r="AX283" s="1338">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25"/>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26"/>
      <c r="AV284" s="1338">
        <f t="shared" si="127"/>
        <v>0</v>
      </c>
      <c r="AW284" s="1338">
        <f t="shared" si="128"/>
        <v>0</v>
      </c>
      <c r="AX284" s="1338">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25"/>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26"/>
      <c r="AV285" s="1338">
        <f t="shared" si="127"/>
        <v>0</v>
      </c>
      <c r="AW285" s="1338">
        <f t="shared" si="128"/>
        <v>0</v>
      </c>
      <c r="AX285" s="1338">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25"/>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26"/>
      <c r="AV286" s="1338">
        <f t="shared" si="127"/>
        <v>0</v>
      </c>
      <c r="AW286" s="1338">
        <f t="shared" si="128"/>
        <v>0</v>
      </c>
      <c r="AX286" s="1338">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25"/>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26"/>
      <c r="AV287" s="1338">
        <f t="shared" si="127"/>
        <v>0</v>
      </c>
      <c r="AW287" s="1338">
        <f t="shared" si="128"/>
        <v>0</v>
      </c>
      <c r="AX287" s="1338">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25"/>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26"/>
      <c r="AV288" s="1338">
        <f t="shared" si="127"/>
        <v>0</v>
      </c>
      <c r="AW288" s="1338">
        <f t="shared" si="128"/>
        <v>0</v>
      </c>
      <c r="AX288" s="1338">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25"/>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26"/>
      <c r="AV289" s="1338">
        <f t="shared" si="127"/>
        <v>0</v>
      </c>
      <c r="AW289" s="1338">
        <f t="shared" si="128"/>
        <v>0</v>
      </c>
      <c r="AX289" s="1338">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25"/>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26"/>
      <c r="AV290" s="1338">
        <f t="shared" si="127"/>
        <v>0</v>
      </c>
      <c r="AW290" s="1338">
        <f t="shared" si="128"/>
        <v>0</v>
      </c>
      <c r="AX290" s="1338">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25"/>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26"/>
      <c r="AV291" s="1338">
        <f t="shared" si="127"/>
        <v>0</v>
      </c>
      <c r="AW291" s="1338">
        <f t="shared" si="128"/>
        <v>0</v>
      </c>
      <c r="AX291" s="1338">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25"/>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26"/>
      <c r="AV292" s="1338">
        <f t="shared" si="127"/>
        <v>0</v>
      </c>
      <c r="AW292" s="1338">
        <f t="shared" si="128"/>
        <v>0</v>
      </c>
      <c r="AX292" s="1338">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25"/>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26"/>
      <c r="AV293" s="1338">
        <f t="shared" si="127"/>
        <v>0</v>
      </c>
      <c r="AW293" s="1338">
        <f t="shared" si="128"/>
        <v>0</v>
      </c>
      <c r="AX293" s="1338">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25"/>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26"/>
      <c r="AV294" s="1338">
        <f t="shared" si="127"/>
        <v>0</v>
      </c>
      <c r="AW294" s="1338">
        <f t="shared" si="128"/>
        <v>0</v>
      </c>
      <c r="AX294" s="1338">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25"/>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26"/>
      <c r="AV295" s="1338">
        <f t="shared" si="127"/>
        <v>0</v>
      </c>
      <c r="AW295" s="1338">
        <f t="shared" si="128"/>
        <v>0</v>
      </c>
      <c r="AX295" s="1338">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25"/>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26"/>
      <c r="AV296" s="1338">
        <f t="shared" si="127"/>
        <v>0</v>
      </c>
      <c r="AW296" s="1338">
        <f t="shared" si="128"/>
        <v>0</v>
      </c>
      <c r="AX296" s="1338">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25"/>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26"/>
      <c r="AV297" s="1338">
        <f t="shared" si="127"/>
        <v>0</v>
      </c>
      <c r="AW297" s="1338">
        <f t="shared" si="128"/>
        <v>0</v>
      </c>
      <c r="AX297" s="1338">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25"/>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26"/>
      <c r="AV298" s="1338">
        <f t="shared" si="127"/>
        <v>0</v>
      </c>
      <c r="AW298" s="1338">
        <f t="shared" si="128"/>
        <v>0</v>
      </c>
      <c r="AX298" s="1338">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25"/>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26"/>
      <c r="AV299" s="1338">
        <f t="shared" si="127"/>
        <v>0</v>
      </c>
      <c r="AW299" s="1338">
        <f t="shared" si="128"/>
        <v>0</v>
      </c>
      <c r="AX299" s="1338">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25"/>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566"/>
      <c r="AV300" s="1338">
        <f t="shared" si="127"/>
        <v>0</v>
      </c>
      <c r="AW300" s="1338">
        <f t="shared" si="128"/>
        <v>0</v>
      </c>
      <c r="AX300" s="1338">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25"/>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566"/>
      <c r="AV301" s="1338">
        <f t="shared" si="127"/>
        <v>0</v>
      </c>
      <c r="AW301" s="1338">
        <f t="shared" si="128"/>
        <v>0</v>
      </c>
      <c r="AX301" s="1338">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25"/>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566"/>
      <c r="AV302" s="1338">
        <f t="shared" si="127"/>
        <v>0</v>
      </c>
      <c r="AW302" s="1338">
        <f t="shared" si="128"/>
        <v>0</v>
      </c>
      <c r="AX302" s="1338">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25"/>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26"/>
      <c r="AV303" s="1338">
        <f t="shared" ref="AV303:AV334" si="178">A303</f>
        <v>0</v>
      </c>
      <c r="AW303" s="1338">
        <f t="shared" ref="AW303:AW334" si="179">B303</f>
        <v>0</v>
      </c>
      <c r="AX303" s="1338">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25"/>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26"/>
      <c r="AV304" s="1338">
        <f t="shared" si="178"/>
        <v>0</v>
      </c>
      <c r="AW304" s="1338">
        <f t="shared" si="179"/>
        <v>0</v>
      </c>
      <c r="AX304" s="1338">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25"/>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26"/>
      <c r="AV305" s="1338">
        <f t="shared" si="178"/>
        <v>0</v>
      </c>
      <c r="AW305" s="1338">
        <f t="shared" si="179"/>
        <v>0</v>
      </c>
      <c r="AX305" s="1338">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25"/>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26"/>
      <c r="AV306" s="1338">
        <f t="shared" si="178"/>
        <v>0</v>
      </c>
      <c r="AW306" s="1338">
        <f t="shared" si="179"/>
        <v>0</v>
      </c>
      <c r="AX306" s="1338">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25"/>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26"/>
      <c r="AV307" s="1338">
        <f t="shared" si="178"/>
        <v>0</v>
      </c>
      <c r="AW307" s="1338">
        <f t="shared" si="179"/>
        <v>0</v>
      </c>
      <c r="AX307" s="1338">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25"/>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26"/>
      <c r="AV308" s="1338">
        <f t="shared" si="178"/>
        <v>0</v>
      </c>
      <c r="AW308" s="1338">
        <f t="shared" si="179"/>
        <v>0</v>
      </c>
      <c r="AX308" s="1338">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25"/>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26"/>
      <c r="AV309" s="1338">
        <f t="shared" si="178"/>
        <v>0</v>
      </c>
      <c r="AW309" s="1338">
        <f t="shared" si="179"/>
        <v>0</v>
      </c>
      <c r="AX309" s="1338">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25"/>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26"/>
      <c r="AV310" s="1338">
        <f t="shared" si="178"/>
        <v>0</v>
      </c>
      <c r="AW310" s="1338">
        <f t="shared" si="179"/>
        <v>0</v>
      </c>
      <c r="AX310" s="1338">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25"/>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26"/>
      <c r="AV311" s="1338">
        <f t="shared" si="178"/>
        <v>0</v>
      </c>
      <c r="AW311" s="1338">
        <f t="shared" si="179"/>
        <v>0</v>
      </c>
      <c r="AX311" s="1338">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25"/>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26"/>
      <c r="AV312" s="1338">
        <f t="shared" si="178"/>
        <v>0</v>
      </c>
      <c r="AW312" s="1338">
        <f t="shared" si="179"/>
        <v>0</v>
      </c>
      <c r="AX312" s="1338">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25"/>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26"/>
      <c r="AV313" s="1338">
        <f t="shared" si="178"/>
        <v>0</v>
      </c>
      <c r="AW313" s="1338">
        <f t="shared" si="179"/>
        <v>0</v>
      </c>
      <c r="AX313" s="1338">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25"/>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26"/>
      <c r="AV314" s="1338">
        <f t="shared" si="178"/>
        <v>0</v>
      </c>
      <c r="AW314" s="1338">
        <f t="shared" si="179"/>
        <v>0</v>
      </c>
      <c r="AX314" s="1338">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25"/>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26"/>
      <c r="AV315" s="1338">
        <f t="shared" si="178"/>
        <v>0</v>
      </c>
      <c r="AW315" s="1338">
        <f t="shared" si="179"/>
        <v>0</v>
      </c>
      <c r="AX315" s="1338">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25"/>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26"/>
      <c r="AV316" s="1338">
        <f t="shared" si="178"/>
        <v>0</v>
      </c>
      <c r="AW316" s="1338">
        <f t="shared" si="179"/>
        <v>0</v>
      </c>
      <c r="AX316" s="1338">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25"/>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26"/>
      <c r="AV317" s="1338">
        <f t="shared" si="178"/>
        <v>0</v>
      </c>
      <c r="AW317" s="1338">
        <f t="shared" si="179"/>
        <v>0</v>
      </c>
      <c r="AX317" s="1338">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25"/>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26"/>
      <c r="AV318" s="1338">
        <f t="shared" si="178"/>
        <v>0</v>
      </c>
      <c r="AW318" s="1338">
        <f t="shared" si="179"/>
        <v>0</v>
      </c>
      <c r="AX318" s="1338">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25"/>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26"/>
      <c r="AV319" s="1338">
        <f t="shared" si="178"/>
        <v>0</v>
      </c>
      <c r="AW319" s="1338">
        <f t="shared" si="179"/>
        <v>0</v>
      </c>
      <c r="AX319" s="1338">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25"/>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26"/>
      <c r="AV320" s="1338">
        <f t="shared" si="178"/>
        <v>0</v>
      </c>
      <c r="AW320" s="1338">
        <f t="shared" si="179"/>
        <v>0</v>
      </c>
      <c r="AX320" s="1338">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25"/>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26"/>
      <c r="AV321" s="1338">
        <f t="shared" si="178"/>
        <v>0</v>
      </c>
      <c r="AW321" s="1338">
        <f t="shared" si="179"/>
        <v>0</v>
      </c>
      <c r="AX321" s="1338">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25"/>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26"/>
      <c r="AV322" s="1338">
        <f t="shared" si="178"/>
        <v>0</v>
      </c>
      <c r="AW322" s="1338">
        <f t="shared" si="179"/>
        <v>0</v>
      </c>
      <c r="AX322" s="1338">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25"/>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26"/>
      <c r="AV323" s="1338">
        <f t="shared" si="178"/>
        <v>0</v>
      </c>
      <c r="AW323" s="1338">
        <f t="shared" si="179"/>
        <v>0</v>
      </c>
      <c r="AX323" s="1338">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25"/>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26"/>
      <c r="AV324" s="1338">
        <f t="shared" si="178"/>
        <v>0</v>
      </c>
      <c r="AW324" s="1338">
        <f t="shared" si="179"/>
        <v>0</v>
      </c>
      <c r="AX324" s="1338">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25"/>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26"/>
      <c r="AV325" s="1338">
        <f t="shared" si="178"/>
        <v>0</v>
      </c>
      <c r="AW325" s="1338">
        <f t="shared" si="179"/>
        <v>0</v>
      </c>
      <c r="AX325" s="1338">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25"/>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26"/>
      <c r="AV326" s="1338">
        <f t="shared" si="178"/>
        <v>0</v>
      </c>
      <c r="AW326" s="1338">
        <f t="shared" si="179"/>
        <v>0</v>
      </c>
      <c r="AX326" s="1338">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25"/>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26"/>
      <c r="AV327" s="1338">
        <f t="shared" si="178"/>
        <v>0</v>
      </c>
      <c r="AW327" s="1338">
        <f t="shared" si="179"/>
        <v>0</v>
      </c>
      <c r="AX327" s="1338">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25"/>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26"/>
      <c r="AV328" s="1338">
        <f t="shared" si="178"/>
        <v>0</v>
      </c>
      <c r="AW328" s="1338">
        <f t="shared" si="179"/>
        <v>0</v>
      </c>
      <c r="AX328" s="1338">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25"/>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26"/>
      <c r="AV329" s="1338">
        <f t="shared" si="178"/>
        <v>0</v>
      </c>
      <c r="AW329" s="1338">
        <f t="shared" si="179"/>
        <v>0</v>
      </c>
      <c r="AX329" s="1338">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25"/>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26"/>
      <c r="AV330" s="1338">
        <f t="shared" si="178"/>
        <v>0</v>
      </c>
      <c r="AW330" s="1338">
        <f t="shared" si="179"/>
        <v>0</v>
      </c>
      <c r="AX330" s="1338">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25"/>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26"/>
      <c r="AV331" s="1338">
        <f t="shared" si="178"/>
        <v>0</v>
      </c>
      <c r="AW331" s="1338">
        <f t="shared" si="179"/>
        <v>0</v>
      </c>
      <c r="AX331" s="1338">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25"/>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26"/>
      <c r="AV332" s="1338">
        <f t="shared" si="178"/>
        <v>0</v>
      </c>
      <c r="AW332" s="1338">
        <f t="shared" si="179"/>
        <v>0</v>
      </c>
      <c r="AX332" s="1338">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25"/>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26"/>
      <c r="AV333" s="1338">
        <f t="shared" si="178"/>
        <v>0</v>
      </c>
      <c r="AW333" s="1338">
        <f t="shared" si="179"/>
        <v>0</v>
      </c>
      <c r="AX333" s="1338">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25"/>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26"/>
      <c r="AV334" s="1338">
        <f t="shared" si="178"/>
        <v>0</v>
      </c>
      <c r="AW334" s="1338">
        <f t="shared" si="179"/>
        <v>0</v>
      </c>
      <c r="AX334" s="1338">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25"/>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26"/>
      <c r="AV335" s="1338">
        <f t="shared" ref="AV335:AV366" si="207">A335</f>
        <v>0</v>
      </c>
      <c r="AW335" s="1338">
        <f t="shared" ref="AW335:AW366" si="208">B335</f>
        <v>0</v>
      </c>
      <c r="AX335" s="1338">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25"/>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26"/>
      <c r="AV336" s="1338">
        <f t="shared" si="207"/>
        <v>0</v>
      </c>
      <c r="AW336" s="1338">
        <f t="shared" si="208"/>
        <v>0</v>
      </c>
      <c r="AX336" s="1338">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25"/>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26"/>
      <c r="AV337" s="1338">
        <f t="shared" si="207"/>
        <v>0</v>
      </c>
      <c r="AW337" s="1338">
        <f t="shared" si="208"/>
        <v>0</v>
      </c>
      <c r="AX337" s="1338">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25"/>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26"/>
      <c r="AV338" s="1338">
        <f t="shared" si="207"/>
        <v>0</v>
      </c>
      <c r="AW338" s="1338">
        <f t="shared" si="208"/>
        <v>0</v>
      </c>
      <c r="AX338" s="1338">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25"/>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26"/>
      <c r="AV339" s="1338">
        <f t="shared" si="207"/>
        <v>0</v>
      </c>
      <c r="AW339" s="1338">
        <f t="shared" si="208"/>
        <v>0</v>
      </c>
      <c r="AX339" s="1338">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25"/>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26"/>
      <c r="AV340" s="1338">
        <f t="shared" si="207"/>
        <v>0</v>
      </c>
      <c r="AW340" s="1338">
        <f t="shared" si="208"/>
        <v>0</v>
      </c>
      <c r="AX340" s="1338">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25"/>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26"/>
      <c r="AV341" s="1338">
        <f t="shared" si="207"/>
        <v>0</v>
      </c>
      <c r="AW341" s="1338">
        <f t="shared" si="208"/>
        <v>0</v>
      </c>
      <c r="AX341" s="1338">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25"/>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26"/>
      <c r="AV342" s="1338">
        <f t="shared" si="207"/>
        <v>0</v>
      </c>
      <c r="AW342" s="1338">
        <f t="shared" si="208"/>
        <v>0</v>
      </c>
      <c r="AX342" s="1338">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25"/>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26"/>
      <c r="AV343" s="1338">
        <f t="shared" si="207"/>
        <v>0</v>
      </c>
      <c r="AW343" s="1338">
        <f t="shared" si="208"/>
        <v>0</v>
      </c>
      <c r="AX343" s="1338">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25"/>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26"/>
      <c r="AV344" s="1338">
        <f t="shared" si="207"/>
        <v>0</v>
      </c>
      <c r="AW344" s="1338">
        <f t="shared" si="208"/>
        <v>0</v>
      </c>
      <c r="AX344" s="1338">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25"/>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26"/>
      <c r="AV345" s="1338">
        <f t="shared" si="207"/>
        <v>0</v>
      </c>
      <c r="AW345" s="1338">
        <f t="shared" si="208"/>
        <v>0</v>
      </c>
      <c r="AX345" s="1338">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25"/>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26"/>
      <c r="AV346" s="1338">
        <f t="shared" si="207"/>
        <v>0</v>
      </c>
      <c r="AW346" s="1338">
        <f t="shared" si="208"/>
        <v>0</v>
      </c>
      <c r="AX346" s="1338">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25"/>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26"/>
      <c r="AV347" s="1338">
        <f t="shared" si="207"/>
        <v>0</v>
      </c>
      <c r="AW347" s="1338">
        <f t="shared" si="208"/>
        <v>0</v>
      </c>
      <c r="AX347" s="1338">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25"/>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26"/>
      <c r="AV348" s="1338">
        <f t="shared" si="207"/>
        <v>0</v>
      </c>
      <c r="AW348" s="1338">
        <f t="shared" si="208"/>
        <v>0</v>
      </c>
      <c r="AX348" s="1338">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25"/>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26"/>
      <c r="AV349" s="1338">
        <f t="shared" si="207"/>
        <v>0</v>
      </c>
      <c r="AW349" s="1338">
        <f t="shared" si="208"/>
        <v>0</v>
      </c>
      <c r="AX349" s="1338">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25"/>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26"/>
      <c r="AV350" s="1338">
        <f t="shared" si="207"/>
        <v>0</v>
      </c>
      <c r="AW350" s="1338">
        <f t="shared" si="208"/>
        <v>0</v>
      </c>
      <c r="AX350" s="1338">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25"/>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26"/>
      <c r="AV351" s="1338">
        <f t="shared" si="207"/>
        <v>0</v>
      </c>
      <c r="AW351" s="1338">
        <f t="shared" si="208"/>
        <v>0</v>
      </c>
      <c r="AX351" s="1338">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25"/>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26"/>
      <c r="AV352" s="1338">
        <f t="shared" si="207"/>
        <v>0</v>
      </c>
      <c r="AW352" s="1338">
        <f t="shared" si="208"/>
        <v>0</v>
      </c>
      <c r="AX352" s="1338">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25"/>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26"/>
      <c r="AV353" s="1338">
        <f t="shared" si="207"/>
        <v>0</v>
      </c>
      <c r="AW353" s="1338">
        <f t="shared" si="208"/>
        <v>0</v>
      </c>
      <c r="AX353" s="1338">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25"/>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26"/>
      <c r="AV354" s="1338">
        <f t="shared" si="207"/>
        <v>0</v>
      </c>
      <c r="AW354" s="1338">
        <f t="shared" si="208"/>
        <v>0</v>
      </c>
      <c r="AX354" s="1338">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25"/>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26"/>
      <c r="AV355" s="1338">
        <f t="shared" si="207"/>
        <v>0</v>
      </c>
      <c r="AW355" s="1338">
        <f t="shared" si="208"/>
        <v>0</v>
      </c>
      <c r="AX355" s="1338">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25"/>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26"/>
      <c r="AV356" s="1338">
        <f t="shared" si="207"/>
        <v>0</v>
      </c>
      <c r="AW356" s="1338">
        <f t="shared" si="208"/>
        <v>0</v>
      </c>
      <c r="AX356" s="1338">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25"/>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26"/>
      <c r="AV357" s="1338">
        <f t="shared" si="207"/>
        <v>0</v>
      </c>
      <c r="AW357" s="1338">
        <f t="shared" si="208"/>
        <v>0</v>
      </c>
      <c r="AX357" s="1338">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25"/>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26"/>
      <c r="AV358" s="1338">
        <f t="shared" si="207"/>
        <v>0</v>
      </c>
      <c r="AW358" s="1338">
        <f t="shared" si="208"/>
        <v>0</v>
      </c>
      <c r="AX358" s="1338">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25"/>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26"/>
      <c r="AV359" s="1338">
        <f t="shared" si="207"/>
        <v>0</v>
      </c>
      <c r="AW359" s="1338">
        <f t="shared" si="208"/>
        <v>0</v>
      </c>
      <c r="AX359" s="1338">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25"/>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26"/>
      <c r="AV360" s="1338">
        <f t="shared" si="207"/>
        <v>0</v>
      </c>
      <c r="AW360" s="1338">
        <f t="shared" si="208"/>
        <v>0</v>
      </c>
      <c r="AX360" s="1338">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25"/>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26"/>
      <c r="AV361" s="1338">
        <f t="shared" si="207"/>
        <v>0</v>
      </c>
      <c r="AW361" s="1338">
        <f t="shared" si="208"/>
        <v>0</v>
      </c>
      <c r="AX361" s="1338">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25"/>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26"/>
      <c r="AV362" s="1338">
        <f t="shared" si="207"/>
        <v>0</v>
      </c>
      <c r="AW362" s="1338">
        <f t="shared" si="208"/>
        <v>0</v>
      </c>
      <c r="AX362" s="1338">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25"/>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26"/>
      <c r="AV363" s="1338">
        <f t="shared" si="207"/>
        <v>0</v>
      </c>
      <c r="AW363" s="1338">
        <f t="shared" si="208"/>
        <v>0</v>
      </c>
      <c r="AX363" s="1338">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25"/>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26"/>
      <c r="AV364" s="1338">
        <f t="shared" si="207"/>
        <v>0</v>
      </c>
      <c r="AW364" s="1338">
        <f t="shared" si="208"/>
        <v>0</v>
      </c>
      <c r="AX364" s="1338">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25"/>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26"/>
      <c r="AV365" s="1338">
        <f t="shared" si="207"/>
        <v>0</v>
      </c>
      <c r="AW365" s="1338">
        <f t="shared" si="208"/>
        <v>0</v>
      </c>
      <c r="AX365" s="1338">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25"/>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26"/>
      <c r="AV366" s="1338">
        <f t="shared" si="207"/>
        <v>0</v>
      </c>
      <c r="AW366" s="1338">
        <f t="shared" si="208"/>
        <v>0</v>
      </c>
      <c r="AX366" s="1338">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25"/>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26"/>
      <c r="AV367" s="1338">
        <f t="shared" ref="AV367:AV397" si="236">A367</f>
        <v>0</v>
      </c>
      <c r="AW367" s="1338">
        <f t="shared" ref="AW367:AW397" si="237">B367</f>
        <v>0</v>
      </c>
      <c r="AX367" s="1338">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25"/>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26"/>
      <c r="AV368" s="1338">
        <f t="shared" si="236"/>
        <v>0</v>
      </c>
      <c r="AW368" s="1338">
        <f t="shared" si="237"/>
        <v>0</v>
      </c>
      <c r="AX368" s="1338">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25"/>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26"/>
      <c r="AV369" s="1338">
        <f t="shared" si="236"/>
        <v>0</v>
      </c>
      <c r="AW369" s="1338">
        <f t="shared" si="237"/>
        <v>0</v>
      </c>
      <c r="AX369" s="1338">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25"/>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26"/>
      <c r="AV370" s="1338">
        <f t="shared" si="236"/>
        <v>0</v>
      </c>
      <c r="AW370" s="1338">
        <f t="shared" si="237"/>
        <v>0</v>
      </c>
      <c r="AX370" s="1338">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25"/>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26"/>
      <c r="AV371" s="1338">
        <f t="shared" si="236"/>
        <v>0</v>
      </c>
      <c r="AW371" s="1338">
        <f t="shared" si="237"/>
        <v>0</v>
      </c>
      <c r="AX371" s="1338">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25"/>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26"/>
      <c r="AV372" s="1338">
        <f t="shared" si="236"/>
        <v>0</v>
      </c>
      <c r="AW372" s="1338">
        <f t="shared" si="237"/>
        <v>0</v>
      </c>
      <c r="AX372" s="1338">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25"/>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26"/>
      <c r="AV373" s="1338">
        <f t="shared" si="236"/>
        <v>0</v>
      </c>
      <c r="AW373" s="1338">
        <f t="shared" si="237"/>
        <v>0</v>
      </c>
      <c r="AX373" s="1338">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25"/>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26"/>
      <c r="AV374" s="1338">
        <f t="shared" si="236"/>
        <v>0</v>
      </c>
      <c r="AW374" s="1338">
        <f t="shared" si="237"/>
        <v>0</v>
      </c>
      <c r="AX374" s="1338">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25"/>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26"/>
      <c r="AV375" s="1338">
        <f t="shared" si="236"/>
        <v>0</v>
      </c>
      <c r="AW375" s="1338">
        <f t="shared" si="237"/>
        <v>0</v>
      </c>
      <c r="AX375" s="1338">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25"/>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26"/>
      <c r="AV376" s="1338">
        <f t="shared" si="236"/>
        <v>0</v>
      </c>
      <c r="AW376" s="1338">
        <f t="shared" si="237"/>
        <v>0</v>
      </c>
      <c r="AX376" s="1338">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25"/>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26"/>
      <c r="AV377" s="1338">
        <f t="shared" si="236"/>
        <v>0</v>
      </c>
      <c r="AW377" s="1338">
        <f t="shared" si="237"/>
        <v>0</v>
      </c>
      <c r="AX377" s="1338">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25"/>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26"/>
      <c r="AV378" s="1338">
        <f t="shared" si="236"/>
        <v>0</v>
      </c>
      <c r="AW378" s="1338">
        <f t="shared" si="237"/>
        <v>0</v>
      </c>
      <c r="AX378" s="1338">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25"/>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26"/>
      <c r="AV379" s="1338">
        <f t="shared" si="236"/>
        <v>0</v>
      </c>
      <c r="AW379" s="1338">
        <f t="shared" si="237"/>
        <v>0</v>
      </c>
      <c r="AX379" s="1338">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25"/>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26"/>
      <c r="AV380" s="1338">
        <f t="shared" si="236"/>
        <v>0</v>
      </c>
      <c r="AW380" s="1338">
        <f t="shared" si="237"/>
        <v>0</v>
      </c>
      <c r="AX380" s="1338">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25"/>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26"/>
      <c r="AV381" s="1338">
        <f t="shared" si="236"/>
        <v>0</v>
      </c>
      <c r="AW381" s="1338">
        <f t="shared" si="237"/>
        <v>0</v>
      </c>
      <c r="AX381" s="1338">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25"/>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26"/>
      <c r="AV382" s="1338">
        <f t="shared" si="236"/>
        <v>0</v>
      </c>
      <c r="AW382" s="1338">
        <f t="shared" si="237"/>
        <v>0</v>
      </c>
      <c r="AX382" s="1338">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25"/>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26"/>
      <c r="AV383" s="1338">
        <f t="shared" si="236"/>
        <v>0</v>
      </c>
      <c r="AW383" s="1338">
        <f t="shared" si="237"/>
        <v>0</v>
      </c>
      <c r="AX383" s="1338">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25"/>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26"/>
      <c r="AV384" s="1338">
        <f t="shared" si="236"/>
        <v>0</v>
      </c>
      <c r="AW384" s="1338">
        <f t="shared" si="237"/>
        <v>0</v>
      </c>
      <c r="AX384" s="1338">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25"/>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26"/>
      <c r="AV385" s="1338">
        <f t="shared" si="236"/>
        <v>0</v>
      </c>
      <c r="AW385" s="1338">
        <f t="shared" si="237"/>
        <v>0</v>
      </c>
      <c r="AX385" s="1338">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25"/>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26"/>
      <c r="AV386" s="1338">
        <f t="shared" si="236"/>
        <v>0</v>
      </c>
      <c r="AW386" s="1338">
        <f t="shared" si="237"/>
        <v>0</v>
      </c>
      <c r="AX386" s="1338">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25"/>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26"/>
      <c r="AV387" s="1338">
        <f t="shared" si="236"/>
        <v>0</v>
      </c>
      <c r="AW387" s="1338">
        <f t="shared" si="237"/>
        <v>0</v>
      </c>
      <c r="AX387" s="1338">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25"/>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26"/>
      <c r="AV388" s="1338">
        <f t="shared" si="236"/>
        <v>0</v>
      </c>
      <c r="AW388" s="1338">
        <f t="shared" si="237"/>
        <v>0</v>
      </c>
      <c r="AX388" s="1338">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25"/>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26"/>
      <c r="AV389" s="1338">
        <f t="shared" si="236"/>
        <v>0</v>
      </c>
      <c r="AW389" s="1338">
        <f t="shared" si="237"/>
        <v>0</v>
      </c>
      <c r="AX389" s="1338">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25"/>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26"/>
      <c r="AV390" s="1338">
        <f t="shared" si="236"/>
        <v>0</v>
      </c>
      <c r="AW390" s="1338">
        <f t="shared" si="237"/>
        <v>0</v>
      </c>
      <c r="AX390" s="1338">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25"/>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26"/>
      <c r="AV391" s="1338">
        <f t="shared" si="236"/>
        <v>0</v>
      </c>
      <c r="AW391" s="1338">
        <f t="shared" si="237"/>
        <v>0</v>
      </c>
      <c r="AX391" s="1338">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25"/>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26"/>
      <c r="AV392" s="1338">
        <f t="shared" si="236"/>
        <v>0</v>
      </c>
      <c r="AW392" s="1338">
        <f t="shared" si="237"/>
        <v>0</v>
      </c>
      <c r="AX392" s="1338">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25"/>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26"/>
      <c r="AV393" s="1338">
        <f t="shared" si="236"/>
        <v>0</v>
      </c>
      <c r="AW393" s="1338">
        <f t="shared" si="237"/>
        <v>0</v>
      </c>
      <c r="AX393" s="1338">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25"/>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26"/>
      <c r="AV394" s="1338">
        <f t="shared" si="236"/>
        <v>0</v>
      </c>
      <c r="AW394" s="1338">
        <f t="shared" si="237"/>
        <v>0</v>
      </c>
      <c r="AX394" s="1338">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25"/>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566"/>
      <c r="AV395" s="1338">
        <f t="shared" si="236"/>
        <v>0</v>
      </c>
      <c r="AW395" s="1338">
        <f t="shared" si="237"/>
        <v>0</v>
      </c>
      <c r="AX395" s="1338">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25"/>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566"/>
      <c r="AV396" s="1338">
        <f t="shared" si="236"/>
        <v>0</v>
      </c>
      <c r="AW396" s="1338">
        <f t="shared" si="237"/>
        <v>0</v>
      </c>
      <c r="AX396" s="1338">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25"/>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566"/>
      <c r="AV397" s="1338">
        <f t="shared" si="236"/>
        <v>0</v>
      </c>
      <c r="AW397" s="1338">
        <f t="shared" si="237"/>
        <v>0</v>
      </c>
      <c r="AX397" s="1338">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25"/>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26"/>
      <c r="AV398" s="1338">
        <f t="shared" ref="AV398:AV492" si="243">A398</f>
        <v>0</v>
      </c>
      <c r="AW398" s="1338">
        <f t="shared" ref="AW398:AW492" si="244">B398</f>
        <v>0</v>
      </c>
      <c r="AX398" s="1338">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25"/>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26"/>
      <c r="AV399" s="1338">
        <f t="shared" si="243"/>
        <v>0</v>
      </c>
      <c r="AW399" s="1338">
        <f t="shared" si="244"/>
        <v>0</v>
      </c>
      <c r="AX399" s="1338">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25"/>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26"/>
      <c r="AV400" s="1338">
        <f t="shared" si="243"/>
        <v>0</v>
      </c>
      <c r="AW400" s="1338">
        <f t="shared" si="244"/>
        <v>0</v>
      </c>
      <c r="AX400" s="1338">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25"/>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26"/>
      <c r="AV401" s="1338">
        <f t="shared" si="243"/>
        <v>0</v>
      </c>
      <c r="AW401" s="1338">
        <f t="shared" si="244"/>
        <v>0</v>
      </c>
      <c r="AX401" s="1338">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25"/>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26"/>
      <c r="AV402" s="1338">
        <f t="shared" si="243"/>
        <v>0</v>
      </c>
      <c r="AW402" s="1338">
        <f t="shared" si="244"/>
        <v>0</v>
      </c>
      <c r="AX402" s="1338">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25"/>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26"/>
      <c r="AV403" s="1338">
        <f t="shared" si="243"/>
        <v>0</v>
      </c>
      <c r="AW403" s="1338">
        <f t="shared" si="244"/>
        <v>0</v>
      </c>
      <c r="AX403" s="1338">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25"/>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26"/>
      <c r="AV404" s="1338">
        <f t="shared" si="243"/>
        <v>0</v>
      </c>
      <c r="AW404" s="1338">
        <f t="shared" si="244"/>
        <v>0</v>
      </c>
      <c r="AX404" s="1338">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25"/>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26"/>
      <c r="AV405" s="1338">
        <f t="shared" si="243"/>
        <v>0</v>
      </c>
      <c r="AW405" s="1338">
        <f t="shared" si="244"/>
        <v>0</v>
      </c>
      <c r="AX405" s="1338">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25"/>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26"/>
      <c r="AV406" s="1338">
        <f t="shared" si="243"/>
        <v>0</v>
      </c>
      <c r="AW406" s="1338">
        <f t="shared" si="244"/>
        <v>0</v>
      </c>
      <c r="AX406" s="1338">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25"/>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26"/>
      <c r="AV407" s="1338">
        <f t="shared" si="243"/>
        <v>0</v>
      </c>
      <c r="AW407" s="1338">
        <f t="shared" si="244"/>
        <v>0</v>
      </c>
      <c r="AX407" s="1338">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25"/>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26"/>
      <c r="AV408" s="1338">
        <f t="shared" si="243"/>
        <v>0</v>
      </c>
      <c r="AW408" s="1338">
        <f t="shared" si="244"/>
        <v>0</v>
      </c>
      <c r="AX408" s="1338">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25"/>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26"/>
      <c r="AV409" s="1338">
        <f t="shared" si="243"/>
        <v>0</v>
      </c>
      <c r="AW409" s="1338">
        <f t="shared" si="244"/>
        <v>0</v>
      </c>
      <c r="AX409" s="1338">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25"/>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26"/>
      <c r="AV410" s="1338">
        <f t="shared" si="243"/>
        <v>0</v>
      </c>
      <c r="AW410" s="1338">
        <f t="shared" si="244"/>
        <v>0</v>
      </c>
      <c r="AX410" s="1338">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25"/>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26"/>
      <c r="AV411" s="1338">
        <f t="shared" si="243"/>
        <v>0</v>
      </c>
      <c r="AW411" s="1338">
        <f t="shared" si="244"/>
        <v>0</v>
      </c>
      <c r="AX411" s="1338">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25"/>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26"/>
      <c r="AV412" s="1338">
        <f t="shared" si="243"/>
        <v>0</v>
      </c>
      <c r="AW412" s="1338">
        <f t="shared" si="244"/>
        <v>0</v>
      </c>
      <c r="AX412" s="1338">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25"/>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26"/>
      <c r="AV413" s="1338">
        <f t="shared" si="243"/>
        <v>0</v>
      </c>
      <c r="AW413" s="1338">
        <f t="shared" si="244"/>
        <v>0</v>
      </c>
      <c r="AX413" s="1338">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25"/>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26"/>
      <c r="AV414" s="1338">
        <f t="shared" si="243"/>
        <v>0</v>
      </c>
      <c r="AW414" s="1338">
        <f t="shared" si="244"/>
        <v>0</v>
      </c>
      <c r="AX414" s="1338">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25"/>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26"/>
      <c r="AV415" s="1338">
        <f t="shared" si="243"/>
        <v>0</v>
      </c>
      <c r="AW415" s="1338">
        <f t="shared" si="244"/>
        <v>0</v>
      </c>
      <c r="AX415" s="1338">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25"/>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26"/>
      <c r="AV416" s="1338">
        <f t="shared" si="243"/>
        <v>0</v>
      </c>
      <c r="AW416" s="1338">
        <f t="shared" si="244"/>
        <v>0</v>
      </c>
      <c r="AX416" s="1338">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25"/>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26"/>
      <c r="AV417" s="1338">
        <f t="shared" si="243"/>
        <v>0</v>
      </c>
      <c r="AW417" s="1338">
        <f t="shared" si="244"/>
        <v>0</v>
      </c>
      <c r="AX417" s="1338">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25"/>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26"/>
      <c r="AV418" s="1338">
        <f t="shared" si="243"/>
        <v>0</v>
      </c>
      <c r="AW418" s="1338">
        <f t="shared" si="244"/>
        <v>0</v>
      </c>
      <c r="AX418" s="1338">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25"/>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26"/>
      <c r="AV419" s="1338">
        <f t="shared" si="243"/>
        <v>0</v>
      </c>
      <c r="AW419" s="1338">
        <f t="shared" si="244"/>
        <v>0</v>
      </c>
      <c r="AX419" s="1338">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25"/>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26"/>
      <c r="AV420" s="1338">
        <f t="shared" si="243"/>
        <v>0</v>
      </c>
      <c r="AW420" s="1338">
        <f t="shared" si="244"/>
        <v>0</v>
      </c>
      <c r="AX420" s="1338">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25"/>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26"/>
      <c r="AV421" s="1338">
        <f t="shared" si="243"/>
        <v>0</v>
      </c>
      <c r="AW421" s="1338">
        <f t="shared" si="244"/>
        <v>0</v>
      </c>
      <c r="AX421" s="1338">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25"/>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26"/>
      <c r="AV422" s="1338">
        <f t="shared" si="243"/>
        <v>0</v>
      </c>
      <c r="AW422" s="1338">
        <f t="shared" si="244"/>
        <v>0</v>
      </c>
      <c r="AX422" s="1338">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25"/>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26"/>
      <c r="AV423" s="1338">
        <f t="shared" si="243"/>
        <v>0</v>
      </c>
      <c r="AW423" s="1338">
        <f t="shared" si="244"/>
        <v>0</v>
      </c>
      <c r="AX423" s="1338">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25"/>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26"/>
      <c r="AV424" s="1338">
        <f t="shared" si="243"/>
        <v>0</v>
      </c>
      <c r="AW424" s="1338">
        <f t="shared" si="244"/>
        <v>0</v>
      </c>
      <c r="AX424" s="1338">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25"/>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26"/>
      <c r="AV425" s="1338">
        <f t="shared" si="243"/>
        <v>0</v>
      </c>
      <c r="AW425" s="1338">
        <f t="shared" si="244"/>
        <v>0</v>
      </c>
      <c r="AX425" s="1338">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25"/>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26"/>
      <c r="AV426" s="1338">
        <f t="shared" si="243"/>
        <v>0</v>
      </c>
      <c r="AW426" s="1338">
        <f t="shared" si="244"/>
        <v>0</v>
      </c>
      <c r="AX426" s="1338">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25"/>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26"/>
      <c r="AV427" s="1338">
        <f t="shared" si="243"/>
        <v>0</v>
      </c>
      <c r="AW427" s="1338">
        <f t="shared" si="244"/>
        <v>0</v>
      </c>
      <c r="AX427" s="1338">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25"/>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26"/>
      <c r="AV428" s="1338">
        <f t="shared" si="243"/>
        <v>0</v>
      </c>
      <c r="AW428" s="1338">
        <f t="shared" si="244"/>
        <v>0</v>
      </c>
      <c r="AX428" s="1338">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25"/>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26"/>
      <c r="AV429" s="1338">
        <f t="shared" si="243"/>
        <v>0</v>
      </c>
      <c r="AW429" s="1338">
        <f t="shared" si="244"/>
        <v>0</v>
      </c>
      <c r="AX429" s="1338">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25"/>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26"/>
      <c r="AV430" s="1338">
        <f t="shared" si="243"/>
        <v>0</v>
      </c>
      <c r="AW430" s="1338">
        <f t="shared" si="244"/>
        <v>0</v>
      </c>
      <c r="AX430" s="1338">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25"/>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26"/>
      <c r="AV431" s="1338">
        <f t="shared" si="243"/>
        <v>0</v>
      </c>
      <c r="AW431" s="1338">
        <f t="shared" si="244"/>
        <v>0</v>
      </c>
      <c r="AX431" s="1338">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25"/>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26"/>
      <c r="AV432" s="1338">
        <f t="shared" si="243"/>
        <v>0</v>
      </c>
      <c r="AW432" s="1338">
        <f t="shared" si="244"/>
        <v>0</v>
      </c>
      <c r="AX432" s="1338">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25"/>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26"/>
      <c r="AV433" s="1338">
        <f t="shared" si="243"/>
        <v>0</v>
      </c>
      <c r="AW433" s="1338">
        <f t="shared" si="244"/>
        <v>0</v>
      </c>
      <c r="AX433" s="1338">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25"/>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26"/>
      <c r="AV434" s="1338">
        <f t="shared" si="243"/>
        <v>0</v>
      </c>
      <c r="AW434" s="1338">
        <f t="shared" si="244"/>
        <v>0</v>
      </c>
      <c r="AX434" s="1338">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25"/>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26"/>
      <c r="AV435" s="1338">
        <f t="shared" si="243"/>
        <v>0</v>
      </c>
      <c r="AW435" s="1338">
        <f t="shared" si="244"/>
        <v>0</v>
      </c>
      <c r="AX435" s="1338">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25"/>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26"/>
      <c r="AV436" s="1338">
        <f t="shared" si="243"/>
        <v>0</v>
      </c>
      <c r="AW436" s="1338">
        <f t="shared" si="244"/>
        <v>0</v>
      </c>
      <c r="AX436" s="1338">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25"/>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26"/>
      <c r="AV437" s="1338">
        <f t="shared" si="243"/>
        <v>0</v>
      </c>
      <c r="AW437" s="1338">
        <f t="shared" si="244"/>
        <v>0</v>
      </c>
      <c r="AX437" s="1338">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25"/>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26"/>
      <c r="AV438" s="1338">
        <f t="shared" si="243"/>
        <v>0</v>
      </c>
      <c r="AW438" s="1338">
        <f t="shared" si="244"/>
        <v>0</v>
      </c>
      <c r="AX438" s="1338">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25"/>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26"/>
      <c r="AV439" s="1338">
        <f t="shared" si="243"/>
        <v>0</v>
      </c>
      <c r="AW439" s="1338">
        <f t="shared" si="244"/>
        <v>0</v>
      </c>
      <c r="AX439" s="1338">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25"/>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26"/>
      <c r="AV440" s="1338">
        <f t="shared" si="243"/>
        <v>0</v>
      </c>
      <c r="AW440" s="1338">
        <f t="shared" si="244"/>
        <v>0</v>
      </c>
      <c r="AX440" s="1338">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25"/>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26"/>
      <c r="AV441" s="1338">
        <f t="shared" si="243"/>
        <v>0</v>
      </c>
      <c r="AW441" s="1338">
        <f t="shared" si="244"/>
        <v>0</v>
      </c>
      <c r="AX441" s="1338">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25"/>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26"/>
      <c r="AV442" s="1338">
        <f t="shared" si="243"/>
        <v>0</v>
      </c>
      <c r="AW442" s="1338">
        <f t="shared" si="244"/>
        <v>0</v>
      </c>
      <c r="AX442" s="1338">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25"/>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26"/>
      <c r="AV443" s="1338">
        <f t="shared" si="243"/>
        <v>0</v>
      </c>
      <c r="AW443" s="1338">
        <f t="shared" si="244"/>
        <v>0</v>
      </c>
      <c r="AX443" s="1338">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25"/>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26"/>
      <c r="AV444" s="1338">
        <f t="shared" si="243"/>
        <v>0</v>
      </c>
      <c r="AW444" s="1338">
        <f t="shared" si="244"/>
        <v>0</v>
      </c>
      <c r="AX444" s="1338">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25"/>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26"/>
      <c r="AV445" s="1338">
        <f t="shared" si="243"/>
        <v>0</v>
      </c>
      <c r="AW445" s="1338">
        <f t="shared" si="244"/>
        <v>0</v>
      </c>
      <c r="AX445" s="1338">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25"/>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26"/>
      <c r="AV446" s="1338">
        <f t="shared" si="243"/>
        <v>0</v>
      </c>
      <c r="AW446" s="1338">
        <f t="shared" si="244"/>
        <v>0</v>
      </c>
      <c r="AX446" s="1338">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25"/>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26"/>
      <c r="AV447" s="1338">
        <f t="shared" si="243"/>
        <v>0</v>
      </c>
      <c r="AW447" s="1338">
        <f t="shared" si="244"/>
        <v>0</v>
      </c>
      <c r="AX447" s="1338">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25"/>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26"/>
      <c r="AV448" s="1338">
        <f t="shared" si="243"/>
        <v>0</v>
      </c>
      <c r="AW448" s="1338">
        <f t="shared" si="244"/>
        <v>0</v>
      </c>
      <c r="AX448" s="1338">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25"/>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26"/>
      <c r="AV449" s="1338">
        <f t="shared" si="243"/>
        <v>0</v>
      </c>
      <c r="AW449" s="1338">
        <f t="shared" si="244"/>
        <v>0</v>
      </c>
      <c r="AX449" s="1338">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25"/>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26"/>
      <c r="AV450" s="1338">
        <f t="shared" si="243"/>
        <v>0</v>
      </c>
      <c r="AW450" s="1338">
        <f t="shared" si="244"/>
        <v>0</v>
      </c>
      <c r="AX450" s="1338">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25"/>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26"/>
      <c r="AV451" s="1338">
        <f t="shared" si="243"/>
        <v>0</v>
      </c>
      <c r="AW451" s="1338">
        <f t="shared" si="244"/>
        <v>0</v>
      </c>
      <c r="AX451" s="1338">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25"/>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26"/>
      <c r="AV452" s="1338">
        <f t="shared" si="243"/>
        <v>0</v>
      </c>
      <c r="AW452" s="1338">
        <f t="shared" si="244"/>
        <v>0</v>
      </c>
      <c r="AX452" s="1338">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25"/>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26"/>
      <c r="AV453" s="1338">
        <f t="shared" si="243"/>
        <v>0</v>
      </c>
      <c r="AW453" s="1338">
        <f t="shared" si="244"/>
        <v>0</v>
      </c>
      <c r="AX453" s="1338">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25"/>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26"/>
      <c r="AV454" s="1338">
        <f t="shared" si="243"/>
        <v>0</v>
      </c>
      <c r="AW454" s="1338">
        <f t="shared" si="244"/>
        <v>0</v>
      </c>
      <c r="AX454" s="1338">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25"/>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26"/>
      <c r="AV455" s="1338">
        <f t="shared" si="243"/>
        <v>0</v>
      </c>
      <c r="AW455" s="1338">
        <f t="shared" si="244"/>
        <v>0</v>
      </c>
      <c r="AX455" s="1338">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25"/>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26"/>
      <c r="AV456" s="1338">
        <f t="shared" si="243"/>
        <v>0</v>
      </c>
      <c r="AW456" s="1338">
        <f t="shared" si="244"/>
        <v>0</v>
      </c>
      <c r="AX456" s="1338">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25"/>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26"/>
      <c r="AV457" s="1338">
        <f t="shared" si="243"/>
        <v>0</v>
      </c>
      <c r="AW457" s="1338">
        <f t="shared" si="244"/>
        <v>0</v>
      </c>
      <c r="AX457" s="1338">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25"/>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26"/>
      <c r="AV458" s="1338">
        <f t="shared" si="243"/>
        <v>0</v>
      </c>
      <c r="AW458" s="1338">
        <f t="shared" si="244"/>
        <v>0</v>
      </c>
      <c r="AX458" s="1338">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25"/>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26"/>
      <c r="AV459" s="1338">
        <f t="shared" si="243"/>
        <v>0</v>
      </c>
      <c r="AW459" s="1338">
        <f t="shared" si="244"/>
        <v>0</v>
      </c>
      <c r="AX459" s="1338">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25"/>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26"/>
      <c r="AV460" s="1338">
        <f t="shared" si="243"/>
        <v>0</v>
      </c>
      <c r="AW460" s="1338">
        <f t="shared" si="244"/>
        <v>0</v>
      </c>
      <c r="AX460" s="1338">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25"/>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26"/>
      <c r="AV461" s="1338">
        <f t="shared" si="243"/>
        <v>0</v>
      </c>
      <c r="AW461" s="1338">
        <f t="shared" si="244"/>
        <v>0</v>
      </c>
      <c r="AX461" s="1338">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25"/>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26"/>
      <c r="AV462" s="1338">
        <f t="shared" si="243"/>
        <v>0</v>
      </c>
      <c r="AW462" s="1338">
        <f t="shared" si="244"/>
        <v>0</v>
      </c>
      <c r="AX462" s="1338">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25"/>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26"/>
      <c r="AV463" s="1338">
        <f t="shared" si="243"/>
        <v>0</v>
      </c>
      <c r="AW463" s="1338">
        <f t="shared" si="244"/>
        <v>0</v>
      </c>
      <c r="AX463" s="1338">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25"/>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26"/>
      <c r="AV464" s="1338">
        <f t="shared" si="243"/>
        <v>0</v>
      </c>
      <c r="AW464" s="1338">
        <f t="shared" si="244"/>
        <v>0</v>
      </c>
      <c r="AX464" s="1338">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25"/>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26"/>
      <c r="AV465" s="1338">
        <f t="shared" si="243"/>
        <v>0</v>
      </c>
      <c r="AW465" s="1338">
        <f t="shared" si="244"/>
        <v>0</v>
      </c>
      <c r="AX465" s="1338">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25"/>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26"/>
      <c r="AV466" s="1338">
        <f t="shared" si="243"/>
        <v>0</v>
      </c>
      <c r="AW466" s="1338">
        <f t="shared" si="244"/>
        <v>0</v>
      </c>
      <c r="AX466" s="1338">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25"/>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26"/>
      <c r="AV467" s="1338">
        <f t="shared" si="243"/>
        <v>0</v>
      </c>
      <c r="AW467" s="1338">
        <f t="shared" si="244"/>
        <v>0</v>
      </c>
      <c r="AX467" s="1338">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25"/>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26"/>
      <c r="AV468" s="1338">
        <f t="shared" si="243"/>
        <v>0</v>
      </c>
      <c r="AW468" s="1338">
        <f t="shared" si="244"/>
        <v>0</v>
      </c>
      <c r="AX468" s="1338">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25"/>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26"/>
      <c r="AV469" s="1338">
        <f t="shared" si="243"/>
        <v>0</v>
      </c>
      <c r="AW469" s="1338">
        <f t="shared" si="244"/>
        <v>0</v>
      </c>
      <c r="AX469" s="1338">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25"/>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26"/>
      <c r="AV470" s="1338">
        <f t="shared" si="243"/>
        <v>0</v>
      </c>
      <c r="AW470" s="1338">
        <f t="shared" si="244"/>
        <v>0</v>
      </c>
      <c r="AX470" s="1338">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25"/>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26"/>
      <c r="AV471" s="1338">
        <f t="shared" si="243"/>
        <v>0</v>
      </c>
      <c r="AW471" s="1338">
        <f t="shared" si="244"/>
        <v>0</v>
      </c>
      <c r="AX471" s="1338">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25"/>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26"/>
      <c r="AV472" s="1338">
        <f t="shared" si="243"/>
        <v>0</v>
      </c>
      <c r="AW472" s="1338">
        <f t="shared" si="244"/>
        <v>0</v>
      </c>
      <c r="AX472" s="1338">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25"/>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26"/>
      <c r="AV473" s="1338">
        <f t="shared" si="243"/>
        <v>0</v>
      </c>
      <c r="AW473" s="1338">
        <f t="shared" si="244"/>
        <v>0</v>
      </c>
      <c r="AX473" s="1338">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25"/>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26"/>
      <c r="AV474" s="1338">
        <f t="shared" si="243"/>
        <v>0</v>
      </c>
      <c r="AW474" s="1338">
        <f t="shared" si="244"/>
        <v>0</v>
      </c>
      <c r="AX474" s="1338">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25"/>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26"/>
      <c r="AV475" s="1338">
        <f t="shared" si="243"/>
        <v>0</v>
      </c>
      <c r="AW475" s="1338">
        <f t="shared" si="244"/>
        <v>0</v>
      </c>
      <c r="AX475" s="1338">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25"/>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26"/>
      <c r="AV476" s="1338">
        <f t="shared" si="243"/>
        <v>0</v>
      </c>
      <c r="AW476" s="1338">
        <f t="shared" si="244"/>
        <v>0</v>
      </c>
      <c r="AX476" s="1338">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25"/>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26"/>
      <c r="AV477" s="1338">
        <f t="shared" si="243"/>
        <v>0</v>
      </c>
      <c r="AW477" s="1338">
        <f t="shared" si="244"/>
        <v>0</v>
      </c>
      <c r="AX477" s="1338">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25"/>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26"/>
      <c r="AV478" s="1338">
        <f t="shared" si="243"/>
        <v>0</v>
      </c>
      <c r="AW478" s="1338">
        <f t="shared" si="244"/>
        <v>0</v>
      </c>
      <c r="AX478" s="1338">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25"/>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26"/>
      <c r="AV479" s="1338">
        <f t="shared" si="243"/>
        <v>0</v>
      </c>
      <c r="AW479" s="1338">
        <f t="shared" si="244"/>
        <v>0</v>
      </c>
      <c r="AX479" s="1338">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25"/>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26"/>
      <c r="AV480" s="1338">
        <f t="shared" si="243"/>
        <v>0</v>
      </c>
      <c r="AW480" s="1338">
        <f t="shared" si="244"/>
        <v>0</v>
      </c>
      <c r="AX480" s="1338">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25"/>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26"/>
      <c r="AV481" s="1338">
        <f t="shared" si="243"/>
        <v>0</v>
      </c>
      <c r="AW481" s="1338">
        <f t="shared" si="244"/>
        <v>0</v>
      </c>
      <c r="AX481" s="1338">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25"/>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26"/>
      <c r="AV482" s="1338">
        <f t="shared" si="243"/>
        <v>0</v>
      </c>
      <c r="AW482" s="1338">
        <f t="shared" si="244"/>
        <v>0</v>
      </c>
      <c r="AX482" s="1338">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25"/>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26"/>
      <c r="AV483" s="1338">
        <f t="shared" si="243"/>
        <v>0</v>
      </c>
      <c r="AW483" s="1338">
        <f t="shared" si="244"/>
        <v>0</v>
      </c>
      <c r="AX483" s="1338">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25"/>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26"/>
      <c r="AV484" s="1338">
        <f t="shared" si="243"/>
        <v>0</v>
      </c>
      <c r="AW484" s="1338">
        <f t="shared" si="244"/>
        <v>0</v>
      </c>
      <c r="AX484" s="1338">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25"/>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26"/>
      <c r="AV485" s="1338">
        <f t="shared" si="243"/>
        <v>0</v>
      </c>
      <c r="AW485" s="1338">
        <f t="shared" si="244"/>
        <v>0</v>
      </c>
      <c r="AX485" s="1338">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25"/>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26"/>
      <c r="AV486" s="1338">
        <f t="shared" si="243"/>
        <v>0</v>
      </c>
      <c r="AW486" s="1338">
        <f t="shared" si="244"/>
        <v>0</v>
      </c>
      <c r="AX486" s="1338">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25"/>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26"/>
      <c r="AV487" s="1338">
        <f t="shared" si="243"/>
        <v>0</v>
      </c>
      <c r="AW487" s="1338">
        <f t="shared" si="244"/>
        <v>0</v>
      </c>
      <c r="AX487" s="1338">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25"/>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26"/>
      <c r="AV488" s="1338">
        <f t="shared" si="243"/>
        <v>0</v>
      </c>
      <c r="AW488" s="1338">
        <f t="shared" si="244"/>
        <v>0</v>
      </c>
      <c r="AX488" s="1338">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25"/>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26"/>
      <c r="AV489" s="1338">
        <f t="shared" si="243"/>
        <v>0</v>
      </c>
      <c r="AW489" s="1338">
        <f t="shared" si="244"/>
        <v>0</v>
      </c>
      <c r="AX489" s="1338">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25"/>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566"/>
      <c r="AV490" s="1338">
        <f t="shared" si="243"/>
        <v>0</v>
      </c>
      <c r="AW490" s="1338">
        <f t="shared" si="244"/>
        <v>0</v>
      </c>
      <c r="AX490" s="1338">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25"/>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566"/>
      <c r="AV491" s="1338">
        <f t="shared" si="243"/>
        <v>0</v>
      </c>
      <c r="AW491" s="1338">
        <f t="shared" si="244"/>
        <v>0</v>
      </c>
      <c r="AX491" s="1338">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25"/>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566"/>
      <c r="AV492" s="1338">
        <f t="shared" si="243"/>
        <v>0</v>
      </c>
      <c r="AW492" s="1338">
        <f t="shared" si="244"/>
        <v>0</v>
      </c>
      <c r="AX492" s="1338">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25"/>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26"/>
      <c r="AV493" s="1338">
        <f t="shared" ref="AV493:AV520" si="294">A493</f>
        <v>0</v>
      </c>
      <c r="AW493" s="1338">
        <f t="shared" ref="AW493:AW520" si="295">B493</f>
        <v>0</v>
      </c>
      <c r="AX493" s="1338">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25"/>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26"/>
      <c r="AV494" s="1338">
        <f t="shared" si="294"/>
        <v>0</v>
      </c>
      <c r="AW494" s="1338">
        <f t="shared" si="295"/>
        <v>0</v>
      </c>
      <c r="AX494" s="1338">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25"/>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26"/>
      <c r="AV495" s="1338">
        <f t="shared" si="294"/>
        <v>0</v>
      </c>
      <c r="AW495" s="1338">
        <f t="shared" si="295"/>
        <v>0</v>
      </c>
      <c r="AX495" s="1338">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25"/>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26"/>
      <c r="AV496" s="1338">
        <f t="shared" si="294"/>
        <v>0</v>
      </c>
      <c r="AW496" s="1338">
        <f t="shared" si="295"/>
        <v>0</v>
      </c>
      <c r="AX496" s="1338">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25"/>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26"/>
      <c r="AV497" s="1338">
        <f t="shared" si="294"/>
        <v>0</v>
      </c>
      <c r="AW497" s="1338">
        <f t="shared" si="295"/>
        <v>0</v>
      </c>
      <c r="AX497" s="1338">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25"/>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26"/>
      <c r="AV498" s="1338">
        <f t="shared" si="294"/>
        <v>0</v>
      </c>
      <c r="AW498" s="1338">
        <f t="shared" si="295"/>
        <v>0</v>
      </c>
      <c r="AX498" s="1338">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25"/>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26"/>
      <c r="AV499" s="1338">
        <f t="shared" si="294"/>
        <v>0</v>
      </c>
      <c r="AW499" s="1338">
        <f t="shared" si="295"/>
        <v>0</v>
      </c>
      <c r="AX499" s="1338">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25"/>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26"/>
      <c r="AV500" s="1338">
        <f t="shared" si="294"/>
        <v>0</v>
      </c>
      <c r="AW500" s="1338">
        <f t="shared" si="295"/>
        <v>0</v>
      </c>
      <c r="AX500" s="1338">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25"/>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26"/>
      <c r="AV501" s="1338">
        <f t="shared" si="294"/>
        <v>0</v>
      </c>
      <c r="AW501" s="1338">
        <f t="shared" si="295"/>
        <v>0</v>
      </c>
      <c r="AX501" s="1338">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25"/>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26"/>
      <c r="AV502" s="1338">
        <f t="shared" si="294"/>
        <v>0</v>
      </c>
      <c r="AW502" s="1338">
        <f t="shared" si="295"/>
        <v>0</v>
      </c>
      <c r="AX502" s="1338">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25"/>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26"/>
      <c r="AV503" s="1338">
        <f t="shared" si="294"/>
        <v>0</v>
      </c>
      <c r="AW503" s="1338">
        <f t="shared" si="295"/>
        <v>0</v>
      </c>
      <c r="AX503" s="1338">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25"/>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26"/>
      <c r="AV504" s="1338">
        <f t="shared" si="294"/>
        <v>0</v>
      </c>
      <c r="AW504" s="1338">
        <f t="shared" si="295"/>
        <v>0</v>
      </c>
      <c r="AX504" s="1338">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25"/>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26"/>
      <c r="AV505" s="1338">
        <f t="shared" si="294"/>
        <v>0</v>
      </c>
      <c r="AW505" s="1338">
        <f t="shared" si="295"/>
        <v>0</v>
      </c>
      <c r="AX505" s="1338">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25"/>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26"/>
      <c r="AV506" s="1338">
        <f t="shared" si="294"/>
        <v>0</v>
      </c>
      <c r="AW506" s="1338">
        <f t="shared" si="295"/>
        <v>0</v>
      </c>
      <c r="AX506" s="1338">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25"/>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26"/>
      <c r="AV507" s="1338">
        <f t="shared" si="294"/>
        <v>0</v>
      </c>
      <c r="AW507" s="1338">
        <f t="shared" si="295"/>
        <v>0</v>
      </c>
      <c r="AX507" s="1338">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25"/>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26"/>
      <c r="AV508" s="1338">
        <f t="shared" si="294"/>
        <v>0</v>
      </c>
      <c r="AW508" s="1338">
        <f t="shared" si="295"/>
        <v>0</v>
      </c>
      <c r="AX508" s="1338">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25"/>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26"/>
      <c r="AV509" s="1338">
        <f t="shared" si="294"/>
        <v>0</v>
      </c>
      <c r="AW509" s="1338">
        <f t="shared" si="295"/>
        <v>0</v>
      </c>
      <c r="AX509" s="1338">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25"/>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26"/>
      <c r="AV510" s="1338">
        <f t="shared" si="294"/>
        <v>0</v>
      </c>
      <c r="AW510" s="1338">
        <f t="shared" si="295"/>
        <v>0</v>
      </c>
      <c r="AX510" s="1338">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25"/>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26"/>
      <c r="AV511" s="1338">
        <f t="shared" si="294"/>
        <v>0</v>
      </c>
      <c r="AW511" s="1338">
        <f t="shared" si="295"/>
        <v>0</v>
      </c>
      <c r="AX511" s="1338">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25"/>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26"/>
      <c r="AV512" s="1338">
        <f t="shared" si="294"/>
        <v>0</v>
      </c>
      <c r="AW512" s="1338">
        <f t="shared" si="295"/>
        <v>0</v>
      </c>
      <c r="AX512" s="1338">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25"/>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26"/>
      <c r="AV513" s="1338">
        <f t="shared" si="294"/>
        <v>0</v>
      </c>
      <c r="AW513" s="1338">
        <f t="shared" si="295"/>
        <v>0</v>
      </c>
      <c r="AX513" s="1338">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25"/>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26"/>
      <c r="AV514" s="1338">
        <f t="shared" si="294"/>
        <v>0</v>
      </c>
      <c r="AW514" s="1338">
        <f t="shared" si="295"/>
        <v>0</v>
      </c>
      <c r="AX514" s="1338">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25"/>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26"/>
      <c r="AV515" s="1338">
        <f t="shared" si="294"/>
        <v>0</v>
      </c>
      <c r="AW515" s="1338">
        <f t="shared" si="295"/>
        <v>0</v>
      </c>
      <c r="AX515" s="1338">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25"/>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26"/>
      <c r="AV516" s="1338">
        <f t="shared" si="294"/>
        <v>0</v>
      </c>
      <c r="AW516" s="1338">
        <f t="shared" si="295"/>
        <v>0</v>
      </c>
      <c r="AX516" s="1338">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25"/>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26"/>
      <c r="AV517" s="1338">
        <f t="shared" si="294"/>
        <v>0</v>
      </c>
      <c r="AW517" s="1338">
        <f t="shared" si="295"/>
        <v>0</v>
      </c>
      <c r="AX517" s="1338">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25"/>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26"/>
      <c r="AV518" s="1338">
        <f t="shared" si="294"/>
        <v>0</v>
      </c>
      <c r="AW518" s="1338">
        <f t="shared" si="295"/>
        <v>0</v>
      </c>
      <c r="AX518" s="1338">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25"/>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26"/>
      <c r="AV519" s="1338">
        <f t="shared" si="294"/>
        <v>0</v>
      </c>
      <c r="AW519" s="1338">
        <f t="shared" si="295"/>
        <v>0</v>
      </c>
      <c r="AX519" s="1338">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25"/>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26"/>
      <c r="AV520" s="1338">
        <f t="shared" si="294"/>
        <v>0</v>
      </c>
      <c r="AW520" s="1338">
        <f t="shared" si="295"/>
        <v>0</v>
      </c>
      <c r="AX520" s="1338">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25"/>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26"/>
      <c r="AV521" s="1338">
        <f t="shared" ref="AV521:AV552" si="298">A521</f>
        <v>0</v>
      </c>
      <c r="AW521" s="1338">
        <f t="shared" ref="AW521:AW552" si="299">B521</f>
        <v>0</v>
      </c>
      <c r="AX521" s="1338">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25"/>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26"/>
      <c r="AV522" s="1338">
        <f t="shared" si="298"/>
        <v>0</v>
      </c>
      <c r="AW522" s="1338">
        <f t="shared" si="299"/>
        <v>0</v>
      </c>
      <c r="AX522" s="1338">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25"/>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26"/>
      <c r="AV523" s="1338">
        <f t="shared" si="298"/>
        <v>0</v>
      </c>
      <c r="AW523" s="1338">
        <f t="shared" si="299"/>
        <v>0</v>
      </c>
      <c r="AX523" s="1338">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25"/>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26"/>
      <c r="AV524" s="1338">
        <f t="shared" si="298"/>
        <v>0</v>
      </c>
      <c r="AW524" s="1338">
        <f t="shared" si="299"/>
        <v>0</v>
      </c>
      <c r="AX524" s="1338">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25"/>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26"/>
      <c r="AV525" s="1338">
        <f t="shared" si="298"/>
        <v>0</v>
      </c>
      <c r="AW525" s="1338">
        <f t="shared" si="299"/>
        <v>0</v>
      </c>
      <c r="AX525" s="1338">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25"/>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26"/>
      <c r="AV526" s="1338">
        <f t="shared" si="298"/>
        <v>0</v>
      </c>
      <c r="AW526" s="1338">
        <f t="shared" si="299"/>
        <v>0</v>
      </c>
      <c r="AX526" s="1338">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25"/>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26"/>
      <c r="AV527" s="1338">
        <f t="shared" si="298"/>
        <v>0</v>
      </c>
      <c r="AW527" s="1338">
        <f t="shared" si="299"/>
        <v>0</v>
      </c>
      <c r="AX527" s="1338">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25"/>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26"/>
      <c r="AV528" s="1338">
        <f t="shared" si="298"/>
        <v>0</v>
      </c>
      <c r="AW528" s="1338">
        <f t="shared" si="299"/>
        <v>0</v>
      </c>
      <c r="AX528" s="1338">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25"/>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26"/>
      <c r="AV529" s="1338">
        <f t="shared" si="298"/>
        <v>0</v>
      </c>
      <c r="AW529" s="1338">
        <f t="shared" si="299"/>
        <v>0</v>
      </c>
      <c r="AX529" s="1338">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25"/>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26"/>
      <c r="AV530" s="1338">
        <f t="shared" si="298"/>
        <v>0</v>
      </c>
      <c r="AW530" s="1338">
        <f t="shared" si="299"/>
        <v>0</v>
      </c>
      <c r="AX530" s="1338">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25"/>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26"/>
      <c r="AV531" s="1338">
        <f t="shared" si="298"/>
        <v>0</v>
      </c>
      <c r="AW531" s="1338">
        <f t="shared" si="299"/>
        <v>0</v>
      </c>
      <c r="AX531" s="1338">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25"/>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26"/>
      <c r="AV532" s="1338">
        <f t="shared" si="298"/>
        <v>0</v>
      </c>
      <c r="AW532" s="1338">
        <f t="shared" si="299"/>
        <v>0</v>
      </c>
      <c r="AX532" s="1338">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25"/>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26"/>
      <c r="AV533" s="1338">
        <f t="shared" si="298"/>
        <v>0</v>
      </c>
      <c r="AW533" s="1338">
        <f t="shared" si="299"/>
        <v>0</v>
      </c>
      <c r="AX533" s="1338">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25"/>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26"/>
      <c r="AV534" s="1338">
        <f t="shared" si="298"/>
        <v>0</v>
      </c>
      <c r="AW534" s="1338">
        <f t="shared" si="299"/>
        <v>0</v>
      </c>
      <c r="AX534" s="1338">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25"/>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26"/>
      <c r="AV535" s="1338">
        <f t="shared" si="298"/>
        <v>0</v>
      </c>
      <c r="AW535" s="1338">
        <f t="shared" si="299"/>
        <v>0</v>
      </c>
      <c r="AX535" s="1338">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25"/>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26"/>
      <c r="AV536" s="1338">
        <f t="shared" si="298"/>
        <v>0</v>
      </c>
      <c r="AW536" s="1338">
        <f t="shared" si="299"/>
        <v>0</v>
      </c>
      <c r="AX536" s="1338">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25"/>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26"/>
      <c r="AV537" s="1338">
        <f t="shared" si="298"/>
        <v>0</v>
      </c>
      <c r="AW537" s="1338">
        <f t="shared" si="299"/>
        <v>0</v>
      </c>
      <c r="AX537" s="1338">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25"/>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26"/>
      <c r="AV538" s="1338">
        <f t="shared" si="298"/>
        <v>0</v>
      </c>
      <c r="AW538" s="1338">
        <f t="shared" si="299"/>
        <v>0</v>
      </c>
      <c r="AX538" s="1338">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25"/>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26"/>
      <c r="AV539" s="1338">
        <f t="shared" si="298"/>
        <v>0</v>
      </c>
      <c r="AW539" s="1338">
        <f t="shared" si="299"/>
        <v>0</v>
      </c>
      <c r="AX539" s="1338">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25"/>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26"/>
      <c r="AV540" s="1338">
        <f t="shared" si="298"/>
        <v>0</v>
      </c>
      <c r="AW540" s="1338">
        <f t="shared" si="299"/>
        <v>0</v>
      </c>
      <c r="AX540" s="1338">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25"/>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26"/>
      <c r="AV541" s="1338">
        <f t="shared" si="298"/>
        <v>0</v>
      </c>
      <c r="AW541" s="1338">
        <f t="shared" si="299"/>
        <v>0</v>
      </c>
      <c r="AX541" s="1338">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25"/>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26"/>
      <c r="AV542" s="1338">
        <f t="shared" si="298"/>
        <v>0</v>
      </c>
      <c r="AW542" s="1338">
        <f t="shared" si="299"/>
        <v>0</v>
      </c>
      <c r="AX542" s="1338">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25"/>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26"/>
      <c r="AV543" s="1338">
        <f t="shared" si="298"/>
        <v>0</v>
      </c>
      <c r="AW543" s="1338">
        <f t="shared" si="299"/>
        <v>0</v>
      </c>
      <c r="AX543" s="1338">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25"/>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26"/>
      <c r="AV544" s="1338">
        <f t="shared" si="298"/>
        <v>0</v>
      </c>
      <c r="AW544" s="1338">
        <f t="shared" si="299"/>
        <v>0</v>
      </c>
      <c r="AX544" s="1338">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25"/>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26"/>
      <c r="AV545" s="1338">
        <f t="shared" si="298"/>
        <v>0</v>
      </c>
      <c r="AW545" s="1338">
        <f t="shared" si="299"/>
        <v>0</v>
      </c>
      <c r="AX545" s="1338">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25"/>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26"/>
      <c r="AV546" s="1338">
        <f t="shared" si="298"/>
        <v>0</v>
      </c>
      <c r="AW546" s="1338">
        <f t="shared" si="299"/>
        <v>0</v>
      </c>
      <c r="AX546" s="1338">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25"/>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26"/>
      <c r="AV547" s="1338">
        <f t="shared" si="298"/>
        <v>0</v>
      </c>
      <c r="AW547" s="1338">
        <f t="shared" si="299"/>
        <v>0</v>
      </c>
      <c r="AX547" s="1338">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25"/>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26"/>
      <c r="AV548" s="1338">
        <f t="shared" si="298"/>
        <v>0</v>
      </c>
      <c r="AW548" s="1338">
        <f t="shared" si="299"/>
        <v>0</v>
      </c>
      <c r="AX548" s="1338">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25"/>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26"/>
      <c r="AV549" s="1338">
        <f t="shared" si="298"/>
        <v>0</v>
      </c>
      <c r="AW549" s="1338">
        <f t="shared" si="299"/>
        <v>0</v>
      </c>
      <c r="AX549" s="1338">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25"/>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26"/>
      <c r="AV550" s="1338">
        <f t="shared" si="298"/>
        <v>0</v>
      </c>
      <c r="AW550" s="1338">
        <f t="shared" si="299"/>
        <v>0</v>
      </c>
      <c r="AX550" s="1338">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25"/>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26"/>
      <c r="AV551" s="1338">
        <f t="shared" si="298"/>
        <v>0</v>
      </c>
      <c r="AW551" s="1338">
        <f t="shared" si="299"/>
        <v>0</v>
      </c>
      <c r="AX551" s="1338">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25"/>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26"/>
      <c r="AV552" s="1338">
        <f t="shared" si="298"/>
        <v>0</v>
      </c>
      <c r="AW552" s="1338">
        <f t="shared" si="299"/>
        <v>0</v>
      </c>
      <c r="AX552" s="1338">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25"/>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26"/>
      <c r="AV553" s="1338">
        <f t="shared" ref="AV553:AV587" si="330">A553</f>
        <v>0</v>
      </c>
      <c r="AW553" s="1338">
        <f t="shared" ref="AW553:AW587" si="331">B553</f>
        <v>0</v>
      </c>
      <c r="AX553" s="1338">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25"/>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26"/>
      <c r="AV554" s="1338">
        <f t="shared" si="330"/>
        <v>0</v>
      </c>
      <c r="AW554" s="1338">
        <f t="shared" si="331"/>
        <v>0</v>
      </c>
      <c r="AX554" s="1338">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25"/>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26"/>
      <c r="AV555" s="1338">
        <f t="shared" si="330"/>
        <v>0</v>
      </c>
      <c r="AW555" s="1338">
        <f t="shared" si="331"/>
        <v>0</v>
      </c>
      <c r="AX555" s="1338">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25"/>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26"/>
      <c r="AV556" s="1338">
        <f t="shared" si="330"/>
        <v>0</v>
      </c>
      <c r="AW556" s="1338">
        <f t="shared" si="331"/>
        <v>0</v>
      </c>
      <c r="AX556" s="1338">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25"/>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26"/>
      <c r="AV557" s="1338">
        <f t="shared" si="330"/>
        <v>0</v>
      </c>
      <c r="AW557" s="1338">
        <f t="shared" si="331"/>
        <v>0</v>
      </c>
      <c r="AX557" s="1338">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25"/>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26"/>
      <c r="AV558" s="1338">
        <f t="shared" si="330"/>
        <v>0</v>
      </c>
      <c r="AW558" s="1338">
        <f t="shared" si="331"/>
        <v>0</v>
      </c>
      <c r="AX558" s="1338">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25"/>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26"/>
      <c r="AV559" s="1338">
        <f t="shared" si="330"/>
        <v>0</v>
      </c>
      <c r="AW559" s="1338">
        <f t="shared" si="331"/>
        <v>0</v>
      </c>
      <c r="AX559" s="1338">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25"/>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26"/>
      <c r="AV560" s="1338">
        <f t="shared" si="330"/>
        <v>0</v>
      </c>
      <c r="AW560" s="1338">
        <f t="shared" si="331"/>
        <v>0</v>
      </c>
      <c r="AX560" s="1338">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25"/>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26"/>
      <c r="AV561" s="1338">
        <f t="shared" si="330"/>
        <v>0</v>
      </c>
      <c r="AW561" s="1338">
        <f t="shared" si="331"/>
        <v>0</v>
      </c>
      <c r="AX561" s="1338">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25"/>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26"/>
      <c r="AV562" s="1338">
        <f t="shared" si="330"/>
        <v>0</v>
      </c>
      <c r="AW562" s="1338">
        <f t="shared" si="331"/>
        <v>0</v>
      </c>
      <c r="AX562" s="1338">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25"/>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26"/>
      <c r="AV563" s="1338">
        <f t="shared" si="330"/>
        <v>0</v>
      </c>
      <c r="AW563" s="1338">
        <f t="shared" si="331"/>
        <v>0</v>
      </c>
      <c r="AX563" s="1338">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25"/>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26"/>
      <c r="AV564" s="1338">
        <f t="shared" si="330"/>
        <v>0</v>
      </c>
      <c r="AW564" s="1338">
        <f t="shared" si="331"/>
        <v>0</v>
      </c>
      <c r="AX564" s="1338">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25"/>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26"/>
      <c r="AV565" s="1338">
        <f t="shared" si="330"/>
        <v>0</v>
      </c>
      <c r="AW565" s="1338">
        <f t="shared" si="331"/>
        <v>0</v>
      </c>
      <c r="AX565" s="1338">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25"/>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26"/>
      <c r="AV566" s="1338">
        <f t="shared" si="330"/>
        <v>0</v>
      </c>
      <c r="AW566" s="1338">
        <f t="shared" si="331"/>
        <v>0</v>
      </c>
      <c r="AX566" s="1338">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25"/>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26"/>
      <c r="AV567" s="1338">
        <f t="shared" si="330"/>
        <v>0</v>
      </c>
      <c r="AW567" s="1338">
        <f t="shared" si="331"/>
        <v>0</v>
      </c>
      <c r="AX567" s="1338">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25"/>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26"/>
      <c r="AV568" s="1338">
        <f t="shared" si="330"/>
        <v>0</v>
      </c>
      <c r="AW568" s="1338">
        <f t="shared" si="331"/>
        <v>0</v>
      </c>
      <c r="AX568" s="1338">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25"/>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26"/>
      <c r="AV569" s="1338">
        <f t="shared" si="330"/>
        <v>0</v>
      </c>
      <c r="AW569" s="1338">
        <f t="shared" si="331"/>
        <v>0</v>
      </c>
      <c r="AX569" s="1338">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25"/>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26"/>
      <c r="AV570" s="1338">
        <f t="shared" si="330"/>
        <v>0</v>
      </c>
      <c r="AW570" s="1338">
        <f t="shared" si="331"/>
        <v>0</v>
      </c>
      <c r="AX570" s="1338">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25"/>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26"/>
      <c r="AV571" s="1338">
        <f t="shared" si="330"/>
        <v>0</v>
      </c>
      <c r="AW571" s="1338">
        <f t="shared" si="331"/>
        <v>0</v>
      </c>
      <c r="AX571" s="1338">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25"/>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26"/>
      <c r="AV572" s="1338">
        <f t="shared" si="330"/>
        <v>0</v>
      </c>
      <c r="AW572" s="1338">
        <f t="shared" si="331"/>
        <v>0</v>
      </c>
      <c r="AX572" s="1338">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25"/>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26"/>
      <c r="AV573" s="1338">
        <f t="shared" si="330"/>
        <v>0</v>
      </c>
      <c r="AW573" s="1338">
        <f t="shared" si="331"/>
        <v>0</v>
      </c>
      <c r="AX573" s="1338">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25"/>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26"/>
      <c r="AV574" s="1338">
        <f t="shared" si="330"/>
        <v>0</v>
      </c>
      <c r="AW574" s="1338">
        <f t="shared" si="331"/>
        <v>0</v>
      </c>
      <c r="AX574" s="1338">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25"/>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26"/>
      <c r="AV575" s="1338">
        <f t="shared" si="330"/>
        <v>0</v>
      </c>
      <c r="AW575" s="1338">
        <f t="shared" si="331"/>
        <v>0</v>
      </c>
      <c r="AX575" s="1338">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25"/>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26"/>
      <c r="AV576" s="1338">
        <f t="shared" si="330"/>
        <v>0</v>
      </c>
      <c r="AW576" s="1338">
        <f t="shared" si="331"/>
        <v>0</v>
      </c>
      <c r="AX576" s="1338">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25"/>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26"/>
      <c r="AV577" s="1338">
        <f t="shared" si="330"/>
        <v>0</v>
      </c>
      <c r="AW577" s="1338">
        <f t="shared" si="331"/>
        <v>0</v>
      </c>
      <c r="AX577" s="1338">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25"/>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26"/>
      <c r="AV578" s="1338">
        <f t="shared" si="330"/>
        <v>0</v>
      </c>
      <c r="AW578" s="1338">
        <f t="shared" si="331"/>
        <v>0</v>
      </c>
      <c r="AX578" s="1338">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25"/>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26"/>
      <c r="AV579" s="1338">
        <f t="shared" si="330"/>
        <v>0</v>
      </c>
      <c r="AW579" s="1338">
        <f t="shared" si="331"/>
        <v>0</v>
      </c>
      <c r="AX579" s="1338">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25"/>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26"/>
      <c r="AV580" s="1338">
        <f t="shared" si="330"/>
        <v>0</v>
      </c>
      <c r="AW580" s="1338">
        <f t="shared" si="331"/>
        <v>0</v>
      </c>
      <c r="AX580" s="1338">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25"/>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26"/>
      <c r="AV581" s="1338">
        <f t="shared" si="330"/>
        <v>0</v>
      </c>
      <c r="AW581" s="1338">
        <f t="shared" si="331"/>
        <v>0</v>
      </c>
      <c r="AX581" s="1338">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25"/>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26"/>
      <c r="AV582" s="1338">
        <f t="shared" si="330"/>
        <v>0</v>
      </c>
      <c r="AW582" s="1338">
        <f t="shared" si="331"/>
        <v>0</v>
      </c>
      <c r="AX582" s="1338">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25"/>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26"/>
      <c r="AV583" s="1338">
        <f t="shared" si="330"/>
        <v>0</v>
      </c>
      <c r="AW583" s="1338">
        <f t="shared" si="331"/>
        <v>0</v>
      </c>
      <c r="AX583" s="1338">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25"/>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26"/>
      <c r="AV584" s="1338">
        <f t="shared" si="330"/>
        <v>0</v>
      </c>
      <c r="AW584" s="1338">
        <f t="shared" si="331"/>
        <v>0</v>
      </c>
      <c r="AX584" s="1338">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25"/>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566"/>
      <c r="AV585" s="1338">
        <f t="shared" si="330"/>
        <v>0</v>
      </c>
      <c r="AW585" s="1338">
        <f t="shared" si="331"/>
        <v>0</v>
      </c>
      <c r="AX585" s="1338">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25"/>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566"/>
      <c r="AV586" s="1338">
        <f t="shared" si="330"/>
        <v>0</v>
      </c>
      <c r="AW586" s="1338">
        <f t="shared" si="331"/>
        <v>0</v>
      </c>
      <c r="AX586" s="1338">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25"/>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566"/>
      <c r="AV587" s="1338">
        <f t="shared" si="330"/>
        <v>0</v>
      </c>
      <c r="AW587" s="1338">
        <f t="shared" si="331"/>
        <v>0</v>
      </c>
      <c r="AX587" s="1338">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19" sqref="C19:C22"/>
    </sheetView>
  </sheetViews>
  <sheetFormatPr defaultColWidth="9.25" defaultRowHeight="14.25"/>
  <cols>
    <col min="1" max="1" width="12.125" style="1633" customWidth="1"/>
    <col min="2" max="2" width="10.25" style="1633" customWidth="1"/>
    <col min="3" max="3" width="18.5" style="1633" customWidth="1"/>
    <col min="4"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934" t="s">
        <v>1131</v>
      </c>
      <c r="B2" s="3934"/>
      <c r="C2" s="3934"/>
      <c r="D2" s="791" t="s">
        <v>1107</v>
      </c>
      <c r="E2" s="1634" t="s">
        <v>1108</v>
      </c>
      <c r="F2" s="2654"/>
      <c r="G2" s="2645"/>
      <c r="H2" s="2646"/>
      <c r="I2" s="2320" t="s">
        <v>1132</v>
      </c>
      <c r="J2" s="2654"/>
      <c r="K2" s="2654"/>
      <c r="L2" s="2654"/>
      <c r="M2" s="2654"/>
      <c r="N2" s="2656"/>
      <c r="O2" s="2654"/>
      <c r="P2" s="2654"/>
    </row>
    <row r="3" spans="1:16" ht="15.75" thickBot="1">
      <c r="A3" s="3935" t="s">
        <v>1105</v>
      </c>
      <c r="B3" s="3935"/>
      <c r="C3" s="3935"/>
      <c r="D3" s="3708">
        <f>'数据-基础表'!AY6</f>
        <v>6245.0829999999996</v>
      </c>
      <c r="E3" s="41">
        <f>'数据-基础表'!AZ5</f>
        <v>61136.619999999995</v>
      </c>
      <c r="F3" s="2654"/>
      <c r="G3" s="1140"/>
      <c r="H3" s="1021" t="s">
        <v>1106</v>
      </c>
      <c r="I3" s="850">
        <f>ROUND('数据-基础表'!B3/'数据-基础表'!A3,2)</f>
        <v>9.7899999999999991</v>
      </c>
      <c r="J3" s="2654"/>
      <c r="K3" s="2654"/>
      <c r="L3" s="2654"/>
      <c r="M3" s="2654"/>
      <c r="N3" s="2656"/>
      <c r="O3" s="2654"/>
      <c r="P3" s="2654"/>
    </row>
    <row r="4" spans="1:16" ht="15">
      <c r="A4" s="3936"/>
      <c r="B4" s="3937"/>
      <c r="C4" s="3938"/>
      <c r="D4" s="1636" t="s">
        <v>1107</v>
      </c>
      <c r="E4" s="1637" t="s">
        <v>1108</v>
      </c>
      <c r="F4" s="2654"/>
      <c r="G4" s="2647" t="s">
        <v>1133</v>
      </c>
      <c r="H4" s="1021" t="s">
        <v>1113</v>
      </c>
      <c r="I4" s="850">
        <f>ROUND(SUMIF('数据-基础表'!I9:AS9,"地上",'数据-基础表'!I5:AS5)/'数据-基础表'!A3,2)</f>
        <v>7.99</v>
      </c>
      <c r="J4" s="2654"/>
      <c r="K4" s="2654"/>
      <c r="L4" s="2654"/>
      <c r="M4" s="2654"/>
      <c r="N4" s="2656"/>
      <c r="O4" s="2654"/>
      <c r="P4" s="2654"/>
    </row>
    <row r="5" spans="1:16">
      <c r="A5" s="42" t="s">
        <v>1109</v>
      </c>
      <c r="B5" s="3939" t="s">
        <v>1110</v>
      </c>
      <c r="C5" s="3939"/>
      <c r="D5" s="43">
        <f>ROUND($D$3*E5/$E$3,2)</f>
        <v>3146.33</v>
      </c>
      <c r="E5" s="44">
        <f>SUMIF('数据-基础表'!$11:$11,"住宅",'数据-基础表'!$5:$5)</f>
        <v>30801.149999999998</v>
      </c>
      <c r="F5" s="2654"/>
      <c r="G5" s="1140"/>
      <c r="H5" s="1021" t="s">
        <v>1106</v>
      </c>
      <c r="I5" s="850">
        <f>ROUND(E31/D31,2)</f>
        <v>9.7899999999999991</v>
      </c>
      <c r="J5" s="2654"/>
      <c r="K5" s="2654"/>
      <c r="L5" s="2654"/>
      <c r="M5" s="2654"/>
      <c r="N5" s="2654"/>
      <c r="O5" s="2654"/>
      <c r="P5" s="2654"/>
    </row>
    <row r="6" spans="1:16" ht="15" thickBot="1">
      <c r="A6" s="1639"/>
      <c r="B6" s="3939" t="s">
        <v>1111</v>
      </c>
      <c r="C6" s="3939"/>
      <c r="D6" s="43">
        <f>ROUND($D$3*E6/$E$3,2)</f>
        <v>3098.76</v>
      </c>
      <c r="E6" s="44">
        <f>E3-E5</f>
        <v>30335.469999999998</v>
      </c>
      <c r="F6" s="2654"/>
      <c r="G6" s="2648" t="s">
        <v>1112</v>
      </c>
      <c r="H6" s="1141" t="s">
        <v>1113</v>
      </c>
      <c r="I6" s="2649">
        <f>ROUND(F31/D31,2)</f>
        <v>7.99</v>
      </c>
      <c r="J6" s="2654"/>
      <c r="K6" s="2654"/>
      <c r="L6" s="2654"/>
      <c r="M6" s="2654"/>
      <c r="N6" s="2654"/>
      <c r="O6" s="2654"/>
      <c r="P6" s="2654"/>
    </row>
    <row r="7" spans="1:16" ht="15.75" thickBot="1">
      <c r="A7" s="3931"/>
      <c r="B7" s="3932"/>
      <c r="C7" s="3933"/>
      <c r="D7" s="1636" t="s">
        <v>1107</v>
      </c>
      <c r="E7" s="1640" t="s">
        <v>1114</v>
      </c>
      <c r="F7" s="2654"/>
      <c r="G7" s="2650" t="s">
        <v>1115</v>
      </c>
      <c r="H7" s="2651"/>
      <c r="I7" s="2652"/>
      <c r="J7" s="2654"/>
      <c r="K7" s="2654"/>
      <c r="L7" s="2654"/>
      <c r="M7" s="2654"/>
      <c r="N7" s="2654"/>
      <c r="O7" s="2654"/>
      <c r="P7" s="2654"/>
    </row>
    <row r="8" spans="1:16">
      <c r="A8" s="42" t="s">
        <v>1116</v>
      </c>
      <c r="B8" s="45" t="s">
        <v>1117</v>
      </c>
      <c r="C8" s="43" t="s">
        <v>1118</v>
      </c>
      <c r="D8" s="43">
        <f t="shared" ref="D8:D15" si="0">ROUND($D$3*E8/$E$3,2)</f>
        <v>5098.6499999999996</v>
      </c>
      <c r="E8" s="46">
        <f>SUMIF('数据-基础表'!BB10:BK10,"地上",'数据-基础表'!BB5:BK5)</f>
        <v>49913.509999999995</v>
      </c>
      <c r="F8" s="2654"/>
      <c r="G8" s="2655"/>
      <c r="H8" s="2655"/>
      <c r="I8" s="2654"/>
      <c r="J8" s="2654"/>
      <c r="K8" s="2654"/>
      <c r="L8" s="2654"/>
      <c r="M8" s="2654"/>
      <c r="N8" s="2654"/>
      <c r="O8" s="2654"/>
      <c r="P8" s="2654"/>
    </row>
    <row r="9" spans="1:16">
      <c r="A9" s="1641"/>
      <c r="B9" s="1642"/>
      <c r="C9" s="43" t="s">
        <v>1119</v>
      </c>
      <c r="D9" s="43">
        <f t="shared" si="0"/>
        <v>0</v>
      </c>
      <c r="E9" s="47">
        <v>0</v>
      </c>
      <c r="F9" s="2654"/>
      <c r="G9" s="2655"/>
      <c r="H9" s="2655"/>
      <c r="I9" s="2654"/>
      <c r="J9" s="2654"/>
      <c r="K9" s="2654"/>
      <c r="L9" s="2654"/>
      <c r="M9" s="2654"/>
      <c r="N9" s="2654"/>
      <c r="O9" s="2654"/>
      <c r="P9" s="2654"/>
    </row>
    <row r="10" spans="1:16">
      <c r="A10" s="1641"/>
      <c r="B10" s="1642"/>
      <c r="C10" s="43" t="s">
        <v>1128</v>
      </c>
      <c r="D10" s="43">
        <f t="shared" si="0"/>
        <v>559.1</v>
      </c>
      <c r="E10" s="46">
        <f>SUMPRODUCT(('数据-基础表'!BB10:BK10="地下")*('数据-基础表'!BB11:BK11="商业")*('数据-基础表'!BB5:BK5))</f>
        <v>5473.39</v>
      </c>
      <c r="F10" s="2654"/>
      <c r="G10" s="2655"/>
      <c r="H10" s="2655"/>
      <c r="I10" s="2654"/>
      <c r="J10" s="2654"/>
      <c r="K10" s="2654"/>
      <c r="L10" s="2654"/>
      <c r="M10" s="2654"/>
      <c r="N10" s="2654"/>
      <c r="O10" s="2654"/>
      <c r="P10" s="2654"/>
    </row>
    <row r="11" spans="1:16">
      <c r="A11" s="1641"/>
      <c r="B11" s="1642"/>
      <c r="C11" s="43" t="s">
        <v>1120</v>
      </c>
      <c r="D11" s="43">
        <f t="shared" si="0"/>
        <v>0</v>
      </c>
      <c r="E11" s="46">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3" t="s">
        <v>1121</v>
      </c>
      <c r="D12" s="43">
        <f t="shared" si="0"/>
        <v>0</v>
      </c>
      <c r="E12" s="46">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3" t="s">
        <v>1122</v>
      </c>
      <c r="D13" s="43">
        <f t="shared" si="0"/>
        <v>435.6</v>
      </c>
      <c r="E13" s="46">
        <f>SUMPRODUCT(('数据-基础表'!BB10:BK10="地下")*('数据-基础表'!BB11:BK11="车库")*('数据-基础表'!BB5:BK5))</f>
        <v>4264.3</v>
      </c>
      <c r="F13" s="2654"/>
      <c r="G13" s="2655"/>
      <c r="H13" s="2655"/>
      <c r="I13" s="2654"/>
      <c r="J13" s="2654"/>
      <c r="K13" s="2654"/>
      <c r="L13" s="2654"/>
      <c r="M13" s="2654"/>
      <c r="N13" s="2654"/>
      <c r="O13" s="2654"/>
      <c r="P13" s="2654"/>
    </row>
    <row r="14" spans="1:16">
      <c r="A14" s="1641"/>
      <c r="B14" s="1642"/>
      <c r="C14" s="43" t="s">
        <v>1134</v>
      </c>
      <c r="D14" s="43">
        <f t="shared" si="0"/>
        <v>0</v>
      </c>
      <c r="E14" s="46">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3" t="s">
        <v>1129</v>
      </c>
      <c r="D15" s="43">
        <f t="shared" si="0"/>
        <v>0</v>
      </c>
      <c r="E15" s="46">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5" t="s">
        <v>1123</v>
      </c>
      <c r="D16" s="45">
        <f>SUM(D8:D15)</f>
        <v>6093.35</v>
      </c>
      <c r="E16" s="48">
        <f>SUM(E8:E15)</f>
        <v>59651.199999999997</v>
      </c>
      <c r="F16" s="2654"/>
      <c r="G16" s="2655"/>
      <c r="H16" s="1643" t="s">
        <v>1135</v>
      </c>
      <c r="I16" s="1644"/>
      <c r="J16" s="1134"/>
      <c r="K16" s="3928" t="s">
        <v>1135</v>
      </c>
      <c r="L16" s="3929"/>
      <c r="M16" s="3929"/>
      <c r="N16" s="3929"/>
      <c r="O16" s="3929"/>
      <c r="P16" s="3930"/>
    </row>
    <row r="17" spans="1:19" ht="15">
      <c r="A17" s="1645" t="s">
        <v>1136</v>
      </c>
      <c r="B17" s="1646" t="s">
        <v>1137</v>
      </c>
      <c r="C17" s="1647" t="s">
        <v>1138</v>
      </c>
      <c r="D17" s="1648" t="s">
        <v>1126</v>
      </c>
      <c r="E17" s="1649" t="s">
        <v>1127</v>
      </c>
      <c r="F17" s="1650"/>
      <c r="G17" s="1651"/>
      <c r="H17" s="1652" t="s">
        <v>1139</v>
      </c>
      <c r="I17" s="1653" t="s">
        <v>1124</v>
      </c>
      <c r="J17" s="1134"/>
      <c r="K17" s="3925" t="s">
        <v>1140</v>
      </c>
      <c r="L17" s="3926"/>
      <c r="M17" s="3927"/>
      <c r="N17" s="3925" t="s">
        <v>1141</v>
      </c>
      <c r="O17" s="3926"/>
      <c r="P17" s="3927"/>
      <c r="R17" s="1635" t="s">
        <v>1142</v>
      </c>
      <c r="S17" s="54"/>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5" t="s">
        <v>1125</v>
      </c>
      <c r="C19" s="3342" t="s">
        <v>3447</v>
      </c>
      <c r="D19" s="43">
        <f>ROUND($D$3*E19/$E$3,2)</f>
        <v>2663.16</v>
      </c>
      <c r="E19" s="51">
        <f t="shared" ref="E19:E26" si="1">SUM(F19:G19)</f>
        <v>26071.17</v>
      </c>
      <c r="F19" s="2790">
        <f>区域分配表!S44</f>
        <v>20597.78</v>
      </c>
      <c r="G19" s="2791">
        <f>区域分配表!T44</f>
        <v>5473.39</v>
      </c>
      <c r="H19" s="668">
        <f>ROUND($D$3*I19/$E$3,2)</f>
        <v>0</v>
      </c>
      <c r="I19" s="46">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2663.16</v>
      </c>
      <c r="S19" s="1022">
        <f t="shared" si="5"/>
        <v>26071.17</v>
      </c>
    </row>
    <row r="20" spans="1:19">
      <c r="A20" s="1665"/>
      <c r="B20" s="45" t="s">
        <v>1153</v>
      </c>
      <c r="C20" s="3342" t="s">
        <v>3940</v>
      </c>
      <c r="D20" s="43">
        <f t="shared" ref="D20:D26" si="6">ROUND($D$3*E20/$E$3,2)</f>
        <v>1325.43</v>
      </c>
      <c r="E20" s="51">
        <f t="shared" si="1"/>
        <v>12975.39</v>
      </c>
      <c r="F20" s="2790">
        <f>区域分配表!S45</f>
        <v>12975.39</v>
      </c>
      <c r="G20" s="2791"/>
      <c r="H20" s="668">
        <f t="shared" ref="H20:H26" si="7">ROUND($D$3*I20/$E$3,2)</f>
        <v>0</v>
      </c>
      <c r="I20" s="46">
        <f t="shared" si="2"/>
        <v>0</v>
      </c>
      <c r="J20" s="1134"/>
      <c r="K20" s="1133">
        <f t="shared" si="3"/>
        <v>0</v>
      </c>
      <c r="L20" s="1021">
        <f t="shared" si="4"/>
        <v>0</v>
      </c>
      <c r="M20" s="1145">
        <f t="shared" ref="M20:M26" si="8">K20+L20</f>
        <v>0</v>
      </c>
      <c r="N20" s="1663"/>
      <c r="O20" s="1664"/>
      <c r="P20" s="1145">
        <f t="shared" ref="P20:P26" si="9">N20+O20</f>
        <v>0</v>
      </c>
      <c r="R20" s="1021">
        <f t="shared" si="5"/>
        <v>1325.43</v>
      </c>
      <c r="S20" s="1022">
        <f t="shared" si="5"/>
        <v>12975.39</v>
      </c>
    </row>
    <row r="21" spans="1:19">
      <c r="A21" s="1665"/>
      <c r="B21" s="45" t="s">
        <v>1153</v>
      </c>
      <c r="C21" s="3342" t="s">
        <v>3448</v>
      </c>
      <c r="D21" s="43">
        <f t="shared" si="6"/>
        <v>1820.89</v>
      </c>
      <c r="E21" s="51">
        <f t="shared" si="1"/>
        <v>17825.759999999998</v>
      </c>
      <c r="F21" s="2790">
        <f>区域分配表!S46</f>
        <v>16340.339999999998</v>
      </c>
      <c r="G21" s="2791">
        <f>区域分配表!T46</f>
        <v>1485.42</v>
      </c>
      <c r="H21" s="668">
        <f t="shared" si="7"/>
        <v>0</v>
      </c>
      <c r="I21" s="46">
        <f t="shared" si="2"/>
        <v>0</v>
      </c>
      <c r="J21" s="1134"/>
      <c r="K21" s="1133">
        <f t="shared" si="3"/>
        <v>0</v>
      </c>
      <c r="L21" s="1021">
        <f t="shared" si="4"/>
        <v>0</v>
      </c>
      <c r="M21" s="1145">
        <f t="shared" si="8"/>
        <v>0</v>
      </c>
      <c r="N21" s="1663"/>
      <c r="O21" s="1664"/>
      <c r="P21" s="1145">
        <f t="shared" si="9"/>
        <v>0</v>
      </c>
      <c r="R21" s="1021">
        <f t="shared" si="5"/>
        <v>1820.89</v>
      </c>
      <c r="S21" s="1022">
        <f t="shared" si="5"/>
        <v>17825.759999999998</v>
      </c>
    </row>
    <row r="22" spans="1:19">
      <c r="A22" s="1665"/>
      <c r="B22" s="45" t="s">
        <v>1153</v>
      </c>
      <c r="C22" s="3343" t="s">
        <v>3449</v>
      </c>
      <c r="D22" s="43">
        <f t="shared" si="6"/>
        <v>435.6</v>
      </c>
      <c r="E22" s="51">
        <f t="shared" si="1"/>
        <v>4264.3</v>
      </c>
      <c r="F22" s="2792"/>
      <c r="G22" s="2793">
        <f>区域分配表!T43</f>
        <v>4264.3</v>
      </c>
      <c r="H22" s="668">
        <f t="shared" si="7"/>
        <v>0</v>
      </c>
      <c r="I22" s="46">
        <f t="shared" si="2"/>
        <v>0</v>
      </c>
      <c r="J22" s="1134"/>
      <c r="K22" s="1133">
        <f t="shared" si="3"/>
        <v>0</v>
      </c>
      <c r="L22" s="1021">
        <f t="shared" si="4"/>
        <v>0</v>
      </c>
      <c r="M22" s="1145">
        <f t="shared" si="8"/>
        <v>0</v>
      </c>
      <c r="N22" s="1663"/>
      <c r="O22" s="1664"/>
      <c r="P22" s="1145">
        <f t="shared" si="9"/>
        <v>0</v>
      </c>
      <c r="R22" s="1021">
        <f t="shared" si="5"/>
        <v>435.6</v>
      </c>
      <c r="S22" s="1022">
        <f t="shared" si="5"/>
        <v>4264.3</v>
      </c>
    </row>
    <row r="23" spans="1:19">
      <c r="A23" s="1665"/>
      <c r="B23" s="45" t="s">
        <v>1153</v>
      </c>
      <c r="C23" s="3343"/>
      <c r="D23" s="43">
        <f>ROUND($D$3*E23/$E$3,2)</f>
        <v>0</v>
      </c>
      <c r="E23" s="51">
        <f>SUM(F23:G23)</f>
        <v>0</v>
      </c>
      <c r="F23" s="2792"/>
      <c r="G23" s="2793"/>
      <c r="H23" s="668">
        <f>ROUND($D$3*I23/$E$3,2)</f>
        <v>0</v>
      </c>
      <c r="I23" s="46">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5" t="s">
        <v>1153</v>
      </c>
      <c r="C24" s="3343"/>
      <c r="D24" s="43">
        <f>ROUND($D$3*E24/$E$3,2)</f>
        <v>0</v>
      </c>
      <c r="E24" s="51">
        <f>SUM(F24:G24)</f>
        <v>0</v>
      </c>
      <c r="F24" s="2792"/>
      <c r="G24" s="2793"/>
      <c r="H24" s="668">
        <f>ROUND($D$3*I24/$E$3,2)</f>
        <v>0</v>
      </c>
      <c r="I24" s="46">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5" t="s">
        <v>1153</v>
      </c>
      <c r="C25" s="3343"/>
      <c r="D25" s="43">
        <f t="shared" si="6"/>
        <v>0</v>
      </c>
      <c r="E25" s="51">
        <f t="shared" si="1"/>
        <v>0</v>
      </c>
      <c r="F25" s="2792"/>
      <c r="G25" s="2793"/>
      <c r="H25" s="42">
        <f t="shared" si="7"/>
        <v>0</v>
      </c>
      <c r="I25" s="46">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5" t="s">
        <v>1153</v>
      </c>
      <c r="C26" s="53"/>
      <c r="D26" s="43">
        <f t="shared" si="6"/>
        <v>0</v>
      </c>
      <c r="E26" s="51">
        <f t="shared" si="1"/>
        <v>0</v>
      </c>
      <c r="F26" s="2792"/>
      <c r="G26" s="2793"/>
      <c r="H26" s="42">
        <f t="shared" si="7"/>
        <v>0</v>
      </c>
      <c r="I26" s="46">
        <f t="shared" si="2"/>
        <v>0</v>
      </c>
      <c r="J26" s="1134"/>
      <c r="K26" s="1140">
        <f t="shared" si="3"/>
        <v>0</v>
      </c>
      <c r="L26" s="1141">
        <f t="shared" si="4"/>
        <v>0</v>
      </c>
      <c r="M26" s="57">
        <f t="shared" si="8"/>
        <v>0</v>
      </c>
      <c r="N26" s="1666"/>
      <c r="O26" s="1667"/>
      <c r="P26" s="57">
        <f t="shared" si="9"/>
        <v>0</v>
      </c>
      <c r="R26" s="1021">
        <f t="shared" si="5"/>
        <v>0</v>
      </c>
      <c r="S26" s="1022">
        <f t="shared" si="5"/>
        <v>0</v>
      </c>
    </row>
    <row r="27" spans="1:19" ht="29.25" thickBot="1">
      <c r="A27" s="1665"/>
      <c r="B27" s="43"/>
      <c r="C27" s="1668" t="s">
        <v>1154</v>
      </c>
      <c r="D27" s="1135">
        <f>SUM(D19:D26)</f>
        <v>6245.0800000000008</v>
      </c>
      <c r="E27" s="1136">
        <f>IF(SUM(E19:E26)='数据-基础表'!BA5,SUM(E19:E26),IF(F27="地上面积有误","面积有误","地下面积有误"))</f>
        <v>61136.619999999995</v>
      </c>
      <c r="F27" s="1135">
        <f>IF(SUM(F19:F26)=E8,SUM(F19:F26),"地上面积有误")</f>
        <v>49913.509999999995</v>
      </c>
      <c r="G27" s="1137">
        <f>SUM(G19:G26)</f>
        <v>11223.11</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t="str">
        <f>IF(SUM(R19:R26)=$D$3,SUM(R19:R26),SUM(R19:R26)&amp;"误差"&amp;ROUND(SUM(R19:R26)-$D$3,2))</f>
        <v>6245.08误差0</v>
      </c>
      <c r="S27" s="1021">
        <f>IF(SUM(S19:S26)=$E$3,SUM(S19:S26),SUM(S19:S26)&amp;"误差"&amp;ROUND(SUM(S19:S26)-E3,2))</f>
        <v>61136.619999999995</v>
      </c>
    </row>
    <row r="28" spans="1:19">
      <c r="A28" s="1665"/>
      <c r="B28" s="45" t="s">
        <v>1155</v>
      </c>
      <c r="C28" s="1033" t="s">
        <v>1156</v>
      </c>
      <c r="D28" s="43">
        <f>ROUND($D$3*E28/$E$3,2)</f>
        <v>0</v>
      </c>
      <c r="E28" s="51">
        <f>SUM(F28:G28)</f>
        <v>0</v>
      </c>
      <c r="F28" s="54">
        <f>'数据-基础表'!BQ5+'数据-基础表'!BS5</f>
        <v>0</v>
      </c>
      <c r="G28" s="55">
        <f>'数据-基础表'!BR5+'数据-基础表'!BT5</f>
        <v>0</v>
      </c>
      <c r="H28" s="2654"/>
      <c r="I28" s="2654"/>
      <c r="J28" s="2654"/>
      <c r="K28" s="2654"/>
      <c r="L28" s="2654"/>
      <c r="M28" s="2654"/>
      <c r="N28" s="2654"/>
      <c r="O28" s="2654"/>
      <c r="P28" s="2654"/>
    </row>
    <row r="29" spans="1:19">
      <c r="A29" s="1665"/>
      <c r="B29" s="45" t="s">
        <v>1155</v>
      </c>
      <c r="C29" s="1669" t="s">
        <v>1157</v>
      </c>
      <c r="D29" s="43">
        <f>ROUND($D$3*E29/$E$3,2)</f>
        <v>0</v>
      </c>
      <c r="E29" s="51">
        <f>SUM(F29:G29)</f>
        <v>0</v>
      </c>
      <c r="F29" s="56">
        <f>'数据-基础表'!BM5+'数据-基础表'!BO5</f>
        <v>0</v>
      </c>
      <c r="G29" s="57">
        <f>'数据-基础表'!BN5+'数据-基础表'!BP5</f>
        <v>0</v>
      </c>
      <c r="H29" s="2654"/>
      <c r="I29" s="2654"/>
      <c r="J29" s="2654"/>
      <c r="K29" s="2654"/>
      <c r="L29" s="2654"/>
      <c r="M29" s="2654"/>
      <c r="N29" s="2654"/>
      <c r="O29" s="2654"/>
      <c r="P29" s="2654"/>
    </row>
    <row r="30" spans="1:19" ht="15">
      <c r="A30" s="1665"/>
      <c r="B30" s="45"/>
      <c r="C30" s="1670" t="s">
        <v>1154</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0" t="s">
        <v>1158</v>
      </c>
      <c r="D31" s="674">
        <f>D27+D30</f>
        <v>6245.0800000000008</v>
      </c>
      <c r="E31" s="674">
        <f>E27+E30</f>
        <v>61136.619999999995</v>
      </c>
      <c r="F31" s="675">
        <f>F27+F30</f>
        <v>49913.509999999995</v>
      </c>
      <c r="G31" s="676">
        <f>G27+G30</f>
        <v>11223.11</v>
      </c>
      <c r="H31" s="2654"/>
      <c r="I31" s="2654"/>
      <c r="J31" s="2654"/>
      <c r="K31" s="2654"/>
      <c r="L31" s="2654"/>
      <c r="M31" s="2654"/>
      <c r="N31" s="2654"/>
      <c r="O31" s="2654"/>
      <c r="P31" s="2654"/>
    </row>
    <row r="32" spans="1:19">
      <c r="A32" s="1638"/>
      <c r="B32" s="1638" t="s">
        <v>1159</v>
      </c>
      <c r="C32" s="1638"/>
      <c r="D32" s="1638"/>
      <c r="E32" s="1048">
        <f>SUMIF(C19:C26,"*住宅*",E19:E26)</f>
        <v>12975.39</v>
      </c>
      <c r="F32" s="1638"/>
      <c r="G32" s="1638"/>
      <c r="H32" s="2654"/>
      <c r="I32" s="2654"/>
      <c r="J32" s="2654"/>
      <c r="K32" s="2654"/>
      <c r="L32" s="2654"/>
      <c r="M32" s="2654"/>
      <c r="N32" s="2654"/>
      <c r="O32" s="2654"/>
      <c r="P32" s="2654"/>
    </row>
    <row r="33" spans="4:4">
      <c r="D33" s="1673"/>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23" sqref="L23"/>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625" style="1677" customWidth="1"/>
    <col min="22" max="22" width="9.125" style="1677" customWidth="1"/>
    <col min="23" max="23" width="13.625" style="1677" bestFit="1" customWidth="1"/>
    <col min="24"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7"/>
      <c r="C1" s="1186"/>
      <c r="D1" s="1675"/>
      <c r="E1" s="1186"/>
      <c r="F1" s="1186"/>
      <c r="G1" s="1186"/>
      <c r="H1" s="1186"/>
      <c r="I1" s="1186"/>
      <c r="J1" s="1186"/>
      <c r="K1" s="157"/>
      <c r="L1" s="157"/>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0">
        <f>项目基本情况!D3</f>
        <v>45226</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58"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3451</v>
      </c>
      <c r="O5" s="1697" t="s">
        <v>1181</v>
      </c>
      <c r="P5" s="1700" t="s">
        <v>1182</v>
      </c>
      <c r="Q5" s="59" t="s">
        <v>1183</v>
      </c>
      <c r="R5" s="1701" t="s">
        <v>1184</v>
      </c>
      <c r="S5" s="1702" t="s">
        <v>1185</v>
      </c>
      <c r="T5" s="1703" t="s">
        <v>1186</v>
      </c>
      <c r="U5" s="1041" t="s">
        <v>1187</v>
      </c>
      <c r="V5" s="1042" t="s">
        <v>1188</v>
      </c>
      <c r="W5" s="1042" t="s">
        <v>1189</v>
      </c>
      <c r="X5" s="61"/>
      <c r="Y5" s="60" t="s">
        <v>1190</v>
      </c>
      <c r="Z5" s="1704" t="s">
        <v>1187</v>
      </c>
      <c r="AA5" s="1042" t="s">
        <v>1188</v>
      </c>
      <c r="AB5" s="1042" t="s">
        <v>1189</v>
      </c>
      <c r="AC5" s="61"/>
      <c r="AD5" s="61" t="s">
        <v>1190</v>
      </c>
      <c r="AE5" s="1041" t="s">
        <v>1191</v>
      </c>
      <c r="AF5" s="1042" t="s">
        <v>1192</v>
      </c>
      <c r="AG5" s="60" t="s">
        <v>1193</v>
      </c>
      <c r="AH5" s="1041" t="s">
        <v>1194</v>
      </c>
      <c r="AI5" s="1704" t="s">
        <v>1195</v>
      </c>
      <c r="AJ5" s="1704" t="s">
        <v>1196</v>
      </c>
      <c r="AK5" s="1042" t="s">
        <v>1197</v>
      </c>
      <c r="AL5" s="1042" t="s">
        <v>1198</v>
      </c>
      <c r="AM5" s="60"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52777</v>
      </c>
      <c r="F6" s="62">
        <f>SUMIF(项目基本情况!C$12:I$12,C6,项目基本情况!C$15:I$15)</f>
        <v>20.68</v>
      </c>
      <c r="G6" s="63">
        <f>IF(ISERROR(ROUND(POWER(1+H6,D6-F6)*(POWER(1+H6,F6)-1)/(POWER(1+H6,D6)-1),3)),0,ROUND(POWER(1+H6,D6-F6)*(POWER(1+H6,F6)-1)/(POWER(1+H6,D6)-1),3))</f>
        <v>0.74099999999999999</v>
      </c>
      <c r="H6" s="730">
        <v>0.05</v>
      </c>
      <c r="I6" s="730">
        <v>5.5E-2</v>
      </c>
      <c r="J6" s="64">
        <v>7.4999999999999997E-2</v>
      </c>
      <c r="K6" s="1025">
        <f>SUMIF('数据-汇总表'!C$19:C$33,A6,'数据-汇总表'!E$19:E$33)</f>
        <v>26071.17</v>
      </c>
      <c r="L6" s="731">
        <v>5500</v>
      </c>
      <c r="M6" s="65">
        <f t="shared" ref="M6:M14" si="0">ROUND(K6*L6/10000,0)</f>
        <v>14339</v>
      </c>
      <c r="N6" s="729">
        <f>ROUND(1-(2023-2008)/60,2)</f>
        <v>0.75</v>
      </c>
      <c r="O6" s="65" t="str">
        <f>IF($N$5="成新度","——",ROUND(M6*N6,0))</f>
        <v>——</v>
      </c>
      <c r="P6" s="66" t="str">
        <f>IF($N$5="成新度","——",M6-O6)</f>
        <v>——</v>
      </c>
      <c r="Q6" s="732">
        <v>0.2</v>
      </c>
      <c r="R6" s="67">
        <f ca="1">SUMIF('数据-汇总表'!C$19:C$33,A6,'数据-汇总表'!R$19:R$27)</f>
        <v>2663.16</v>
      </c>
      <c r="S6" s="49">
        <f>IF('数据-汇总表'!$I$17="按面积比例",SUMIF('数据-汇总表'!C$19:C$33,A6,'数据-汇总表'!K$19:K$33),SUMIF('数据-汇总表'!C$19:C$33,A6,'数据-汇总表'!N$19:N$33))</f>
        <v>0</v>
      </c>
      <c r="T6" s="1167">
        <f>ROUND($L$14*S6/10000,0)</f>
        <v>0</v>
      </c>
      <c r="U6" s="3353">
        <f>Z24</f>
        <v>4</v>
      </c>
      <c r="V6" s="68">
        <v>2.5000000000000001E-2</v>
      </c>
      <c r="W6" s="68">
        <v>0.1</v>
      </c>
      <c r="X6" s="1035"/>
      <c r="Y6" s="69">
        <f>N6</f>
        <v>0.75</v>
      </c>
      <c r="Z6" s="70"/>
      <c r="AA6" s="64"/>
      <c r="AB6" s="64"/>
      <c r="AC6" s="1035"/>
      <c r="AD6" s="71"/>
      <c r="AE6" s="1036">
        <f ca="1">IF(AN6="",0,SUMIF(INDIRECT("'"&amp;AN6&amp;"'"&amp;"!E:E"),$AE$5,INDIRECT("'"&amp;AN6&amp;"'"&amp;"!F:F")))</f>
        <v>20.68</v>
      </c>
      <c r="AF6" s="1343"/>
      <c r="AG6" s="136">
        <f>IF(AF6="",0,AE6-AF6)</f>
        <v>0</v>
      </c>
      <c r="AH6" s="72"/>
      <c r="AI6" s="74">
        <v>365</v>
      </c>
      <c r="AJ6" s="75"/>
      <c r="AK6" s="76">
        <v>0.01</v>
      </c>
      <c r="AL6" s="77">
        <v>1E-3</v>
      </c>
      <c r="AM6" s="78">
        <v>0.01</v>
      </c>
      <c r="AN6" s="1710" t="s">
        <v>3752</v>
      </c>
      <c r="AO6" s="50">
        <f ca="1">SUMIF(INDIRECT("'"&amp;AN6&amp;"'"&amp;"!A:A"),"总价",INDIRECT("'"&amp;AN6&amp;"'"&amp;"!B:B"))</f>
        <v>38611</v>
      </c>
      <c r="AP6" s="1711">
        <f>IF(C6="住宅",K6*L6,0)</f>
        <v>0</v>
      </c>
      <c r="AQ6" s="50">
        <f>ROUND($L$14*$N$14*S6/10000,0)</f>
        <v>0</v>
      </c>
      <c r="AR6" s="50">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住宅</v>
      </c>
      <c r="B7" s="1708" t="str">
        <f t="shared" ref="B7:B13" si="1">IF(A7=0,"","经营性")</f>
        <v>经营性</v>
      </c>
      <c r="C7" s="1709" t="s">
        <v>3774</v>
      </c>
      <c r="D7" s="853">
        <f>SUMIF(项目基本情况!C$12:I$12,C7,项目基本情况!C$14:I$14)</f>
        <v>70</v>
      </c>
      <c r="E7" s="852">
        <f>IF(B7="","",SUMIF(项目基本情况!C$12:I$12,C7,项目基本情况!C$13:I$13))</f>
        <v>63734</v>
      </c>
      <c r="F7" s="62">
        <f>SUMIF(项目基本情况!C$12:I$12,C7,项目基本情况!C$15:I$15)</f>
        <v>50.7</v>
      </c>
      <c r="G7" s="63">
        <f t="shared" ref="G7:G11" si="2">IF(ISERROR(ROUND(POWER(1+H7,D7-F7)*(POWER(1+H7,F7)-1)/(POWER(1+H7,D7)-1),3)),0,ROUND(POWER(1+H7,D7-F7)*(POWER(1+H7,F7)-1)/(POWER(1+H7,D7)-1),3))</f>
        <v>0.94699999999999995</v>
      </c>
      <c r="H7" s="730">
        <v>0.05</v>
      </c>
      <c r="I7" s="730">
        <v>5.5E-2</v>
      </c>
      <c r="J7" s="64">
        <v>7.4999999999999997E-2</v>
      </c>
      <c r="K7" s="1025">
        <f>SUMIF('数据-汇总表'!C$19:C$33,A7,'数据-汇总表'!E$19:E$33)</f>
        <v>12975.39</v>
      </c>
      <c r="L7" s="731">
        <v>5500</v>
      </c>
      <c r="M7" s="65">
        <f t="shared" si="0"/>
        <v>7136</v>
      </c>
      <c r="N7" s="729">
        <f>N6</f>
        <v>0.75</v>
      </c>
      <c r="O7" s="65" t="str">
        <f t="shared" ref="O7:O14" si="3">IF($N$5="成新度","——",ROUND(M7*N7,0))</f>
        <v>——</v>
      </c>
      <c r="P7" s="66" t="str">
        <f t="shared" ref="P7:P14" si="4">IF($N$5="成新度","——",M7-O7)</f>
        <v>——</v>
      </c>
      <c r="Q7" s="732">
        <v>0.2</v>
      </c>
      <c r="R7" s="67">
        <f ca="1">SUMIF('数据-汇总表'!C$19:C$33,A7,'数据-汇总表'!R$19:R$27)</f>
        <v>1325.43</v>
      </c>
      <c r="S7" s="49">
        <f>IF('数据-汇总表'!$I$17="按面积比例",SUMIF('数据-汇总表'!C$19:C$33,A7,'数据-汇总表'!K$19:K$33),SUMIF('数据-汇总表'!C$19:C$33,A7,'数据-汇总表'!N$19:N$33))</f>
        <v>0</v>
      </c>
      <c r="T7" s="1167">
        <f t="shared" ref="T7:T13" si="5">ROUND($L$14*S7/10000,0)</f>
        <v>0</v>
      </c>
      <c r="U7" s="3353">
        <v>7</v>
      </c>
      <c r="V7" s="68">
        <v>2.5000000000000001E-2</v>
      </c>
      <c r="W7" s="68">
        <v>0.1</v>
      </c>
      <c r="X7" s="1035"/>
      <c r="Y7" s="69">
        <f>Y6</f>
        <v>0.75</v>
      </c>
      <c r="Z7" s="70"/>
      <c r="AA7" s="64"/>
      <c r="AB7" s="64"/>
      <c r="AC7" s="1035"/>
      <c r="AD7" s="71"/>
      <c r="AE7" s="1036">
        <f t="shared" ref="AE7:AE13" ca="1" si="6">IF(AN7="",0,SUMIF(INDIRECT("'"&amp;AN7&amp;"'"&amp;"!E:E"),$AE$5,INDIRECT("'"&amp;AN7&amp;"'"&amp;"!F:F")))</f>
        <v>50.7</v>
      </c>
      <c r="AF7" s="1343"/>
      <c r="AG7" s="136">
        <f t="shared" ref="AG7:AG13" si="7">IF(AF7="",0,AE7-AF7)</f>
        <v>0</v>
      </c>
      <c r="AH7" s="72"/>
      <c r="AI7" s="74">
        <v>365</v>
      </c>
      <c r="AJ7" s="75"/>
      <c r="AK7" s="76">
        <v>0.01</v>
      </c>
      <c r="AL7" s="77">
        <f>AL6</f>
        <v>1E-3</v>
      </c>
      <c r="AM7" s="78">
        <v>0.01</v>
      </c>
      <c r="AN7" s="1710" t="s">
        <v>3754</v>
      </c>
      <c r="AO7" s="50">
        <f t="shared" ref="AO7:AO13" ca="1" si="8">SUMIF(INDIRECT("'"&amp;AN7&amp;"'"&amp;"!A:A"),"总价",INDIRECT("'"&amp;AN7&amp;"'"&amp;"!B:B"))</f>
        <v>59856</v>
      </c>
      <c r="AP7" s="1711">
        <f t="shared" ref="AP7:AP13" si="9">IF(C7="住宅",K7*L7,0)</f>
        <v>71364645</v>
      </c>
      <c r="AQ7" s="50">
        <f t="shared" ref="AQ7:AQ13" si="10">ROUND($L$14*$N$14*S7/10000,0)</f>
        <v>0</v>
      </c>
      <c r="AR7" s="50">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酒店</v>
      </c>
      <c r="B8" s="1708" t="str">
        <f t="shared" si="1"/>
        <v>经营性</v>
      </c>
      <c r="C8" s="1709" t="s">
        <v>3774</v>
      </c>
      <c r="D8" s="853">
        <f>SUMIF(项目基本情况!C$12:I$12,C8,项目基本情况!C$14:I$14)</f>
        <v>70</v>
      </c>
      <c r="E8" s="852">
        <f>IF(B8="","",SUMIF(项目基本情况!C$12:I$12,C8,项目基本情况!C$13:I$13))</f>
        <v>63734</v>
      </c>
      <c r="F8" s="62">
        <f>SUMIF(项目基本情况!C$12:I$12,C8,项目基本情况!C$15:I$15)</f>
        <v>50.7</v>
      </c>
      <c r="G8" s="63">
        <f t="shared" si="2"/>
        <v>0.94699999999999995</v>
      </c>
      <c r="H8" s="730">
        <v>0.05</v>
      </c>
      <c r="I8" s="730">
        <v>5.5E-2</v>
      </c>
      <c r="J8" s="64">
        <v>7.4999999999999997E-2</v>
      </c>
      <c r="K8" s="1025">
        <f>SUMIF('数据-汇总表'!C$19:C$33,A8,'数据-汇总表'!E$19:E$33)</f>
        <v>17825.759999999998</v>
      </c>
      <c r="L8" s="731">
        <v>9000</v>
      </c>
      <c r="M8" s="65">
        <f>ROUND(K8*L8/10000,0)</f>
        <v>16043</v>
      </c>
      <c r="N8" s="729">
        <f>N6</f>
        <v>0.75</v>
      </c>
      <c r="O8" s="65" t="str">
        <f t="shared" si="3"/>
        <v>——</v>
      </c>
      <c r="P8" s="66" t="str">
        <f t="shared" si="4"/>
        <v>——</v>
      </c>
      <c r="Q8" s="732">
        <v>0.2</v>
      </c>
      <c r="R8" s="67">
        <f ca="1">SUMIF('数据-汇总表'!C$19:C$33,A8,'数据-汇总表'!R$19:R$27)</f>
        <v>1820.89</v>
      </c>
      <c r="S8" s="49">
        <f>IF('数据-汇总表'!$I$17="按面积比例",SUMIF('数据-汇总表'!C$19:C$33,A8,'数据-汇总表'!K$19:K$33),SUMIF('数据-汇总表'!C$19:C$33,A8,'数据-汇总表'!N$19:N$33))</f>
        <v>0</v>
      </c>
      <c r="T8" s="1167">
        <f t="shared" si="5"/>
        <v>0</v>
      </c>
      <c r="U8" s="3354"/>
      <c r="V8" s="733"/>
      <c r="W8" s="733"/>
      <c r="X8" s="1035"/>
      <c r="Y8" s="69"/>
      <c r="Z8" s="70"/>
      <c r="AA8" s="64"/>
      <c r="AB8" s="64"/>
      <c r="AC8" s="1035"/>
      <c r="AD8" s="71"/>
      <c r="AE8" s="1036">
        <f t="shared" ca="1" si="6"/>
        <v>45</v>
      </c>
      <c r="AF8" s="1343"/>
      <c r="AG8" s="136">
        <f t="shared" si="7"/>
        <v>0</v>
      </c>
      <c r="AH8" s="734"/>
      <c r="AI8" s="74">
        <v>365</v>
      </c>
      <c r="AJ8" s="75"/>
      <c r="AK8" s="76">
        <v>0.01</v>
      </c>
      <c r="AL8" s="77">
        <f>AL6</f>
        <v>1E-3</v>
      </c>
      <c r="AM8" s="78">
        <v>0.01</v>
      </c>
      <c r="AN8" s="1710" t="s">
        <v>3904</v>
      </c>
      <c r="AO8" s="50" t="e">
        <f t="shared" ca="1" si="8"/>
        <v>#DIV/0!</v>
      </c>
      <c r="AP8" s="1711">
        <f t="shared" si="9"/>
        <v>160431840</v>
      </c>
      <c r="AQ8" s="50">
        <f t="shared" si="10"/>
        <v>0</v>
      </c>
      <c r="AR8" s="50">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地下车库</v>
      </c>
      <c r="B9" s="1708" t="str">
        <f t="shared" si="1"/>
        <v>经营性</v>
      </c>
      <c r="C9" s="1709" t="s">
        <v>3298</v>
      </c>
      <c r="D9" s="853">
        <f>SUMIF(项目基本情况!C$12:I$12,C9,项目基本情况!C$14:I$14)</f>
        <v>50</v>
      </c>
      <c r="E9" s="852">
        <f>IF(B9="","",SUMIF(项目基本情况!C$12:I$12,C9,项目基本情况!C$13:I$13))</f>
        <v>56429</v>
      </c>
      <c r="F9" s="62">
        <f>SUMIF(项目基本情况!C$12:I$12,C9,项目基本情况!C$15:I$15)</f>
        <v>30.69</v>
      </c>
      <c r="G9" s="63">
        <f t="shared" si="2"/>
        <v>0.83299999999999996</v>
      </c>
      <c r="H9" s="64">
        <v>4.4999999999999998E-2</v>
      </c>
      <c r="I9" s="64">
        <v>0.05</v>
      </c>
      <c r="J9" s="64">
        <v>7.4999999999999997E-2</v>
      </c>
      <c r="K9" s="1025">
        <f>SUMIF('数据-汇总表'!C$19:C$33,A9,'数据-汇总表'!E$19:E$33)</f>
        <v>4264.3</v>
      </c>
      <c r="L9" s="731">
        <v>4500</v>
      </c>
      <c r="M9" s="65">
        <f t="shared" si="0"/>
        <v>1919</v>
      </c>
      <c r="N9" s="729">
        <f>N6</f>
        <v>0.75</v>
      </c>
      <c r="O9" s="65" t="str">
        <f t="shared" si="3"/>
        <v>——</v>
      </c>
      <c r="P9" s="66" t="str">
        <f t="shared" si="4"/>
        <v>——</v>
      </c>
      <c r="Q9" s="79">
        <v>0.05</v>
      </c>
      <c r="R9" s="67">
        <f ca="1">SUMIF('数据-汇总表'!C$19:C$33,A9,'数据-汇总表'!R$19:R$27)</f>
        <v>435.6</v>
      </c>
      <c r="S9" s="49">
        <f>IF('数据-汇总表'!$I$17="按面积比例",SUMIF('数据-汇总表'!C$19:C$33,A9,'数据-汇总表'!K$19:K$33),SUMIF('数据-汇总表'!C$19:C$33,A9,'数据-汇总表'!N$19:N$33))</f>
        <v>0</v>
      </c>
      <c r="T9" s="1167">
        <f t="shared" si="5"/>
        <v>0</v>
      </c>
      <c r="U9" s="3353">
        <v>1500</v>
      </c>
      <c r="V9" s="68">
        <v>0.02</v>
      </c>
      <c r="W9" s="68">
        <v>0.15</v>
      </c>
      <c r="X9" s="1035"/>
      <c r="Y9" s="69">
        <f>N9</f>
        <v>0.75</v>
      </c>
      <c r="Z9" s="70"/>
      <c r="AA9" s="64"/>
      <c r="AB9" s="64"/>
      <c r="AC9" s="1035"/>
      <c r="AD9" s="71"/>
      <c r="AE9" s="1036">
        <f t="shared" ca="1" si="6"/>
        <v>30.69</v>
      </c>
      <c r="AF9" s="1343"/>
      <c r="AG9" s="136">
        <f t="shared" si="7"/>
        <v>0</v>
      </c>
      <c r="AH9" s="72">
        <f>区域分配表!P40</f>
        <v>87</v>
      </c>
      <c r="AI9" s="74">
        <v>12</v>
      </c>
      <c r="AJ9" s="75"/>
      <c r="AK9" s="76">
        <v>5.0000000000000001E-3</v>
      </c>
      <c r="AL9" s="77">
        <f>AL6</f>
        <v>1E-3</v>
      </c>
      <c r="AM9" s="78">
        <v>0.01</v>
      </c>
      <c r="AN9" s="1710" t="s">
        <v>3766</v>
      </c>
      <c r="AO9" s="50">
        <f t="shared" ca="1" si="8"/>
        <v>1826</v>
      </c>
      <c r="AP9" s="1711">
        <f t="shared" si="9"/>
        <v>0</v>
      </c>
      <c r="AQ9" s="50">
        <f t="shared" si="10"/>
        <v>0</v>
      </c>
      <c r="AR9" s="50">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2">
        <f>SUMIF(项目基本情况!C$12:I$12,C10,项目基本情况!C$15:I$15)</f>
        <v>0</v>
      </c>
      <c r="G10" s="63">
        <f t="shared" si="2"/>
        <v>0</v>
      </c>
      <c r="H10" s="64"/>
      <c r="I10" s="64"/>
      <c r="J10" s="64"/>
      <c r="K10" s="1025">
        <f>SUMIF('数据-汇总表'!C$19:C$33,A10,'数据-汇总表'!E$19:E$33)</f>
        <v>0</v>
      </c>
      <c r="L10" s="731"/>
      <c r="M10" s="65">
        <f t="shared" si="0"/>
        <v>0</v>
      </c>
      <c r="N10" s="729"/>
      <c r="O10" s="65" t="str">
        <f t="shared" si="3"/>
        <v>——</v>
      </c>
      <c r="P10" s="66" t="str">
        <f t="shared" si="4"/>
        <v>——</v>
      </c>
      <c r="Q10" s="79"/>
      <c r="R10" s="67">
        <f ca="1">SUMIF('数据-汇总表'!C$19:C$33,A10,'数据-汇总表'!R$19:R$27)</f>
        <v>0</v>
      </c>
      <c r="S10" s="49">
        <f>IF('数据-汇总表'!$I$17="按面积比例",SUMIF('数据-汇总表'!C$19:C$33,A10,'数据-汇总表'!K$19:K$33),SUMIF('数据-汇总表'!C$19:C$33,A10,'数据-汇总表'!N$19:N$33))</f>
        <v>0</v>
      </c>
      <c r="T10" s="1167">
        <f t="shared" si="5"/>
        <v>0</v>
      </c>
      <c r="U10" s="3353"/>
      <c r="V10" s="68"/>
      <c r="W10" s="68"/>
      <c r="X10" s="1035"/>
      <c r="Y10" s="69"/>
      <c r="Z10" s="70"/>
      <c r="AA10" s="64"/>
      <c r="AB10" s="64"/>
      <c r="AC10" s="1035"/>
      <c r="AD10" s="71"/>
      <c r="AE10" s="1036">
        <f t="shared" ca="1" si="6"/>
        <v>0</v>
      </c>
      <c r="AF10" s="1343"/>
      <c r="AG10" s="136">
        <f t="shared" si="7"/>
        <v>0</v>
      </c>
      <c r="AH10" s="72"/>
      <c r="AI10" s="74"/>
      <c r="AJ10" s="75"/>
      <c r="AK10" s="76"/>
      <c r="AL10" s="77"/>
      <c r="AM10" s="78"/>
      <c r="AN10" s="1710"/>
      <c r="AO10" s="50" t="e">
        <f t="shared" ca="1" si="8"/>
        <v>#REF!</v>
      </c>
      <c r="AP10" s="1711">
        <f t="shared" si="9"/>
        <v>0</v>
      </c>
      <c r="AQ10" s="50">
        <f t="shared" si="10"/>
        <v>0</v>
      </c>
      <c r="AR10" s="50">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2">
        <f>SUMIF(项目基本情况!C$12:I$12,C11,项目基本情况!C$15:I$15)</f>
        <v>0</v>
      </c>
      <c r="G11" s="63">
        <f t="shared" si="2"/>
        <v>0</v>
      </c>
      <c r="H11" s="64"/>
      <c r="I11" s="64"/>
      <c r="J11" s="64"/>
      <c r="K11" s="1025">
        <f>SUMIF('数据-汇总表'!C$19:C$33,A11,'数据-汇总表'!E$19:E$33)</f>
        <v>0</v>
      </c>
      <c r="L11" s="80"/>
      <c r="M11" s="65">
        <f t="shared" si="0"/>
        <v>0</v>
      </c>
      <c r="N11" s="729"/>
      <c r="O11" s="65" t="str">
        <f t="shared" si="3"/>
        <v>——</v>
      </c>
      <c r="P11" s="66" t="str">
        <f t="shared" si="4"/>
        <v>——</v>
      </c>
      <c r="Q11" s="79"/>
      <c r="R11" s="67">
        <f ca="1">SUMIF('数据-汇总表'!C$19:C$33,A11,'数据-汇总表'!R$19:R$27)</f>
        <v>0</v>
      </c>
      <c r="S11" s="49">
        <f>IF('数据-汇总表'!$I$17="按面积比例",SUMIF('数据-汇总表'!C$19:C$33,A11,'数据-汇总表'!K$19:K$33),SUMIF('数据-汇总表'!C$19:C$33,A11,'数据-汇总表'!N$19:N$33))</f>
        <v>0</v>
      </c>
      <c r="T11" s="1167">
        <f t="shared" si="5"/>
        <v>0</v>
      </c>
      <c r="U11" s="3353"/>
      <c r="V11" s="64"/>
      <c r="W11" s="64"/>
      <c r="X11" s="1035"/>
      <c r="Y11" s="69"/>
      <c r="Z11" s="82"/>
      <c r="AA11" s="64"/>
      <c r="AB11" s="64"/>
      <c r="AC11" s="1035"/>
      <c r="AD11" s="71"/>
      <c r="AE11" s="1036">
        <f t="shared" ca="1" si="6"/>
        <v>0</v>
      </c>
      <c r="AF11" s="1343"/>
      <c r="AG11" s="136">
        <f t="shared" si="7"/>
        <v>0</v>
      </c>
      <c r="AH11" s="72"/>
      <c r="AI11" s="74"/>
      <c r="AJ11" s="75"/>
      <c r="AK11" s="83"/>
      <c r="AL11" s="84"/>
      <c r="AM11" s="85"/>
      <c r="AN11" s="1710"/>
      <c r="AO11" s="50" t="e">
        <f t="shared" ca="1" si="8"/>
        <v>#REF!</v>
      </c>
      <c r="AP11" s="1711">
        <f t="shared" si="9"/>
        <v>0</v>
      </c>
      <c r="AQ11" s="50">
        <f t="shared" si="10"/>
        <v>0</v>
      </c>
      <c r="AR11" s="50">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2">
        <f>SUMIF(项目基本情况!C$12:I$12,C12,项目基本情况!C$15:I$15)</f>
        <v>0</v>
      </c>
      <c r="G12" s="63">
        <f>IF(ISERROR(ROUND(POWER(1+H12,D12-F12)*(POWER(1+H12,F12)-1)/(POWER(1+H12,D12)-1),3)),0,ROUND(POWER(1+H12,D12-F12)*(POWER(1+H12,F12)-1)/(POWER(1+H12,D12)-1),3))</f>
        <v>0</v>
      </c>
      <c r="H12" s="64"/>
      <c r="I12" s="64"/>
      <c r="J12" s="64"/>
      <c r="K12" s="1025">
        <f>SUMIF('数据-汇总表'!C$19:C$33,A12,'数据-汇总表'!E$19:E$33)</f>
        <v>0</v>
      </c>
      <c r="L12" s="80"/>
      <c r="M12" s="65">
        <f>ROUND(K12*L12/10000,0)</f>
        <v>0</v>
      </c>
      <c r="N12" s="729"/>
      <c r="O12" s="65" t="str">
        <f t="shared" si="3"/>
        <v>——</v>
      </c>
      <c r="P12" s="66" t="str">
        <f t="shared" si="4"/>
        <v>——</v>
      </c>
      <c r="Q12" s="79"/>
      <c r="R12" s="67">
        <f ca="1">SUMIF('数据-汇总表'!C$19:C$33,A12,'数据-汇总表'!R$19:R$27)</f>
        <v>0</v>
      </c>
      <c r="S12" s="49">
        <f>IF('数据-汇总表'!$I$17="按面积比例",SUMIF('数据-汇总表'!C$19:C$33,A12,'数据-汇总表'!K$19:K$33),SUMIF('数据-汇总表'!C$19:C$33,A12,'数据-汇总表'!N$19:N$33))</f>
        <v>0</v>
      </c>
      <c r="T12" s="1167">
        <f t="shared" si="5"/>
        <v>0</v>
      </c>
      <c r="U12" s="3353"/>
      <c r="V12" s="64"/>
      <c r="W12" s="64"/>
      <c r="X12" s="1035"/>
      <c r="Y12" s="69"/>
      <c r="Z12" s="82"/>
      <c r="AA12" s="64"/>
      <c r="AB12" s="64"/>
      <c r="AC12" s="1035"/>
      <c r="AD12" s="71"/>
      <c r="AE12" s="1036">
        <f t="shared" ca="1" si="6"/>
        <v>0</v>
      </c>
      <c r="AF12" s="1343"/>
      <c r="AG12" s="136">
        <f t="shared" si="7"/>
        <v>0</v>
      </c>
      <c r="AH12" s="72"/>
      <c r="AI12" s="74"/>
      <c r="AJ12" s="75"/>
      <c r="AK12" s="83"/>
      <c r="AL12" s="84"/>
      <c r="AM12" s="85"/>
      <c r="AN12" s="1710"/>
      <c r="AO12" s="50" t="e">
        <f t="shared" ca="1" si="8"/>
        <v>#REF!</v>
      </c>
      <c r="AP12" s="1711">
        <f t="shared" si="9"/>
        <v>0</v>
      </c>
      <c r="AQ12" s="50">
        <f t="shared" si="10"/>
        <v>0</v>
      </c>
      <c r="AR12" s="50">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2">
        <f>SUMIF(项目基本情况!C$12:I$12,C13,项目基本情况!C$15:I$15)</f>
        <v>0</v>
      </c>
      <c r="G13" s="63">
        <f>IF(ISERROR(ROUND(POWER(1+H13,D13-F13)*(POWER(1+H13,F13)-1)/(POWER(1+H13,D13)-1),3)),0,ROUND(POWER(1+H13,D13-F13)*(POWER(1+H13,F13)-1)/(POWER(1+H13,D13)-1),3))</f>
        <v>0</v>
      </c>
      <c r="H13" s="64"/>
      <c r="I13" s="64"/>
      <c r="J13" s="64"/>
      <c r="K13" s="1025">
        <f>SUMIF('数据-汇总表'!C$19:C$33,A13,'数据-汇总表'!E$19:E$33)</f>
        <v>0</v>
      </c>
      <c r="L13" s="80"/>
      <c r="M13" s="65">
        <f>ROUND(K13*L13/10000,0)</f>
        <v>0</v>
      </c>
      <c r="N13" s="81"/>
      <c r="O13" s="65" t="str">
        <f t="shared" si="3"/>
        <v>——</v>
      </c>
      <c r="P13" s="66" t="str">
        <f t="shared" si="4"/>
        <v>——</v>
      </c>
      <c r="Q13" s="79"/>
      <c r="R13" s="67">
        <f ca="1">SUMIF('数据-汇总表'!C$19:C$33,A13,'数据-汇总表'!R$19:R$27)</f>
        <v>0</v>
      </c>
      <c r="S13" s="49">
        <f>IF('数据-汇总表'!$I$17="按面积比例",SUMIF('数据-汇总表'!C$19:C$33,A13,'数据-汇总表'!K$19:K$33),SUMIF('数据-汇总表'!C$19:C$33,A13,'数据-汇总表'!N$19:N$33))</f>
        <v>0</v>
      </c>
      <c r="T13" s="1167">
        <f t="shared" si="5"/>
        <v>0</v>
      </c>
      <c r="U13" s="3355"/>
      <c r="V13" s="68"/>
      <c r="W13" s="68"/>
      <c r="X13" s="1035"/>
      <c r="Y13" s="69"/>
      <c r="Z13" s="70"/>
      <c r="AA13" s="64"/>
      <c r="AB13" s="64"/>
      <c r="AC13" s="1035"/>
      <c r="AD13" s="71"/>
      <c r="AE13" s="1036">
        <f t="shared" ca="1" si="6"/>
        <v>0</v>
      </c>
      <c r="AF13" s="1343"/>
      <c r="AG13" s="136">
        <f t="shared" si="7"/>
        <v>0</v>
      </c>
      <c r="AH13" s="72"/>
      <c r="AI13" s="74"/>
      <c r="AJ13" s="75"/>
      <c r="AK13" s="76"/>
      <c r="AL13" s="77"/>
      <c r="AM13" s="78"/>
      <c r="AN13" s="1710"/>
      <c r="AO13" s="50" t="e">
        <f t="shared" ca="1" si="8"/>
        <v>#REF!</v>
      </c>
      <c r="AP13" s="1711">
        <f t="shared" si="9"/>
        <v>0</v>
      </c>
      <c r="AQ13" s="50">
        <f t="shared" si="10"/>
        <v>0</v>
      </c>
      <c r="AR13" s="50">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2"/>
      <c r="G14" s="63"/>
      <c r="H14" s="1024"/>
      <c r="I14" s="1024"/>
      <c r="J14" s="1024"/>
      <c r="K14" s="1025">
        <f>SUMIF('数据-汇总表'!C$19:C$33,A14,'数据-汇总表'!E$19:E$33)</f>
        <v>0</v>
      </c>
      <c r="L14" s="80"/>
      <c r="M14" s="65">
        <f t="shared" si="0"/>
        <v>0</v>
      </c>
      <c r="N14" s="81"/>
      <c r="O14" s="65" t="str">
        <f t="shared" si="3"/>
        <v>——</v>
      </c>
      <c r="P14" s="66" t="str">
        <f t="shared" si="4"/>
        <v>——</v>
      </c>
      <c r="Q14" s="1028"/>
      <c r="R14" s="67"/>
      <c r="S14" s="49"/>
      <c r="T14" s="1167"/>
      <c r="U14" s="668"/>
      <c r="V14" s="1030"/>
      <c r="W14" s="1030"/>
      <c r="X14" s="1031"/>
      <c r="Y14" s="1032"/>
      <c r="Z14" s="1033"/>
      <c r="AA14" s="1034"/>
      <c r="AB14" s="1034"/>
      <c r="AC14" s="1035"/>
      <c r="AD14" s="1031"/>
      <c r="AE14" s="1036"/>
      <c r="AF14" s="50"/>
      <c r="AG14" s="136"/>
      <c r="AH14" s="1036"/>
      <c r="AI14" s="1352"/>
      <c r="AJ14" s="702"/>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2"/>
      <c r="G15" s="63"/>
      <c r="H15" s="1024"/>
      <c r="I15" s="1024"/>
      <c r="J15" s="1024"/>
      <c r="K15" s="1025">
        <f>SUMIF('数据-汇总表'!C$19:C$33,A15,'数据-汇总表'!E$19:E$33)</f>
        <v>0</v>
      </c>
      <c r="L15" s="1026"/>
      <c r="M15" s="65"/>
      <c r="N15" s="1027"/>
      <c r="O15" s="65"/>
      <c r="P15" s="66"/>
      <c r="Q15" s="1028"/>
      <c r="R15" s="67"/>
      <c r="S15" s="49"/>
      <c r="T15" s="1167"/>
      <c r="U15" s="668"/>
      <c r="V15" s="1030"/>
      <c r="W15" s="1030"/>
      <c r="X15" s="1031"/>
      <c r="Y15" s="1032"/>
      <c r="Z15" s="1033"/>
      <c r="AA15" s="1034"/>
      <c r="AB15" s="1034"/>
      <c r="AC15" s="1035"/>
      <c r="AD15" s="1031"/>
      <c r="AE15" s="1036"/>
      <c r="AF15" s="50"/>
      <c r="AG15" s="136"/>
      <c r="AH15" s="1036"/>
      <c r="AI15" s="1352"/>
      <c r="AJ15" s="702"/>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6"/>
      <c r="C16" s="828"/>
      <c r="D16" s="1715"/>
      <c r="E16" s="86"/>
      <c r="F16" s="86"/>
      <c r="G16" s="87">
        <f>ROUND(SUMPRODUCT(G6:G13,K6:K13)/SUMPRODUCT((G6:G13&gt;0)*(K6:K13)),3)</f>
        <v>0.85099999999999998</v>
      </c>
      <c r="H16" s="88">
        <f>ROUND(SUMPRODUCT(H6:H13,K6:K13)/SUMPRODUCT((H6:H13&gt;0)*(K6:K13)),3)</f>
        <v>0.05</v>
      </c>
      <c r="I16" s="89"/>
      <c r="J16" s="89"/>
      <c r="K16" s="90">
        <f>SUM(K6:K15)</f>
        <v>61136.619999999995</v>
      </c>
      <c r="L16" s="91">
        <f>ROUND(M16*10000/SUM(K6:K14),0)</f>
        <v>6451</v>
      </c>
      <c r="M16" s="91">
        <f>SUM(M6:M14)</f>
        <v>39437</v>
      </c>
      <c r="N16" s="92">
        <f>ROUND(SUMPRODUCT(M6:M14,N6:N14)/M16,3)</f>
        <v>0.75</v>
      </c>
      <c r="O16" s="91">
        <f>SUM(O6:O14)</f>
        <v>0</v>
      </c>
      <c r="P16" s="91">
        <f>SUM(P6:P14)</f>
        <v>0</v>
      </c>
      <c r="Q16" s="93">
        <f>ROUND(SUMPRODUCT(Q6:Q13,K6:K13)/SUMPRODUCT((Q6:Q13&gt;0)*(K6:K13)),2)</f>
        <v>0.19</v>
      </c>
      <c r="R16" s="1029">
        <f ca="1">SUM(R6:R13)</f>
        <v>6245.0800000000008</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4325" t="s">
        <v>4142</v>
      </c>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58" t="s">
        <v>1210</v>
      </c>
      <c r="B18" s="2680"/>
      <c r="C18" s="2668"/>
      <c r="D18" s="2671"/>
      <c r="E18" s="2668"/>
      <c r="F18" s="2668"/>
      <c r="G18" s="2668"/>
      <c r="H18" s="2668"/>
      <c r="I18" s="2668"/>
      <c r="J18" s="2668"/>
      <c r="K18" s="2667"/>
      <c r="L18" s="2667"/>
      <c r="M18" s="2666"/>
      <c r="N18" s="2666"/>
      <c r="O18" s="2666"/>
      <c r="P18" s="2666"/>
      <c r="Q18" s="2666"/>
      <c r="R18" s="2666"/>
      <c r="S18" s="2666"/>
      <c r="T18" s="2666"/>
      <c r="U18" s="4325" t="s">
        <v>4141</v>
      </c>
      <c r="V18" s="4325" t="s">
        <v>4137</v>
      </c>
      <c r="W18" s="4325" t="s">
        <v>4138</v>
      </c>
      <c r="X18" s="4325" t="s">
        <v>4139</v>
      </c>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1">
        <v>0</v>
      </c>
      <c r="C19" s="2794" t="s">
        <v>2296</v>
      </c>
      <c r="D19" s="2671"/>
      <c r="E19" s="2668"/>
      <c r="F19" s="2668"/>
      <c r="G19" s="2668"/>
      <c r="H19" s="2668"/>
      <c r="I19" s="2668"/>
      <c r="J19" s="2668"/>
      <c r="K19" s="2667"/>
      <c r="L19" s="2667"/>
      <c r="M19" s="2666"/>
      <c r="N19" s="2666"/>
      <c r="O19" s="2666"/>
      <c r="P19" s="2666"/>
      <c r="Q19" s="2666"/>
      <c r="R19" s="2666"/>
      <c r="S19" s="2666"/>
      <c r="T19" s="2666"/>
      <c r="U19" s="2666" t="s">
        <v>4132</v>
      </c>
      <c r="V19" s="2666">
        <f>区域分配表!G9+区域分配表!G10+区域分配表!G7</f>
        <v>5473.39</v>
      </c>
      <c r="W19" s="2666">
        <f>商业租约!F3</f>
        <v>3900</v>
      </c>
      <c r="X19" s="2666">
        <v>3</v>
      </c>
      <c r="Y19" s="2666">
        <f>X19*W19</f>
        <v>11700</v>
      </c>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2">
        <v>3</v>
      </c>
      <c r="C20" s="2795" t="s">
        <v>2294</v>
      </c>
      <c r="D20" s="2671"/>
      <c r="E20" s="2668"/>
      <c r="F20" s="2668"/>
      <c r="G20" s="2668"/>
      <c r="H20" s="2668"/>
      <c r="I20" s="2668"/>
      <c r="J20" s="2668"/>
      <c r="K20" s="2667"/>
      <c r="L20" s="2667"/>
      <c r="M20" s="2666"/>
      <c r="N20" s="2666"/>
      <c r="O20" s="2666"/>
      <c r="P20" s="2666"/>
      <c r="Q20" s="2666"/>
      <c r="R20" s="2666"/>
      <c r="S20" s="2666"/>
      <c r="T20" s="2666"/>
      <c r="U20" s="2666" t="s">
        <v>4133</v>
      </c>
      <c r="V20" s="2666">
        <f>区域分配表!G11+区域分配表!G12</f>
        <v>3996.7400000000002</v>
      </c>
      <c r="W20" s="2666">
        <f>SUM(商业租约!F9:F27)</f>
        <v>1974</v>
      </c>
      <c r="X20" s="2666">
        <v>12</v>
      </c>
      <c r="Y20" s="2666">
        <f t="shared" ref="Y20:Y23" si="12">X20*W20</f>
        <v>23688</v>
      </c>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2">
        <v>3</v>
      </c>
      <c r="C21" s="2668"/>
      <c r="D21" s="2671"/>
      <c r="E21" s="2668"/>
      <c r="F21" s="2668"/>
      <c r="G21" s="2668"/>
      <c r="H21" s="2668"/>
      <c r="I21" s="2668"/>
      <c r="J21" s="2668"/>
      <c r="K21" s="2667"/>
      <c r="L21" s="2667"/>
      <c r="M21" s="2666"/>
      <c r="N21" s="2666"/>
      <c r="O21" s="2666"/>
      <c r="P21" s="2666"/>
      <c r="Q21" s="2666"/>
      <c r="R21" s="2666"/>
      <c r="S21" s="2666"/>
      <c r="T21" s="2666"/>
      <c r="U21" s="2666" t="s">
        <v>4134</v>
      </c>
      <c r="V21" s="2666">
        <f>区域分配表!G13</f>
        <v>5246.86</v>
      </c>
      <c r="W21" s="2666">
        <f>SUM(商业租约!F30:F51)</f>
        <v>3099.0499999999997</v>
      </c>
      <c r="X21" s="2666">
        <v>8</v>
      </c>
      <c r="Y21" s="2666">
        <f t="shared" si="12"/>
        <v>24792.399999999998</v>
      </c>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3">
        <f>B19+B20</f>
        <v>3</v>
      </c>
      <c r="C22" s="2668"/>
      <c r="D22" s="2671"/>
      <c r="E22" s="2668"/>
      <c r="F22" s="2668"/>
      <c r="G22" s="2668"/>
      <c r="H22" s="2668"/>
      <c r="I22" s="2668"/>
      <c r="J22" s="2668"/>
      <c r="K22" s="2667"/>
      <c r="L22" s="2667"/>
      <c r="M22" s="2666"/>
      <c r="N22" s="2666"/>
      <c r="O22" s="2666"/>
      <c r="P22" s="2666"/>
      <c r="Q22" s="2666"/>
      <c r="R22" s="2666"/>
      <c r="S22" s="2666"/>
      <c r="T22" s="2666"/>
      <c r="U22" s="2666" t="s">
        <v>4135</v>
      </c>
      <c r="V22" s="2666">
        <f>区域分配表!G14</f>
        <v>5677.09</v>
      </c>
      <c r="W22" s="2666">
        <f>SUM(商业租约!F52:F66)</f>
        <v>4100</v>
      </c>
      <c r="X22" s="2666">
        <v>5</v>
      </c>
      <c r="Y22" s="2666">
        <f t="shared" si="12"/>
        <v>20500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3">
        <f>B19+B21</f>
        <v>3</v>
      </c>
      <c r="C23" s="2668"/>
      <c r="D23" s="2671"/>
      <c r="E23" s="2668"/>
      <c r="F23" s="2668"/>
      <c r="G23" s="2668"/>
      <c r="H23" s="2668"/>
      <c r="I23" s="2668"/>
      <c r="J23" s="2668"/>
      <c r="K23" s="2667"/>
      <c r="L23" s="2667"/>
      <c r="M23" s="2666"/>
      <c r="N23" s="2666"/>
      <c r="O23" s="2666"/>
      <c r="P23" s="2666"/>
      <c r="Q23" s="2666"/>
      <c r="R23" s="2666"/>
      <c r="S23" s="2666"/>
      <c r="T23" s="2666"/>
      <c r="U23" s="2666" t="s">
        <v>4136</v>
      </c>
      <c r="V23" s="2666">
        <f>区域分配表!G15</f>
        <v>5677.09</v>
      </c>
      <c r="W23" s="2666">
        <f>SUM(商业租约!F67:F68)</f>
        <v>4610</v>
      </c>
      <c r="X23" s="2666">
        <v>5</v>
      </c>
      <c r="Y23" s="2666">
        <f t="shared" si="12"/>
        <v>23050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4">
        <f>B20-B21</f>
        <v>0</v>
      </c>
      <c r="C24" s="2668"/>
      <c r="D24" s="2671"/>
      <c r="E24" s="2668"/>
      <c r="F24" s="2668"/>
      <c r="G24" s="2668"/>
      <c r="H24" s="2668"/>
      <c r="I24" s="2668"/>
      <c r="J24" s="2668"/>
      <c r="K24" s="2667"/>
      <c r="L24" s="2667"/>
      <c r="M24" s="2666"/>
      <c r="N24" s="2666"/>
      <c r="O24" s="2666"/>
      <c r="P24" s="2666"/>
      <c r="Q24" s="2666"/>
      <c r="R24" s="2666"/>
      <c r="S24" s="2666"/>
      <c r="T24" s="2666"/>
      <c r="U24" s="4325" t="s">
        <v>4140</v>
      </c>
      <c r="V24" s="2666">
        <f>SUM(V19:V23)</f>
        <v>26071.170000000002</v>
      </c>
      <c r="W24" s="2666">
        <f>SUM(W19:W23)</f>
        <v>17683.05</v>
      </c>
      <c r="X24" s="2666"/>
      <c r="Y24" s="2666">
        <f>SUM(Y19:Y23)</f>
        <v>103730.4</v>
      </c>
      <c r="Z24" s="2666">
        <f>ROUND(Y24/V24,1)</f>
        <v>4</v>
      </c>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4325" t="s">
        <v>4143</v>
      </c>
      <c r="W25" s="4326">
        <f>W24/V24</f>
        <v>0.67826069946227951</v>
      </c>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5">
        <v>160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08">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0">
        <f>成本法!C10</f>
        <v>641</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9">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09">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1">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1">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08">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2">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3">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1">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5">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4">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5">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6">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7">
        <v>7.0000000000000007E-2</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5">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5">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8"/>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19">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5">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0">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1">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2">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144</v>
      </c>
      <c r="C53" s="2656" t="s">
        <v>1246</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3">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3"/>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3"/>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3"/>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3"/>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3"/>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3"/>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3"/>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3"/>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3"/>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8"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8"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8"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8"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8"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8" customFormat="1">
      <c r="A69" s="1736"/>
      <c r="D69" s="1737"/>
      <c r="K69" s="726"/>
      <c r="L69" s="726"/>
    </row>
    <row r="70" spans="1:44" s="788" customFormat="1">
      <c r="A70" s="1736"/>
      <c r="D70" s="1737"/>
      <c r="K70" s="726"/>
      <c r="L70" s="726"/>
    </row>
    <row r="71" spans="1:44" s="788" customFormat="1">
      <c r="A71" s="1736"/>
      <c r="D71" s="1737"/>
      <c r="K71" s="726"/>
      <c r="L71" s="726"/>
    </row>
    <row r="72" spans="1:44" s="788" customFormat="1">
      <c r="A72" s="1736"/>
      <c r="D72" s="1737"/>
      <c r="K72" s="726"/>
      <c r="L72" s="726"/>
    </row>
    <row r="73" spans="1:44" s="788" customFormat="1">
      <c r="A73" s="1736"/>
      <c r="D73" s="1737"/>
      <c r="K73" s="726"/>
      <c r="L73" s="726"/>
    </row>
    <row r="74" spans="1:44" s="788" customFormat="1">
      <c r="A74" s="1736"/>
      <c r="D74" s="1737"/>
      <c r="K74" s="726"/>
      <c r="L74" s="726"/>
    </row>
    <row r="75" spans="1:44" s="788" customFormat="1">
      <c r="A75" s="1736"/>
      <c r="D75" s="1737"/>
      <c r="K75" s="726"/>
      <c r="L75" s="726"/>
    </row>
    <row r="76" spans="1:44" s="788" customFormat="1">
      <c r="A76" s="1736"/>
      <c r="D76" s="1737"/>
      <c r="K76" s="726"/>
      <c r="L76" s="726"/>
    </row>
    <row r="77" spans="1:44" s="788" customFormat="1">
      <c r="A77" s="1736"/>
      <c r="D77" s="1737"/>
      <c r="K77" s="726"/>
      <c r="L77" s="726"/>
    </row>
    <row r="78" spans="1:44" s="788" customFormat="1">
      <c r="A78" s="1736"/>
      <c r="D78" s="1737"/>
      <c r="K78" s="726"/>
      <c r="L78" s="726"/>
    </row>
    <row r="79" spans="1:44" s="788" customFormat="1">
      <c r="A79" s="1736"/>
      <c r="D79" s="1737"/>
      <c r="K79" s="726"/>
      <c r="L79" s="726"/>
    </row>
    <row r="80" spans="1:44" s="788" customFormat="1">
      <c r="A80" s="1736"/>
      <c r="D80" s="1737"/>
      <c r="K80" s="726"/>
      <c r="L80" s="726"/>
    </row>
    <row r="81" spans="1:12" s="788" customFormat="1">
      <c r="A81" s="1736"/>
      <c r="D81" s="1737"/>
      <c r="K81" s="726"/>
      <c r="L81" s="726"/>
    </row>
    <row r="82" spans="1:12" s="788" customFormat="1">
      <c r="A82" s="1736"/>
      <c r="D82" s="1737"/>
      <c r="K82" s="726"/>
      <c r="L82" s="726"/>
    </row>
    <row r="83" spans="1:12" s="788" customFormat="1">
      <c r="A83" s="1736"/>
      <c r="D83" s="1737"/>
      <c r="K83" s="726"/>
      <c r="L83" s="726"/>
    </row>
    <row r="84" spans="1:12" s="788" customFormat="1">
      <c r="A84" s="1736"/>
      <c r="D84" s="1737"/>
      <c r="K84" s="726"/>
      <c r="L84" s="726"/>
    </row>
    <row r="85" spans="1:12" s="788" customFormat="1">
      <c r="A85" s="1736"/>
      <c r="D85" s="1737"/>
      <c r="K85" s="726"/>
      <c r="L85" s="726"/>
    </row>
    <row r="86" spans="1:12" s="788" customFormat="1">
      <c r="A86" s="1736"/>
      <c r="D86" s="1737"/>
      <c r="K86" s="726"/>
      <c r="L86" s="726"/>
    </row>
    <row r="87" spans="1:12" s="788" customFormat="1">
      <c r="A87" s="1736"/>
      <c r="D87" s="1737"/>
      <c r="K87" s="726"/>
      <c r="L87" s="726"/>
    </row>
    <row r="88" spans="1:12" s="788" customFormat="1">
      <c r="A88" s="1736"/>
      <c r="D88" s="1737"/>
      <c r="K88" s="726"/>
      <c r="L88" s="726"/>
    </row>
    <row r="89" spans="1:12" s="788" customFormat="1">
      <c r="A89" s="1736"/>
      <c r="D89" s="1737"/>
      <c r="K89" s="726"/>
      <c r="L89" s="726"/>
    </row>
    <row r="90" spans="1:12" s="788" customFormat="1">
      <c r="A90" s="1736"/>
      <c r="D90" s="1737"/>
      <c r="K90" s="726"/>
      <c r="L90" s="726"/>
    </row>
    <row r="91" spans="1:12" s="788" customFormat="1">
      <c r="A91" s="1736"/>
      <c r="D91" s="1737"/>
      <c r="K91" s="726"/>
      <c r="L91" s="726"/>
    </row>
    <row r="92" spans="1:12" s="788" customFormat="1">
      <c r="A92" s="1736"/>
      <c r="D92" s="1737"/>
      <c r="K92" s="726"/>
      <c r="L92" s="726"/>
    </row>
    <row r="93" spans="1:12" s="788" customFormat="1">
      <c r="A93" s="1736"/>
      <c r="D93" s="1737"/>
      <c r="K93" s="726"/>
      <c r="L93" s="726"/>
    </row>
    <row r="94" spans="1:12" s="788" customFormat="1">
      <c r="A94" s="1736"/>
      <c r="D94" s="1737"/>
      <c r="K94" s="726"/>
      <c r="L94" s="726"/>
    </row>
    <row r="95" spans="1:12" s="788" customFormat="1">
      <c r="A95" s="1736"/>
      <c r="D95" s="1737"/>
      <c r="K95" s="726"/>
      <c r="L95" s="726"/>
    </row>
    <row r="96" spans="1:12" s="788" customFormat="1">
      <c r="A96" s="1736"/>
      <c r="D96" s="1737"/>
      <c r="K96" s="726"/>
      <c r="L96" s="726"/>
    </row>
    <row r="97" spans="1:12" s="788" customFormat="1">
      <c r="A97" s="1736"/>
      <c r="D97" s="1737"/>
      <c r="K97" s="726"/>
      <c r="L97" s="726"/>
    </row>
    <row r="98" spans="1:12" s="788" customFormat="1">
      <c r="A98" s="1736"/>
      <c r="D98" s="1737"/>
      <c r="K98" s="726"/>
      <c r="L98" s="726"/>
    </row>
    <row r="99" spans="1:12" s="788" customFormat="1">
      <c r="A99" s="1736"/>
      <c r="D99" s="1737"/>
      <c r="K99" s="726"/>
      <c r="L99" s="726"/>
    </row>
    <row r="100" spans="1:12" s="788" customFormat="1">
      <c r="A100" s="1736"/>
      <c r="D100" s="1737"/>
      <c r="K100" s="726"/>
      <c r="L100" s="726"/>
    </row>
    <row r="101" spans="1:12" s="788" customFormat="1">
      <c r="A101" s="1736"/>
      <c r="D101" s="1737"/>
      <c r="K101" s="726"/>
      <c r="L101" s="726"/>
    </row>
    <row r="102" spans="1:12" s="788" customFormat="1">
      <c r="A102" s="1736"/>
      <c r="D102" s="1737"/>
      <c r="K102" s="726"/>
      <c r="L102" s="726"/>
    </row>
    <row r="103" spans="1:12" s="788" customFormat="1">
      <c r="A103" s="1736"/>
      <c r="D103" s="1737"/>
      <c r="K103" s="726"/>
      <c r="L103" s="726"/>
    </row>
    <row r="104" spans="1:12" s="788" customFormat="1">
      <c r="A104" s="1736"/>
      <c r="D104" s="1737"/>
      <c r="K104" s="726"/>
      <c r="L104" s="726"/>
    </row>
    <row r="105" spans="1:12" s="788" customFormat="1">
      <c r="A105" s="1736"/>
      <c r="D105" s="1737"/>
      <c r="K105" s="726"/>
      <c r="L105" s="726"/>
    </row>
    <row r="106" spans="1:12" s="788" customFormat="1">
      <c r="A106" s="1736"/>
      <c r="D106" s="1737"/>
      <c r="K106" s="726"/>
      <c r="L106" s="726"/>
    </row>
    <row r="107" spans="1:12" s="788" customFormat="1">
      <c r="A107" s="1736"/>
      <c r="D107" s="1737"/>
      <c r="K107" s="726"/>
      <c r="L107" s="726"/>
    </row>
    <row r="108" spans="1:12" s="788" customFormat="1">
      <c r="A108" s="1736"/>
      <c r="D108" s="1737"/>
      <c r="K108" s="726"/>
      <c r="L108" s="726"/>
    </row>
    <row r="109" spans="1:12" s="788" customFormat="1">
      <c r="A109" s="1736"/>
      <c r="D109" s="1737"/>
      <c r="K109" s="726"/>
      <c r="L109" s="726"/>
    </row>
    <row r="110" spans="1:12" s="788" customFormat="1">
      <c r="A110" s="1736"/>
      <c r="D110" s="1737"/>
      <c r="K110" s="726"/>
      <c r="L110" s="726"/>
    </row>
    <row r="111" spans="1:12" s="788" customFormat="1">
      <c r="A111" s="1736"/>
      <c r="D111" s="1737"/>
      <c r="K111" s="726"/>
      <c r="L111" s="726"/>
    </row>
    <row r="112" spans="1:12" s="788" customFormat="1">
      <c r="A112" s="1736"/>
      <c r="D112" s="1737"/>
      <c r="K112" s="726"/>
      <c r="L112" s="726"/>
    </row>
    <row r="113" spans="1:12" s="788" customFormat="1">
      <c r="A113" s="1736"/>
      <c r="D113" s="1737"/>
      <c r="K113" s="726"/>
      <c r="L113" s="726"/>
    </row>
    <row r="114" spans="1:12" s="788" customFormat="1">
      <c r="A114" s="1736"/>
      <c r="D114" s="1737"/>
      <c r="K114" s="726"/>
      <c r="L114" s="726"/>
    </row>
    <row r="115" spans="1:12" s="788" customFormat="1">
      <c r="A115" s="1736"/>
      <c r="D115" s="1737"/>
      <c r="K115" s="726"/>
      <c r="L115" s="726"/>
    </row>
    <row r="116" spans="1:12" s="788" customFormat="1">
      <c r="A116" s="1736"/>
      <c r="D116" s="1737"/>
      <c r="K116" s="726"/>
      <c r="L116" s="726"/>
    </row>
    <row r="117" spans="1:12" s="788" customFormat="1">
      <c r="A117" s="1736"/>
      <c r="D117" s="1737"/>
      <c r="K117" s="726"/>
      <c r="L117" s="726"/>
    </row>
    <row r="118" spans="1:12" s="788" customFormat="1">
      <c r="A118" s="1736"/>
      <c r="D118" s="1737"/>
      <c r="K118" s="726"/>
      <c r="L118" s="726"/>
    </row>
    <row r="119" spans="1:12" s="788" customFormat="1">
      <c r="A119" s="1736"/>
      <c r="D119" s="1737"/>
      <c r="K119" s="726"/>
      <c r="L119" s="726"/>
    </row>
    <row r="120" spans="1:12" s="788" customFormat="1">
      <c r="A120" s="1736"/>
      <c r="D120" s="1737"/>
      <c r="K120" s="726"/>
      <c r="L120" s="726"/>
    </row>
    <row r="121" spans="1:12" s="788" customFormat="1">
      <c r="A121" s="1736"/>
      <c r="D121" s="1737"/>
      <c r="K121" s="726"/>
      <c r="L121" s="726"/>
    </row>
    <row r="122" spans="1:12" s="788" customFormat="1">
      <c r="A122" s="1736"/>
      <c r="D122" s="1737"/>
      <c r="K122" s="726"/>
      <c r="L122" s="726"/>
    </row>
    <row r="123" spans="1:12" s="788" customFormat="1">
      <c r="A123" s="1736"/>
      <c r="D123" s="1737"/>
      <c r="K123" s="726"/>
      <c r="L123" s="726"/>
    </row>
    <row r="124" spans="1:12" s="788" customFormat="1">
      <c r="A124" s="1736"/>
      <c r="D124" s="1737"/>
      <c r="K124" s="726"/>
      <c r="L124" s="726"/>
    </row>
    <row r="125" spans="1:12" s="788" customFormat="1">
      <c r="A125" s="1736"/>
      <c r="D125" s="1737"/>
      <c r="K125" s="726"/>
      <c r="L125" s="726"/>
    </row>
    <row r="126" spans="1:12" s="788" customFormat="1">
      <c r="A126" s="1736"/>
      <c r="D126" s="1737"/>
      <c r="K126" s="726"/>
      <c r="L126" s="726"/>
    </row>
    <row r="127" spans="1:12" s="788" customFormat="1">
      <c r="A127" s="1736"/>
      <c r="D127" s="1737"/>
      <c r="K127" s="726"/>
      <c r="L127" s="726"/>
    </row>
    <row r="128" spans="1:12" s="788" customFormat="1">
      <c r="A128" s="1736"/>
      <c r="D128" s="1737"/>
      <c r="K128" s="726"/>
      <c r="L128" s="726"/>
    </row>
    <row r="129" spans="1:12" s="788" customFormat="1">
      <c r="A129" s="1736"/>
      <c r="D129" s="1737"/>
      <c r="K129" s="726"/>
      <c r="L129" s="726"/>
    </row>
    <row r="130" spans="1:12" s="788" customFormat="1">
      <c r="A130" s="1736"/>
      <c r="D130" s="1737"/>
      <c r="K130" s="726"/>
      <c r="L130" s="726"/>
    </row>
    <row r="131" spans="1:12" s="788" customFormat="1">
      <c r="A131" s="1736"/>
      <c r="D131" s="1737"/>
      <c r="K131" s="726"/>
      <c r="L131" s="726"/>
    </row>
    <row r="132" spans="1:12" s="788" customFormat="1">
      <c r="A132" s="1736"/>
      <c r="D132" s="1737"/>
      <c r="K132" s="726"/>
      <c r="L132" s="726"/>
    </row>
    <row r="133" spans="1:12" s="788" customFormat="1">
      <c r="A133" s="1736"/>
      <c r="D133" s="1737"/>
      <c r="K133" s="726"/>
      <c r="L133" s="726"/>
    </row>
    <row r="134" spans="1:12" s="1676" customFormat="1">
      <c r="A134" s="1738"/>
      <c r="D134" s="1739"/>
      <c r="K134" s="22"/>
      <c r="L134" s="22"/>
    </row>
    <row r="135" spans="1:12" s="1676" customFormat="1">
      <c r="A135" s="1738"/>
      <c r="D135" s="1739"/>
      <c r="K135" s="22"/>
      <c r="L135" s="22"/>
    </row>
    <row r="136" spans="1:12" s="1676" customFormat="1">
      <c r="A136" s="1738"/>
      <c r="D136" s="1739"/>
      <c r="K136" s="22"/>
      <c r="L136" s="22"/>
    </row>
    <row r="137" spans="1:12" s="1676" customFormat="1">
      <c r="A137" s="1738"/>
      <c r="D137" s="1739"/>
      <c r="K137" s="22"/>
      <c r="L137" s="22"/>
    </row>
    <row r="138" spans="1:12" s="1676" customFormat="1">
      <c r="A138" s="1738"/>
      <c r="D138" s="1739"/>
      <c r="K138" s="22"/>
      <c r="L138" s="22"/>
    </row>
    <row r="139" spans="1:12" s="1676" customFormat="1">
      <c r="A139" s="1738"/>
      <c r="D139" s="1739"/>
      <c r="K139" s="22"/>
      <c r="L139" s="22"/>
    </row>
    <row r="140" spans="1:12" s="1676" customFormat="1">
      <c r="A140" s="1738"/>
      <c r="D140" s="1739"/>
      <c r="K140" s="22"/>
      <c r="L140" s="22"/>
    </row>
    <row r="141" spans="1:12" s="1676" customFormat="1">
      <c r="A141" s="1738"/>
      <c r="D141" s="1739"/>
      <c r="K141" s="22"/>
      <c r="L141" s="22"/>
    </row>
    <row r="142" spans="1:12" s="1676" customFormat="1">
      <c r="A142" s="1738"/>
      <c r="D142" s="1739"/>
      <c r="K142" s="22"/>
      <c r="L142" s="22"/>
    </row>
    <row r="143" spans="1:12" s="1676" customFormat="1">
      <c r="A143" s="1738"/>
      <c r="D143" s="1739"/>
      <c r="K143" s="22"/>
      <c r="L143" s="22"/>
    </row>
    <row r="144" spans="1:12" s="1676" customFormat="1">
      <c r="A144" s="1738"/>
      <c r="D144" s="1739"/>
      <c r="K144" s="22"/>
      <c r="L144" s="22"/>
    </row>
    <row r="145" spans="1:12" s="1676" customFormat="1">
      <c r="A145" s="1738"/>
      <c r="D145" s="1739"/>
      <c r="K145" s="22"/>
      <c r="L145" s="22"/>
    </row>
    <row r="146" spans="1:12" s="1676" customFormat="1">
      <c r="A146" s="1738"/>
      <c r="D146" s="1739"/>
      <c r="K146" s="22"/>
      <c r="L146" s="22"/>
    </row>
    <row r="147" spans="1:12" s="1676" customFormat="1">
      <c r="A147" s="1738"/>
      <c r="D147" s="1739"/>
      <c r="K147" s="22"/>
      <c r="L147" s="22"/>
    </row>
    <row r="148" spans="1:12" s="1676" customFormat="1">
      <c r="A148" s="1738"/>
      <c r="D148" s="1739"/>
      <c r="K148" s="22"/>
      <c r="L148" s="22"/>
    </row>
    <row r="149" spans="1:12" s="1676" customFormat="1">
      <c r="A149" s="1738"/>
      <c r="D149" s="1739"/>
      <c r="K149" s="22"/>
      <c r="L149" s="22"/>
    </row>
    <row r="150" spans="1:12" s="1676" customFormat="1">
      <c r="A150" s="1738"/>
      <c r="D150" s="1739"/>
      <c r="K150" s="22"/>
      <c r="L150" s="22"/>
    </row>
    <row r="151" spans="1:12" s="1676" customFormat="1">
      <c r="A151" s="1738"/>
      <c r="D151" s="1739"/>
      <c r="K151" s="22"/>
      <c r="L151" s="22"/>
    </row>
    <row r="152" spans="1:12" s="1676" customFormat="1">
      <c r="A152" s="1738"/>
      <c r="D152" s="1739"/>
      <c r="K152" s="22"/>
      <c r="L152" s="22"/>
    </row>
    <row r="153" spans="1:12" s="1676" customFormat="1">
      <c r="A153" s="1738"/>
      <c r="D153" s="1739"/>
      <c r="K153" s="22"/>
      <c r="L153" s="22"/>
    </row>
    <row r="154" spans="1:12" s="1676" customFormat="1">
      <c r="A154" s="1738"/>
      <c r="D154" s="1739"/>
      <c r="K154" s="22"/>
      <c r="L154" s="22"/>
    </row>
    <row r="155" spans="1:12" s="1676" customFormat="1">
      <c r="A155" s="1738"/>
      <c r="D155" s="1739"/>
      <c r="K155" s="22"/>
      <c r="L155" s="22"/>
    </row>
    <row r="156" spans="1:12" s="1676" customFormat="1">
      <c r="A156" s="1738"/>
      <c r="D156" s="1739"/>
      <c r="K156" s="22"/>
      <c r="L156" s="22"/>
    </row>
    <row r="157" spans="1:12" s="1676" customFormat="1">
      <c r="A157" s="1738"/>
      <c r="D157" s="1739"/>
      <c r="K157" s="22"/>
      <c r="L157" s="22"/>
    </row>
    <row r="158" spans="1:12" s="1676" customFormat="1">
      <c r="A158" s="1738"/>
      <c r="D158" s="1739"/>
      <c r="K158" s="22"/>
      <c r="L158" s="22"/>
    </row>
    <row r="159" spans="1:12" s="1676" customFormat="1">
      <c r="A159" s="1738"/>
      <c r="D159" s="1739"/>
      <c r="K159" s="22"/>
      <c r="L159" s="22"/>
    </row>
    <row r="160" spans="1:12" s="1676" customFormat="1">
      <c r="A160" s="1738"/>
      <c r="D160" s="1739"/>
      <c r="K160" s="22"/>
      <c r="L160" s="22"/>
    </row>
    <row r="161" spans="1:12" s="1676" customFormat="1">
      <c r="A161" s="1738"/>
      <c r="D161" s="1739"/>
      <c r="K161" s="22"/>
      <c r="L161" s="22"/>
    </row>
    <row r="162" spans="1:12" s="1676" customFormat="1">
      <c r="A162" s="1738"/>
      <c r="D162" s="1739"/>
      <c r="K162" s="22"/>
      <c r="L162" s="22"/>
    </row>
    <row r="163" spans="1:12" s="1676" customFormat="1">
      <c r="A163" s="1738"/>
      <c r="D163" s="1739"/>
      <c r="K163" s="22"/>
      <c r="L163" s="22"/>
    </row>
    <row r="164" spans="1:12" s="1676" customFormat="1">
      <c r="A164" s="1738"/>
      <c r="D164" s="1739"/>
      <c r="K164" s="22"/>
      <c r="L164" s="22"/>
    </row>
    <row r="165" spans="1:12" s="1676" customFormat="1">
      <c r="A165" s="1738"/>
      <c r="D165" s="1739"/>
      <c r="K165" s="22"/>
      <c r="L165" s="22"/>
    </row>
    <row r="166" spans="1:12" s="1676" customFormat="1">
      <c r="A166" s="1738"/>
      <c r="D166" s="1739"/>
      <c r="K166" s="22"/>
      <c r="L166" s="22"/>
    </row>
    <row r="167" spans="1:12" s="1676" customFormat="1">
      <c r="A167" s="1738"/>
      <c r="D167" s="1739"/>
      <c r="K167" s="22"/>
      <c r="L167" s="22"/>
    </row>
    <row r="168" spans="1:12" s="1676" customFormat="1">
      <c r="A168" s="1738"/>
      <c r="D168" s="1739"/>
      <c r="K168" s="22"/>
      <c r="L168" s="22"/>
    </row>
    <row r="169" spans="1:12" s="1676" customFormat="1">
      <c r="A169" s="1738"/>
      <c r="D169" s="1739"/>
      <c r="K169" s="22"/>
      <c r="L169" s="22"/>
    </row>
    <row r="170" spans="1:12" s="1676" customFormat="1">
      <c r="A170" s="1738"/>
      <c r="D170" s="1739"/>
      <c r="K170" s="22"/>
      <c r="L170" s="22"/>
    </row>
    <row r="171" spans="1:12" s="1676" customFormat="1">
      <c r="A171" s="1738"/>
      <c r="D171" s="1739"/>
      <c r="K171" s="22"/>
      <c r="L171" s="22"/>
    </row>
    <row r="172" spans="1:12" s="1676" customFormat="1">
      <c r="A172" s="1738"/>
      <c r="D172" s="1739"/>
      <c r="K172" s="22"/>
      <c r="L172" s="22"/>
    </row>
    <row r="173" spans="1:12" s="1676" customFormat="1">
      <c r="A173" s="1738"/>
      <c r="D173" s="1739"/>
      <c r="K173" s="22"/>
      <c r="L173" s="22"/>
    </row>
    <row r="174" spans="1:12" s="1676" customFormat="1">
      <c r="A174" s="1738"/>
      <c r="D174" s="1739"/>
      <c r="K174" s="22"/>
      <c r="L174" s="2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940" t="s">
        <v>2277</v>
      </c>
      <c r="B1" s="3941"/>
      <c r="C1" s="3941"/>
      <c r="D1" s="3941"/>
      <c r="E1" s="3941"/>
      <c r="F1" s="3941"/>
      <c r="G1" s="394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4"/>
      <c r="I2" s="794"/>
      <c r="J2" s="794"/>
      <c r="K2" s="794"/>
      <c r="L2" s="794"/>
      <c r="M2" s="794"/>
      <c r="N2" s="794"/>
      <c r="O2" s="794"/>
      <c r="P2" s="794"/>
      <c r="Q2" s="794"/>
      <c r="R2" s="794"/>
    </row>
    <row r="3" spans="1:29" ht="24">
      <c r="A3" s="2436" t="s">
        <v>2276</v>
      </c>
      <c r="B3" s="2458" t="s">
        <v>2252</v>
      </c>
      <c r="C3" s="2459"/>
      <c r="D3" s="2460"/>
      <c r="E3" s="2437" t="s">
        <v>2276</v>
      </c>
      <c r="F3" s="2461" t="s">
        <v>2253</v>
      </c>
      <c r="G3" s="2462"/>
      <c r="H3" s="794"/>
      <c r="I3" s="794"/>
      <c r="J3" s="794"/>
      <c r="K3" s="794"/>
      <c r="L3" s="794"/>
      <c r="M3" s="794"/>
      <c r="N3" s="794"/>
      <c r="O3" s="794"/>
      <c r="P3" s="794"/>
      <c r="Q3" s="794"/>
      <c r="R3" s="794"/>
    </row>
    <row r="4" spans="1:29">
      <c r="A4" s="2437"/>
      <c r="B4" s="321" t="s">
        <v>2254</v>
      </c>
      <c r="C4" s="2463"/>
      <c r="D4" s="2460"/>
      <c r="E4" s="2464"/>
      <c r="F4" s="1368" t="s">
        <v>2255</v>
      </c>
      <c r="G4" s="2465"/>
      <c r="H4" s="794"/>
      <c r="I4" s="794"/>
      <c r="J4" s="794"/>
      <c r="K4" s="794"/>
      <c r="L4" s="794"/>
      <c r="M4" s="794"/>
      <c r="N4" s="794"/>
      <c r="O4" s="794"/>
      <c r="P4" s="794"/>
      <c r="Q4" s="794"/>
      <c r="R4" s="794"/>
    </row>
    <row r="5" spans="1:29">
      <c r="A5" s="2437"/>
      <c r="B5" s="321" t="s">
        <v>2256</v>
      </c>
      <c r="C5" s="2463"/>
      <c r="D5" s="2460"/>
      <c r="E5" s="2464"/>
      <c r="F5" s="321" t="s">
        <v>2257</v>
      </c>
      <c r="G5" s="2465"/>
      <c r="H5" s="794"/>
      <c r="I5" s="794"/>
      <c r="J5" s="794"/>
      <c r="K5" s="794"/>
      <c r="L5" s="794"/>
      <c r="M5" s="794"/>
      <c r="N5" s="794"/>
      <c r="O5" s="794"/>
      <c r="P5" s="794"/>
      <c r="Q5" s="794"/>
      <c r="R5" s="794"/>
    </row>
    <row r="6" spans="1:29">
      <c r="A6" s="2437"/>
      <c r="B6" s="321" t="s">
        <v>2258</v>
      </c>
      <c r="C6" s="2465"/>
      <c r="D6" s="2460"/>
      <c r="E6" s="2464"/>
      <c r="F6" s="321" t="s">
        <v>2259</v>
      </c>
      <c r="G6" s="2465"/>
      <c r="H6" s="794"/>
      <c r="I6" s="794"/>
      <c r="J6" s="794"/>
      <c r="K6" s="794"/>
      <c r="L6" s="794"/>
      <c r="M6" s="794"/>
      <c r="N6" s="794"/>
      <c r="O6" s="794"/>
      <c r="P6" s="794"/>
      <c r="Q6" s="794"/>
      <c r="R6" s="794"/>
    </row>
    <row r="7" spans="1:29" ht="15" thickBot="1">
      <c r="A7" s="2437"/>
      <c r="B7" s="321" t="s">
        <v>2257</v>
      </c>
      <c r="C7" s="2465"/>
      <c r="D7" s="2466"/>
      <c r="E7" s="2467"/>
      <c r="F7" s="2468" t="s">
        <v>2260</v>
      </c>
      <c r="G7" s="2469"/>
      <c r="H7" s="794"/>
      <c r="I7" s="794"/>
      <c r="J7" s="794"/>
      <c r="K7" s="794"/>
      <c r="L7" s="794"/>
      <c r="M7" s="794"/>
      <c r="N7" s="794"/>
      <c r="O7" s="794"/>
      <c r="P7" s="794"/>
      <c r="Q7" s="794"/>
      <c r="R7" s="794"/>
    </row>
    <row r="8" spans="1:29">
      <c r="A8" s="2437"/>
      <c r="B8" s="321" t="s">
        <v>2259</v>
      </c>
      <c r="C8" s="2465"/>
      <c r="D8" s="2466"/>
      <c r="E8" s="2466"/>
      <c r="F8" s="2470"/>
      <c r="G8" s="2470"/>
      <c r="H8" s="794"/>
      <c r="I8" s="794"/>
      <c r="J8" s="794"/>
      <c r="K8" s="794"/>
      <c r="L8" s="794"/>
      <c r="M8" s="794"/>
      <c r="N8" s="794"/>
      <c r="O8" s="794"/>
      <c r="P8" s="794"/>
      <c r="Q8" s="794"/>
      <c r="R8" s="794"/>
    </row>
    <row r="9" spans="1:29">
      <c r="A9" s="2437"/>
      <c r="B9" s="321" t="s">
        <v>2261</v>
      </c>
      <c r="C9" s="2463"/>
      <c r="D9" s="2460"/>
      <c r="E9" s="2466"/>
      <c r="F9" s="2470"/>
      <c r="G9" s="2470"/>
      <c r="H9" s="794"/>
      <c r="I9" s="794"/>
      <c r="J9" s="794"/>
      <c r="K9" s="794"/>
      <c r="L9" s="794"/>
      <c r="M9" s="794"/>
      <c r="N9" s="794"/>
      <c r="O9" s="794"/>
      <c r="P9" s="794"/>
      <c r="Q9" s="794"/>
      <c r="R9" s="794"/>
    </row>
    <row r="10" spans="1:29" s="2476" customFormat="1" ht="15" thickBot="1">
      <c r="A10" s="2438"/>
      <c r="B10" s="2471" t="s">
        <v>2262</v>
      </c>
      <c r="C10" s="2472"/>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2263</v>
      </c>
      <c r="D14" s="2460"/>
      <c r="E14" s="2491"/>
      <c r="F14" s="2491"/>
      <c r="G14" s="2455" t="s">
        <v>2264</v>
      </c>
    </row>
    <row r="15" spans="1:29" ht="24">
      <c r="A15" s="2439" t="s">
        <v>2265</v>
      </c>
      <c r="B15" s="2492" t="s">
        <v>2252</v>
      </c>
      <c r="C15" s="2493">
        <f>C3</f>
        <v>0</v>
      </c>
      <c r="D15" s="2460"/>
      <c r="E15" s="2440" t="s">
        <v>2266</v>
      </c>
      <c r="F15" s="2492" t="s">
        <v>2267</v>
      </c>
      <c r="G15" s="2494">
        <f>G3</f>
        <v>0</v>
      </c>
    </row>
    <row r="16" spans="1:29">
      <c r="A16" s="2441"/>
      <c r="B16" s="2495" t="s">
        <v>2254</v>
      </c>
      <c r="C16" s="2496">
        <f>C4</f>
        <v>0</v>
      </c>
      <c r="D16" s="2460"/>
      <c r="E16" s="2442"/>
      <c r="F16" s="2497" t="s">
        <v>2255</v>
      </c>
      <c r="G16" s="2498">
        <f>G4</f>
        <v>0</v>
      </c>
    </row>
    <row r="17" spans="1:18">
      <c r="A17" s="2441"/>
      <c r="B17" s="2495" t="s">
        <v>2256</v>
      </c>
      <c r="C17" s="2496">
        <f>C5</f>
        <v>0</v>
      </c>
      <c r="D17" s="2466"/>
      <c r="E17" s="2442"/>
      <c r="F17" s="2497" t="s">
        <v>2268</v>
      </c>
      <c r="G17" s="2499"/>
    </row>
    <row r="18" spans="1:18">
      <c r="A18" s="2441"/>
      <c r="B18" s="2497" t="s">
        <v>2258</v>
      </c>
      <c r="C18" s="2498">
        <f>C6</f>
        <v>0</v>
      </c>
      <c r="D18" s="2466"/>
      <c r="E18" s="2442"/>
      <c r="F18" s="2497" t="s">
        <v>2260</v>
      </c>
      <c r="G18" s="2498">
        <f>G7</f>
        <v>0</v>
      </c>
    </row>
    <row r="19" spans="1:18">
      <c r="A19" s="2441"/>
      <c r="B19" s="2497" t="s">
        <v>2269</v>
      </c>
      <c r="C19" s="2499"/>
      <c r="D19" s="2460"/>
      <c r="E19" s="2442"/>
      <c r="F19" s="321" t="s">
        <v>2257</v>
      </c>
      <c r="G19" s="2498">
        <f>G5</f>
        <v>0</v>
      </c>
    </row>
    <row r="20" spans="1:18">
      <c r="A20" s="2441"/>
      <c r="B20" s="2497" t="s">
        <v>2270</v>
      </c>
      <c r="C20" s="2496">
        <f>C9</f>
        <v>0</v>
      </c>
      <c r="D20" s="2466"/>
      <c r="E20" s="2442"/>
      <c r="F20" s="321" t="s">
        <v>2259</v>
      </c>
      <c r="G20" s="2498">
        <f>G6</f>
        <v>0</v>
      </c>
    </row>
    <row r="21" spans="1:18">
      <c r="A21" s="2441"/>
      <c r="B21" s="321" t="s">
        <v>2257</v>
      </c>
      <c r="C21" s="2498">
        <f>C7</f>
        <v>0</v>
      </c>
      <c r="D21" s="2460"/>
      <c r="E21" s="2442"/>
      <c r="F21" s="2497" t="s">
        <v>2271</v>
      </c>
      <c r="G21" s="2500"/>
    </row>
    <row r="22" spans="1:18" ht="13.5" customHeight="1">
      <c r="A22" s="2441"/>
      <c r="B22" s="321" t="s">
        <v>2259</v>
      </c>
      <c r="C22" s="2498">
        <f>C8</f>
        <v>0</v>
      </c>
      <c r="D22" s="2460"/>
      <c r="E22" s="2442"/>
      <c r="F22" s="2497" t="s">
        <v>2262</v>
      </c>
      <c r="G22" s="2499"/>
    </row>
    <row r="23" spans="1:18" s="794" customFormat="1" ht="15" thickBot="1">
      <c r="A23" s="2441"/>
      <c r="B23" s="2497" t="s">
        <v>2271</v>
      </c>
      <c r="C23" s="2500"/>
      <c r="D23" s="1736"/>
      <c r="E23" s="2443"/>
      <c r="F23" s="2501" t="s">
        <v>2272</v>
      </c>
      <c r="G23" s="2502"/>
      <c r="H23" s="2486"/>
      <c r="I23" s="2487"/>
      <c r="J23" s="2486"/>
      <c r="K23" s="2486"/>
      <c r="L23" s="2487"/>
      <c r="M23" s="2486"/>
      <c r="N23" s="2486"/>
      <c r="O23" s="2487"/>
      <c r="P23" s="2486"/>
      <c r="Q23" s="2486"/>
      <c r="R23" s="2488"/>
    </row>
    <row r="24" spans="1:18" s="794" customFormat="1" ht="15" thickBot="1">
      <c r="A24" s="2444"/>
      <c r="B24" s="2501" t="s">
        <v>2273</v>
      </c>
      <c r="C24" s="2503">
        <f>C10</f>
        <v>0</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61136.619999999995</v>
      </c>
      <c r="C1" s="2681"/>
      <c r="D1" s="2681"/>
      <c r="E1" s="2681"/>
      <c r="F1" s="2681"/>
      <c r="G1" s="2682"/>
      <c r="H1" s="2683"/>
      <c r="I1" s="2683"/>
      <c r="J1" s="2683"/>
      <c r="K1" s="2683"/>
    </row>
    <row r="2" spans="1:11" ht="16.5">
      <c r="A2" s="2507" t="s">
        <v>653</v>
      </c>
      <c r="B2" s="2507">
        <f>SUM(C14:C23)</f>
        <v>6245.0829999999996</v>
      </c>
      <c r="C2" s="2681"/>
      <c r="D2" s="2681"/>
      <c r="E2" s="2681"/>
      <c r="F2" s="2681"/>
      <c r="G2" s="2682"/>
      <c r="H2" s="2683"/>
      <c r="I2" s="2683"/>
      <c r="J2" s="2683"/>
      <c r="K2" s="2683"/>
    </row>
    <row r="3" spans="1:11" ht="16.5">
      <c r="A3" s="2507" t="s">
        <v>662</v>
      </c>
      <c r="B3" s="2509">
        <f>项目基本情况!D3</f>
        <v>45226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228424</v>
      </c>
      <c r="C5" s="2507">
        <f ca="1">IF(B5=D14,结果表!H102,ROUND(B5*10000/$B$1,0))</f>
        <v>37363</v>
      </c>
      <c r="D5" s="2507">
        <f ca="1">ROUND(B5*10000/$B$2,0)</f>
        <v>365766</v>
      </c>
      <c r="E5" s="2681"/>
      <c r="F5" s="2682"/>
      <c r="G5" s="2682"/>
      <c r="H5" s="2683"/>
      <c r="I5" s="2683"/>
      <c r="J5" s="2683"/>
      <c r="K5" s="2683"/>
    </row>
    <row r="6" spans="1:11" ht="16.5">
      <c r="A6" s="2507" t="s">
        <v>656</v>
      </c>
      <c r="B6" s="2507">
        <f>SUM(G14:G23)</f>
        <v>0</v>
      </c>
      <c r="C6" s="2507">
        <f ca="1">IF(B6=G14,结果表!H108,ROUND(B6*10000/$B$1,0))</f>
        <v>37363</v>
      </c>
      <c r="D6" s="2507">
        <f>ROUND(B6*10000/$B$2,0)</f>
        <v>0</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3321</v>
      </c>
      <c r="D10" s="2507" t="s">
        <v>3322</v>
      </c>
      <c r="E10" s="3366"/>
      <c r="F10" s="3370" t="s">
        <v>3323</v>
      </c>
      <c r="G10" s="336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61136.619999999995</v>
      </c>
      <c r="C14" s="2513">
        <f>'数据-汇总表'!D3</f>
        <v>6245.0829999999996</v>
      </c>
      <c r="D14" s="2513">
        <f ca="1">结果表!H118</f>
        <v>228424</v>
      </c>
      <c r="E14" s="2513">
        <f ca="1">ROUND(D14*10000/B14,0)</f>
        <v>37363</v>
      </c>
      <c r="F14" s="2513">
        <f ca="1">ROUND(D14*10000/C14,0)</f>
        <v>365766</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D123" sqref="D123:I123"/>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1262</v>
      </c>
      <c r="B1" s="1742"/>
      <c r="C1" s="1743"/>
      <c r="D1" s="1742"/>
      <c r="E1" s="1742"/>
      <c r="F1" s="1744" t="s">
        <v>1263</v>
      </c>
      <c r="G1" s="1556" t="s">
        <v>3768</v>
      </c>
      <c r="H1" s="1745" t="str">
        <f>IF(G1="现房","——","估价对象范围")</f>
        <v>——</v>
      </c>
      <c r="I1" s="1746" t="s">
        <v>3769</v>
      </c>
    </row>
    <row r="2" spans="1:12" ht="21.75" customHeight="1" thickBot="1">
      <c r="A2" s="3976" t="str">
        <f>项目基本情况!S2</f>
        <v>北京市房地产</v>
      </c>
      <c r="B2" s="3977"/>
      <c r="C2" s="3977"/>
      <c r="D2" s="3977"/>
      <c r="E2" s="3977"/>
      <c r="F2" s="3977"/>
      <c r="G2" s="3977"/>
      <c r="H2" s="3977"/>
      <c r="I2" s="3978"/>
    </row>
    <row r="3" spans="1:12" ht="12.75">
      <c r="A3" s="3980" t="s">
        <v>1264</v>
      </c>
      <c r="B3" s="3981"/>
      <c r="C3" s="3981"/>
      <c r="D3" s="3981"/>
      <c r="E3" s="3981"/>
      <c r="F3" s="3981"/>
      <c r="G3" s="3981"/>
      <c r="H3" s="3981"/>
      <c r="I3" s="3981"/>
    </row>
    <row r="4" spans="1:12" ht="14.25">
      <c r="A4" s="1749" t="s">
        <v>1265</v>
      </c>
      <c r="B4" s="1750" t="s">
        <v>1266</v>
      </c>
      <c r="C4" s="1751" t="s">
        <v>3770</v>
      </c>
      <c r="D4" s="1751" t="s">
        <v>3771</v>
      </c>
      <c r="E4" s="3982" t="s">
        <v>1267</v>
      </c>
      <c r="F4" s="3983"/>
      <c r="G4" s="3983"/>
      <c r="H4" s="3983"/>
      <c r="I4" s="3984"/>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956" t="s">
        <v>1268</v>
      </c>
      <c r="B5" s="3943">
        <v>25</v>
      </c>
      <c r="C5" s="3959"/>
      <c r="D5" s="3979"/>
      <c r="E5" s="129" t="s">
        <v>1269</v>
      </c>
      <c r="F5" s="1752"/>
      <c r="G5" s="1752"/>
      <c r="H5" s="1752"/>
      <c r="I5" s="1368"/>
    </row>
    <row r="6" spans="1:12" ht="12.75">
      <c r="A6" s="3956"/>
      <c r="B6" s="3943"/>
      <c r="C6" s="3960"/>
      <c r="D6" s="3979"/>
      <c r="E6" s="129" t="s">
        <v>1270</v>
      </c>
      <c r="F6" s="1752"/>
      <c r="G6" s="1752"/>
      <c r="H6" s="1752"/>
      <c r="I6" s="1368"/>
    </row>
    <row r="7" spans="1:12" ht="12.75">
      <c r="A7" s="3956"/>
      <c r="B7" s="3943"/>
      <c r="C7" s="3961"/>
      <c r="D7" s="3979"/>
      <c r="E7" s="129" t="s">
        <v>1271</v>
      </c>
      <c r="F7" s="1752"/>
      <c r="G7" s="1752"/>
      <c r="H7" s="1752"/>
      <c r="I7" s="1368"/>
    </row>
    <row r="8" spans="1:12" ht="12.75">
      <c r="A8" s="3956" t="s">
        <v>1272</v>
      </c>
      <c r="B8" s="3943">
        <v>15</v>
      </c>
      <c r="C8" s="3959"/>
      <c r="D8" s="3979"/>
      <c r="E8" s="129" t="s">
        <v>1273</v>
      </c>
      <c r="F8" s="1752"/>
      <c r="G8" s="1752"/>
      <c r="H8" s="1752"/>
      <c r="I8" s="1368"/>
    </row>
    <row r="9" spans="1:12" ht="12.75">
      <c r="A9" s="3956"/>
      <c r="B9" s="3943"/>
      <c r="C9" s="3961"/>
      <c r="D9" s="3979"/>
      <c r="E9" s="129" t="s">
        <v>1274</v>
      </c>
      <c r="F9" s="1752"/>
      <c r="G9" s="1752"/>
      <c r="H9" s="1752"/>
      <c r="I9" s="1368"/>
    </row>
    <row r="10" spans="1:12" ht="12.75">
      <c r="A10" s="3956" t="s">
        <v>1275</v>
      </c>
      <c r="B10" s="3943">
        <v>15</v>
      </c>
      <c r="C10" s="3959"/>
      <c r="D10" s="3979"/>
      <c r="E10" s="129" t="s">
        <v>1276</v>
      </c>
      <c r="F10" s="1752"/>
      <c r="G10" s="1752"/>
      <c r="H10" s="1752"/>
      <c r="I10" s="1368"/>
    </row>
    <row r="11" spans="1:12" ht="12.75">
      <c r="A11" s="3956"/>
      <c r="B11" s="3943"/>
      <c r="C11" s="3961"/>
      <c r="D11" s="3979"/>
      <c r="E11" s="129" t="s">
        <v>1277</v>
      </c>
      <c r="F11" s="1752"/>
      <c r="G11" s="1752"/>
      <c r="H11" s="1752"/>
      <c r="I11" s="1368"/>
    </row>
    <row r="12" spans="1:12" ht="12.75">
      <c r="A12" s="3956" t="s">
        <v>1278</v>
      </c>
      <c r="B12" s="3943">
        <v>15</v>
      </c>
      <c r="C12" s="3959"/>
      <c r="D12" s="3979"/>
      <c r="E12" s="129" t="s">
        <v>1279</v>
      </c>
      <c r="F12" s="1752"/>
      <c r="G12" s="1752"/>
      <c r="H12" s="1752"/>
      <c r="I12" s="1368"/>
    </row>
    <row r="13" spans="1:12" ht="12.75">
      <c r="A13" s="3956"/>
      <c r="B13" s="3943"/>
      <c r="C13" s="3961"/>
      <c r="D13" s="3979"/>
      <c r="E13" s="129" t="s">
        <v>1280</v>
      </c>
      <c r="F13" s="1752"/>
      <c r="G13" s="1752"/>
      <c r="H13" s="1752"/>
      <c r="I13" s="1368"/>
    </row>
    <row r="14" spans="1:12" ht="12.75">
      <c r="A14" s="3956" t="s">
        <v>1281</v>
      </c>
      <c r="B14" s="3943">
        <v>30</v>
      </c>
      <c r="C14" s="3959">
        <v>45</v>
      </c>
      <c r="D14" s="3979">
        <v>55</v>
      </c>
      <c r="E14" s="129" t="s">
        <v>1282</v>
      </c>
      <c r="F14" s="1752"/>
      <c r="G14" s="1752"/>
      <c r="H14" s="1752"/>
      <c r="I14" s="1368"/>
    </row>
    <row r="15" spans="1:12" ht="12.75">
      <c r="A15" s="3956"/>
      <c r="B15" s="3943"/>
      <c r="C15" s="3960"/>
      <c r="D15" s="3979"/>
      <c r="E15" s="129" t="s">
        <v>1283</v>
      </c>
      <c r="F15" s="1752"/>
      <c r="G15" s="1752"/>
      <c r="H15" s="1752"/>
      <c r="I15" s="1368"/>
    </row>
    <row r="16" spans="1:12" ht="12.75">
      <c r="A16" s="3956"/>
      <c r="B16" s="3943"/>
      <c r="C16" s="3961"/>
      <c r="D16" s="3979"/>
      <c r="E16" s="129" t="s">
        <v>1284</v>
      </c>
      <c r="F16" s="1752"/>
      <c r="G16" s="1752"/>
      <c r="H16" s="1752"/>
      <c r="I16" s="1368"/>
    </row>
    <row r="17" spans="1:36" ht="15">
      <c r="A17" s="1753" t="s">
        <v>1285</v>
      </c>
      <c r="B17" s="54"/>
      <c r="C17" s="130">
        <f>SUM(C5:C16)</f>
        <v>45</v>
      </c>
      <c r="D17" s="130">
        <f>SUM(D5:D16)</f>
        <v>55</v>
      </c>
      <c r="E17" s="127"/>
      <c r="F17" s="127"/>
      <c r="G17" s="127"/>
      <c r="H17" s="127"/>
      <c r="I17" s="127"/>
      <c r="K17" s="300"/>
      <c r="L17" s="300" t="s">
        <v>1286</v>
      </c>
      <c r="M17" s="300" t="s">
        <v>1287</v>
      </c>
    </row>
    <row r="18" spans="1:36" ht="31.9" customHeight="1" thickBot="1">
      <c r="A18" s="1754" t="s">
        <v>1288</v>
      </c>
      <c r="B18" s="1755"/>
      <c r="C18" s="131">
        <f>ROUND(C17/SUM(C17:D17),2)</f>
        <v>0.45</v>
      </c>
      <c r="D18" s="131">
        <f>1-C18</f>
        <v>0.55000000000000004</v>
      </c>
      <c r="E18" s="3966" t="s">
        <v>2131</v>
      </c>
      <c r="F18" s="3967"/>
      <c r="G18" s="3967"/>
      <c r="H18" s="3967"/>
      <c r="I18" s="3967"/>
      <c r="J18" s="723" t="s">
        <v>4131</v>
      </c>
      <c r="K18" s="300" t="s">
        <v>1289</v>
      </c>
      <c r="L18" s="300">
        <f>IF(C1="",'数据-汇总表'!E3,SUMIF(项目类型,C1,'数据-汇总表'!E17:E26)+SUMIF(项目类型,C1,'数据-汇总表'!I17:I26))</f>
        <v>61136.619999999995</v>
      </c>
      <c r="M18" s="300">
        <f>IF(C1="",'数据-汇总表'!E3,SUMIF(项目类型,C1,'数据-汇总表'!E17:E26))</f>
        <v>61136.619999999995</v>
      </c>
    </row>
    <row r="19" spans="1:36" ht="15">
      <c r="A19" s="1756" t="s">
        <v>1290</v>
      </c>
      <c r="B19" s="1757" t="s">
        <v>1291</v>
      </c>
      <c r="C19" s="132">
        <f ca="1">SUMIF(INDIRECT("'"&amp;C4&amp;"'"&amp;"!A:A"),结果表!B19,INDIRECT("'"&amp;C4&amp;"'"&amp;"!B:B"))</f>
        <v>317280</v>
      </c>
      <c r="D19" s="133">
        <f ca="1">SUMIF(INDIRECT("'"&amp;D4&amp;"'"&amp;"!A:A"),结果表!B19,INDIRECT("'"&amp;D4&amp;"'"&amp;"!B:B"))</f>
        <v>155724</v>
      </c>
      <c r="E19" s="1756" t="s">
        <v>1292</v>
      </c>
      <c r="F19" s="1757" t="s">
        <v>1291</v>
      </c>
      <c r="G19" s="134">
        <f ca="1">ROUND(C19*$C$18+D19*$D$18,0)</f>
        <v>228424</v>
      </c>
      <c r="H19" s="1758" t="s">
        <v>1293</v>
      </c>
      <c r="I19" s="127"/>
      <c r="J19" s="723">
        <v>211457</v>
      </c>
      <c r="K19" s="300" t="s">
        <v>1294</v>
      </c>
      <c r="L19" s="300">
        <f>IF(C1="",'数据-汇总表'!D3,SUMIF(项目类型,C1,'数据-汇总表'!D17:D26)+SUMIF(项目类型,C1,'数据-汇总表'!H17:H27))</f>
        <v>6245.0829999999996</v>
      </c>
      <c r="M19" s="300">
        <f>IF(C1="",'数据-汇总表'!D3,SUMIF(项目类型,C1,'数据-汇总表'!D17:D26))</f>
        <v>6245.0829999999996</v>
      </c>
    </row>
    <row r="20" spans="1:36" ht="15">
      <c r="A20" s="1759"/>
      <c r="B20" s="1021" t="s">
        <v>1295</v>
      </c>
      <c r="C20" s="135">
        <f ca="1">SUMIF(INDIRECT("'"&amp;C4&amp;"'"&amp;"!A:A"),结果表!B20,INDIRECT("'"&amp;C4&amp;"'"&amp;"!B:B"))</f>
        <v>51897</v>
      </c>
      <c r="D20" s="136">
        <f ca="1">SUMIF(INDIRECT("'"&amp;D4&amp;"'"&amp;"!A:A"),结果表!B20,INDIRECT("'"&amp;D4&amp;"'"&amp;"!B:B"))</f>
        <v>25471</v>
      </c>
      <c r="E20" s="1759"/>
      <c r="F20" s="1021" t="s">
        <v>1295</v>
      </c>
      <c r="G20" s="137">
        <f ca="1">ROUND(C20*$C$18+D20*$D$18,0)</f>
        <v>37363</v>
      </c>
      <c r="H20" s="803" t="s">
        <v>1296</v>
      </c>
      <c r="I20" s="127"/>
    </row>
    <row r="21" spans="1:36" ht="15" customHeight="1" thickBot="1">
      <c r="A21" s="823"/>
      <c r="B21" s="1760" t="s">
        <v>1297</v>
      </c>
      <c r="C21" s="717">
        <f ca="1">ROUND(C19*10000/L19,0)</f>
        <v>508048</v>
      </c>
      <c r="D21" s="718">
        <f ca="1">ROUND(D19*10000/L19,0)</f>
        <v>249355</v>
      </c>
      <c r="E21" s="823"/>
      <c r="F21" s="1760" t="s">
        <v>1297</v>
      </c>
      <c r="G21" s="138">
        <f ca="1">ROUND(G19*10000/L19,0)</f>
        <v>365766</v>
      </c>
      <c r="H21" s="1761" t="s">
        <v>1296</v>
      </c>
      <c r="I21" s="127"/>
      <c r="K21" s="3720" t="s">
        <v>3941</v>
      </c>
      <c r="L21" s="723">
        <f>'数据-汇总表'!F31</f>
        <v>49913.509999999995</v>
      </c>
      <c r="M21" s="723">
        <f ca="1">G19*10000/L21</f>
        <v>45763.962502336544</v>
      </c>
    </row>
    <row r="22" spans="1:36" ht="15" thickBot="1">
      <c r="A22" s="1683" t="s">
        <v>1298</v>
      </c>
      <c r="B22" s="1762"/>
      <c r="C22" s="1763"/>
      <c r="D22" s="719">
        <f ca="1">IF(C19&lt;D19,D19/C19-1,C19/D19-1)</f>
        <v>1.0374508746243354</v>
      </c>
      <c r="E22" s="127"/>
      <c r="F22" s="127"/>
      <c r="G22" s="127"/>
      <c r="H22" s="127"/>
      <c r="I22" s="127"/>
    </row>
    <row r="23" spans="1:36" ht="13.5" thickBot="1">
      <c r="A23" s="1742"/>
      <c r="B23" s="1742"/>
      <c r="C23" s="1742"/>
      <c r="D23" s="1742"/>
      <c r="E23" s="127"/>
      <c r="F23" s="127"/>
      <c r="G23" s="127"/>
      <c r="H23" s="127"/>
      <c r="I23" s="127"/>
    </row>
    <row r="24" spans="1:36" ht="14.25">
      <c r="A24" s="3950" t="s">
        <v>1299</v>
      </c>
      <c r="B24" s="1757" t="s">
        <v>1291</v>
      </c>
      <c r="C24" s="134">
        <f>IF(B30=0,0,D30)</f>
        <v>0</v>
      </c>
      <c r="D24" s="1764"/>
      <c r="E24" s="127"/>
      <c r="F24" s="127"/>
      <c r="G24" s="127"/>
      <c r="H24" s="127"/>
      <c r="I24" s="127"/>
    </row>
    <row r="25" spans="1:36" ht="14.25">
      <c r="A25" s="3951"/>
      <c r="B25" s="1021"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2132</v>
      </c>
      <c r="F30" s="127"/>
      <c r="G30" s="127"/>
      <c r="H30" s="127"/>
      <c r="I30" s="127"/>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228424</v>
      </c>
      <c r="D32" s="1770" t="s">
        <v>3922</v>
      </c>
      <c r="E32" s="127"/>
      <c r="F32" s="127"/>
      <c r="G32" s="127"/>
      <c r="H32" s="127"/>
      <c r="I32" s="127"/>
    </row>
    <row r="33" spans="1:15" ht="15">
      <c r="A33" s="781" t="s">
        <v>1306</v>
      </c>
      <c r="B33" s="1771"/>
      <c r="C33" s="1772" t="s">
        <v>3923</v>
      </c>
      <c r="D33" s="1773" t="s">
        <v>3770</v>
      </c>
      <c r="E33" s="1774" t="s">
        <v>1307</v>
      </c>
      <c r="F33" s="1775" t="str">
        <f>IF(D32="楼面单价","取值（单价）","取值（总价）")</f>
        <v>取值（总价）</v>
      </c>
      <c r="G33" s="127"/>
      <c r="H33" s="127"/>
      <c r="I33" s="127"/>
    </row>
    <row r="34" spans="1:15" ht="15">
      <c r="A34" s="1776"/>
      <c r="B34" s="1777" t="s">
        <v>1308</v>
      </c>
      <c r="C34" s="146">
        <f ca="1">IF(C33="自定义",F34,C32-C35)</f>
        <v>196445</v>
      </c>
      <c r="D34" s="856">
        <f ca="1">IF(C33="自定义",ROUND(C34/C32,3),IF(C33="收益比率",SUMIF(INDIRECT("'"&amp;D33&amp;"'"&amp;"!b:b"),"土地收益比率",INDIRECT("'"&amp;D33&amp;"'"&amp;"!c:c")),SUMIF(INDIRECT("'"&amp;D33&amp;"'"&amp;"!b:b"),"土地成本比率",INDIRECT("'"&amp;D33&amp;"'"&amp;"!c:c"))))</f>
        <v>0.86</v>
      </c>
      <c r="E34" s="1778" t="s">
        <v>1309</v>
      </c>
      <c r="F34" s="1325"/>
      <c r="G34" s="127"/>
      <c r="H34" s="127"/>
      <c r="I34" s="127"/>
    </row>
    <row r="35" spans="1:15" ht="15.75" thickBot="1">
      <c r="A35" s="1779"/>
      <c r="B35" s="1780" t="s">
        <v>1310</v>
      </c>
      <c r="C35" s="1165">
        <f ca="1">IF(C33="自定义",F35,ROUND(C32*D35,0))</f>
        <v>31979</v>
      </c>
      <c r="D35" s="1166">
        <f ca="1">IF(C33="自定义",ROUND(C35/C32,3),IF(C33="收益比率",SUMIF(INDIRECT("'"&amp;D33&amp;"'"&amp;"!b:b"),"建筑物收益比率",INDIRECT("'"&amp;D33&amp;"'"&amp;"!c:c")),SUMIF(INDIRECT("'"&amp;D33&amp;"'"&amp;"!b:b"),"建筑物成本比率",INDIRECT("'"&amp;D33&amp;"'"&amp;"!c:c"))))</f>
        <v>0.14000000000000001</v>
      </c>
      <c r="E35" s="1781" t="s">
        <v>1311</v>
      </c>
      <c r="F35" s="152"/>
      <c r="G35" s="127"/>
      <c r="H35" s="127"/>
      <c r="I35" s="127"/>
    </row>
    <row r="36" spans="1:15" ht="15.75" thickBot="1">
      <c r="A36" s="3970" t="s">
        <v>1312</v>
      </c>
      <c r="B36" s="1782" t="s">
        <v>1313</v>
      </c>
      <c r="C36" s="143"/>
      <c r="D36" s="1783"/>
      <c r="E36" s="1784"/>
      <c r="F36" s="1785"/>
      <c r="G36" s="127"/>
      <c r="H36" s="127"/>
      <c r="I36" s="127"/>
    </row>
    <row r="37" spans="1:15" ht="15.75" thickBot="1">
      <c r="A37" s="3971"/>
      <c r="B37" s="1669" t="s">
        <v>1314</v>
      </c>
      <c r="C37" s="145"/>
      <c r="D37" s="1134"/>
      <c r="E37" s="1134"/>
      <c r="F37" s="1785"/>
      <c r="G37" s="127"/>
      <c r="H37" s="127"/>
      <c r="I37" s="127"/>
    </row>
    <row r="38" spans="1:15" ht="15.75" thickBot="1">
      <c r="A38" s="3972"/>
      <c r="B38" s="1786" t="s">
        <v>1315</v>
      </c>
      <c r="C38" s="672"/>
      <c r="D38" s="1787" t="s">
        <v>1316</v>
      </c>
      <c r="E38" s="1134"/>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947" t="s">
        <v>1326</v>
      </c>
      <c r="B45" s="3948"/>
      <c r="C45" s="3949"/>
      <c r="D45" s="153">
        <f ca="1">ROUND(H101*F45,0)</f>
        <v>228424</v>
      </c>
      <c r="E45" s="154" t="s">
        <v>1327</v>
      </c>
      <c r="F45" s="155">
        <v>1</v>
      </c>
      <c r="G45" s="156" t="s">
        <v>1328</v>
      </c>
      <c r="H45" s="127"/>
      <c r="I45" s="127"/>
      <c r="J45" s="4025" t="s">
        <v>1329</v>
      </c>
      <c r="K45" s="4025"/>
      <c r="L45" s="4025"/>
      <c r="M45" s="4025"/>
      <c r="N45" s="4025"/>
      <c r="O45" s="4025"/>
    </row>
    <row r="46" spans="1:15" ht="14.25" customHeight="1">
      <c r="A46" s="3944" t="s">
        <v>1330</v>
      </c>
      <c r="B46" s="3945"/>
      <c r="C46" s="3945"/>
      <c r="D46" s="3945"/>
      <c r="E46" s="3945"/>
      <c r="F46" s="3945"/>
      <c r="G46" s="3946"/>
      <c r="H46" s="1801"/>
      <c r="I46" s="157"/>
      <c r="J46" s="2518">
        <v>1</v>
      </c>
      <c r="K46" s="4006" t="s">
        <v>1331</v>
      </c>
      <c r="L46" s="4006"/>
      <c r="M46" s="4026"/>
      <c r="N46" s="4026"/>
      <c r="O46" s="4026"/>
    </row>
    <row r="47" spans="1:15" ht="12" customHeight="1">
      <c r="A47" s="158" t="s">
        <v>1332</v>
      </c>
      <c r="B47" s="159"/>
      <c r="C47" s="160"/>
      <c r="D47" s="1082" t="s">
        <v>1333</v>
      </c>
      <c r="E47" s="300" t="s">
        <v>1334</v>
      </c>
      <c r="F47" s="161" t="s">
        <v>1335</v>
      </c>
      <c r="G47" s="2541" t="s">
        <v>1336</v>
      </c>
      <c r="H47" s="2542"/>
      <c r="I47" s="157"/>
      <c r="J47" s="2518">
        <v>2</v>
      </c>
      <c r="K47" s="4006" t="s">
        <v>1337</v>
      </c>
      <c r="L47" s="4006"/>
      <c r="M47" s="4027">
        <f>'数据-取费表'!B2</f>
        <v>45226</v>
      </c>
      <c r="N47" s="4027"/>
      <c r="O47" s="4027"/>
    </row>
    <row r="48" spans="1:15" ht="25.5">
      <c r="A48" s="3975" t="s">
        <v>1338</v>
      </c>
      <c r="B48" s="3958"/>
      <c r="C48" s="3958"/>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4006" t="s">
        <v>1340</v>
      </c>
      <c r="L48" s="4006"/>
      <c r="M48" s="4028">
        <f ca="1">H101</f>
        <v>228424</v>
      </c>
      <c r="N48" s="4028"/>
      <c r="O48" s="4028"/>
    </row>
    <row r="49" spans="1:35" ht="25.5" customHeight="1">
      <c r="A49" s="2328" t="s">
        <v>1341</v>
      </c>
      <c r="B49" s="3942" t="s">
        <v>1342</v>
      </c>
      <c r="C49" s="3942"/>
      <c r="D49" s="1585">
        <v>0</v>
      </c>
      <c r="E49" s="322" t="s">
        <v>1343</v>
      </c>
      <c r="F49" s="2419" t="s">
        <v>28</v>
      </c>
      <c r="G49" s="4012"/>
      <c r="H49" s="2305" t="s">
        <v>2134</v>
      </c>
      <c r="I49" s="2306"/>
      <c r="J49" s="2518">
        <v>4</v>
      </c>
      <c r="K49" s="4006" t="str">
        <f>IF(项目基本情况!E8="房地产抵押价值","房地产抵押价值","抵押担保权已注销时的房地产抵押价值")</f>
        <v>抵押担保权已注销时的房地产抵押价值</v>
      </c>
      <c r="L49" s="4006"/>
      <c r="M49" s="4028" t="str">
        <f>IF(项目基本情况!E8="房地产抵押价值",H107,H109)</f>
        <v>——</v>
      </c>
      <c r="N49" s="4028"/>
      <c r="O49" s="4028"/>
    </row>
    <row r="50" spans="1:35" ht="25.5" customHeight="1">
      <c r="A50" s="2546"/>
      <c r="B50" s="3942" t="s">
        <v>1344</v>
      </c>
      <c r="C50" s="3942"/>
      <c r="D50" s="2547"/>
      <c r="E50" s="330"/>
      <c r="F50" s="2419"/>
      <c r="G50" s="4013"/>
      <c r="H50" s="2307" t="s">
        <v>2135</v>
      </c>
      <c r="I50" s="2306"/>
      <c r="J50" s="4025" t="s">
        <v>1345</v>
      </c>
      <c r="K50" s="4025"/>
      <c r="L50" s="4025"/>
      <c r="M50" s="4025"/>
      <c r="N50" s="4025"/>
      <c r="O50" s="4025"/>
    </row>
    <row r="51" spans="1:35" ht="20.45" customHeight="1">
      <c r="A51" s="2548"/>
      <c r="B51" s="3942" t="s">
        <v>1346</v>
      </c>
      <c r="C51" s="3942"/>
      <c r="D51" s="1082"/>
      <c r="E51" s="325"/>
      <c r="F51" s="2419"/>
      <c r="G51" s="4014"/>
      <c r="H51" s="2307" t="s">
        <v>2136</v>
      </c>
      <c r="I51" s="2306"/>
      <c r="J51" s="2519" t="s">
        <v>1347</v>
      </c>
      <c r="K51" s="4006" t="s">
        <v>1348</v>
      </c>
      <c r="L51" s="4006"/>
      <c r="M51" s="2519" t="s">
        <v>1349</v>
      </c>
      <c r="N51" s="2519" t="s">
        <v>1350</v>
      </c>
      <c r="O51" s="2519" t="s">
        <v>1351</v>
      </c>
    </row>
    <row r="52" spans="1:35" ht="24" customHeight="1">
      <c r="A52" s="2330" t="s">
        <v>1352</v>
      </c>
      <c r="B52" s="3942" t="s">
        <v>1353</v>
      </c>
      <c r="C52" s="3942"/>
      <c r="D52" s="1082">
        <f ca="1">ROUND(D45*'数据-取费表'!B41/(1+'数据-取费表'!C42),0)</f>
        <v>12183</v>
      </c>
      <c r="E52" s="2329" t="s">
        <v>1354</v>
      </c>
      <c r="F52" s="2549">
        <f>'数据-取费表'!B41</f>
        <v>5.6000000000000001E-2</v>
      </c>
      <c r="G52" s="2550"/>
      <c r="H52" s="2539"/>
      <c r="I52" s="1802"/>
      <c r="J52" s="2518">
        <v>1</v>
      </c>
      <c r="K52" s="4007" t="s">
        <v>1355</v>
      </c>
      <c r="L52" s="4007"/>
      <c r="M52" s="2520" t="b">
        <f>D48</f>
        <v>0</v>
      </c>
      <c r="N52" s="2518" t="str">
        <f>E48</f>
        <v>销售额×税（费）率</v>
      </c>
      <c r="O52" s="2521">
        <f>F48</f>
        <v>5.6000000000000001E-2</v>
      </c>
    </row>
    <row r="53" spans="1:35" ht="12" customHeight="1">
      <c r="A53" s="2330" t="s">
        <v>1356</v>
      </c>
      <c r="B53" s="3968" t="s">
        <v>2282</v>
      </c>
      <c r="C53" s="3969"/>
      <c r="D53" s="1082">
        <f ca="1">ROUND(D45*'数据-取费表'!B41/(1+'数据-取费表'!C42),0)</f>
        <v>12183</v>
      </c>
      <c r="E53" s="2329" t="s">
        <v>1354</v>
      </c>
      <c r="F53" s="2549">
        <f>'数据-取费表'!B41</f>
        <v>5.6000000000000001E-2</v>
      </c>
      <c r="G53" s="2550"/>
      <c r="H53" s="2539"/>
      <c r="I53" s="1802"/>
      <c r="J53" s="2518">
        <v>2</v>
      </c>
      <c r="K53" s="4007" t="s">
        <v>1357</v>
      </c>
      <c r="L53" s="4007"/>
      <c r="M53" s="2520">
        <f t="shared" ref="M53:O54" ca="1" si="0">D55</f>
        <v>114</v>
      </c>
      <c r="N53" s="2518" t="str">
        <f t="shared" si="0"/>
        <v>销售额×税（费）率</v>
      </c>
      <c r="O53" s="2521" t="str">
        <f t="shared" si="0"/>
        <v>免征</v>
      </c>
    </row>
    <row r="54" spans="1:35" ht="12" customHeight="1">
      <c r="A54" s="2330" t="s">
        <v>1358</v>
      </c>
      <c r="B54" s="3968" t="s">
        <v>2283</v>
      </c>
      <c r="C54" s="3969"/>
      <c r="D54" s="1082">
        <f ca="1">C68</f>
        <v>12183</v>
      </c>
      <c r="E54" s="325" t="s">
        <v>1359</v>
      </c>
      <c r="F54" s="2549">
        <f>'数据-取费表'!B41</f>
        <v>5.6000000000000001E-2</v>
      </c>
      <c r="G54" s="2550"/>
      <c r="H54" s="2551"/>
      <c r="I54" s="1802"/>
      <c r="J54" s="2518">
        <v>3</v>
      </c>
      <c r="K54" s="4007" t="s">
        <v>1360</v>
      </c>
      <c r="L54" s="4007"/>
      <c r="M54" s="2520">
        <f t="shared" ca="1" si="0"/>
        <v>129288</v>
      </c>
      <c r="N54" s="2518" t="str">
        <f t="shared" si="0"/>
        <v>增值额×税（费）率</v>
      </c>
      <c r="O54" s="2522" t="str">
        <f t="shared" si="0"/>
        <v>免征</v>
      </c>
    </row>
    <row r="55" spans="1:35" ht="24" customHeight="1">
      <c r="A55" s="3957" t="s">
        <v>1361</v>
      </c>
      <c r="B55" s="3958"/>
      <c r="C55" s="3958"/>
      <c r="D55" s="2319">
        <f ca="1">IF(H55="个人住宅",0,ROUND(D45*I55,0))</f>
        <v>114</v>
      </c>
      <c r="E55" s="2329" t="s">
        <v>1362</v>
      </c>
      <c r="F55" s="2549" t="str">
        <f>IF(H55="正常",I55,"免征")</f>
        <v>免征</v>
      </c>
      <c r="G55" s="2550"/>
      <c r="H55" s="2545"/>
      <c r="I55" s="163">
        <f>'数据-取费表'!B49</f>
        <v>5.0000000000000001E-4</v>
      </c>
      <c r="J55" s="2518">
        <f>IF(H59="非个人房产","",4)</f>
        <v>4</v>
      </c>
      <c r="K55" s="4007" t="str">
        <f>IF(H59="非个人房产","——","个人所得税")</f>
        <v>个人所得税</v>
      </c>
      <c r="L55" s="4007"/>
      <c r="M55" s="2523">
        <f ca="1">D59</f>
        <v>2175</v>
      </c>
      <c r="N55" s="2035" t="str">
        <f>E59</f>
        <v>差额计税</v>
      </c>
      <c r="O55" s="2524">
        <f>F59</f>
        <v>0.01</v>
      </c>
    </row>
    <row r="56" spans="1:35" ht="24.75">
      <c r="A56" s="3957" t="s">
        <v>1363</v>
      </c>
      <c r="B56" s="3958"/>
      <c r="C56" s="3958"/>
      <c r="D56" s="2319">
        <f ca="1">IF(H56="个人住宅",D57,D58)</f>
        <v>129288</v>
      </c>
      <c r="E56" s="2329" t="s">
        <v>1364</v>
      </c>
      <c r="F56" s="2549" t="str">
        <f>IF(H56="正常",F58,"免征")</f>
        <v>免征</v>
      </c>
      <c r="G56" s="2552" t="s">
        <v>1365</v>
      </c>
      <c r="H56" s="2553"/>
      <c r="I56" s="1803"/>
      <c r="J56" s="2518" t="str">
        <f>IF(项目基本情况!K6="上海银行",IF(J55="",4,J55+1),"")</f>
        <v/>
      </c>
      <c r="K56" s="4030" t="str">
        <f>IF(项目基本情况!K6="上海银行","其他处置费用","")</f>
        <v/>
      </c>
      <c r="L56" s="4031"/>
      <c r="M56" s="2520" t="str">
        <f>IF(项目基本情况!K6="上海银行",M69,"")</f>
        <v/>
      </c>
      <c r="N56" s="4030" t="str">
        <f>IF(项目基本情况!K6="上海银行","包含处置中涉及的律师、诉讼、拍卖、评估等费用","")</f>
        <v/>
      </c>
      <c r="O56" s="4033"/>
    </row>
    <row r="57" spans="1:35" ht="12.75">
      <c r="A57" s="2330" t="s">
        <v>1341</v>
      </c>
      <c r="B57" s="3968" t="s">
        <v>1366</v>
      </c>
      <c r="C57" s="3969"/>
      <c r="D57" s="1585">
        <v>0</v>
      </c>
      <c r="E57" s="322" t="s">
        <v>1343</v>
      </c>
      <c r="F57" s="300"/>
      <c r="G57" s="2550"/>
      <c r="H57" s="2554"/>
      <c r="I57" s="1803"/>
      <c r="J57" s="4007">
        <f>IF(AND(J55="",J56=""),4,IF(项目基本情况!K6="上海银行",结果表!J56+1,结果表!J55+1))</f>
        <v>5</v>
      </c>
      <c r="K57" s="4007" t="s">
        <v>1367</v>
      </c>
      <c r="L57" s="2525" t="s">
        <v>1368</v>
      </c>
      <c r="M57" s="2526"/>
      <c r="N57" s="2527">
        <f ca="1">SUMIF(M52:M56,"&lt;9e307")</f>
        <v>131577</v>
      </c>
      <c r="O57" s="2528"/>
      <c r="P57" s="2685" t="e">
        <f ca="1">N57/M49</f>
        <v>#VALUE!</v>
      </c>
    </row>
    <row r="58" spans="1:35" ht="24.75">
      <c r="A58" s="2330" t="s">
        <v>1352</v>
      </c>
      <c r="B58" s="3968" t="s">
        <v>1369</v>
      </c>
      <c r="C58" s="3942"/>
      <c r="D58" s="2319">
        <f ca="1">IF(H58="转让取得",C81,C97)</f>
        <v>129288</v>
      </c>
      <c r="E58" s="2329" t="s">
        <v>1364</v>
      </c>
      <c r="F58" s="300" t="s">
        <v>28</v>
      </c>
      <c r="G58" s="2550"/>
      <c r="H58" s="2553"/>
      <c r="I58" s="1803"/>
      <c r="J58" s="4007"/>
      <c r="K58" s="4007"/>
      <c r="L58" s="2525" t="s">
        <v>1370</v>
      </c>
      <c r="M58" s="2529"/>
      <c r="N58" s="2530" t="str">
        <f ca="1">NUMBERSTRING(INT(N57*10000),2)&amp;"元整"</f>
        <v>壹拾叁亿壹仟伍佰柒拾柒万元整</v>
      </c>
      <c r="O58" s="2531"/>
    </row>
    <row r="59" spans="1:35" ht="24.75" thickBot="1">
      <c r="A59" s="4010" t="s">
        <v>1371</v>
      </c>
      <c r="B59" s="4011"/>
      <c r="C59" s="4011"/>
      <c r="D59" s="2555">
        <f ca="1">IF(H59="非个人房产","——",IF(H59="个人住宅（满五唯一有凭证）",0,IF(H59="个人其他（无凭证）",ROUND(D45*F59,0),ROUND(C67*F59,0))))</f>
        <v>2175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4008">
        <f>J57+1</f>
        <v>6</v>
      </c>
      <c r="K59" s="4007" t="s">
        <v>1372</v>
      </c>
      <c r="L59" s="2518" t="s">
        <v>1368</v>
      </c>
      <c r="M59" s="2532"/>
      <c r="N59" s="2533" t="e">
        <f ca="1">M49-N57</f>
        <v>#VALUE!</v>
      </c>
      <c r="O59" s="2534"/>
    </row>
    <row r="60" spans="1:35" ht="12" customHeight="1">
      <c r="A60" s="1804"/>
      <c r="B60" s="1742"/>
      <c r="C60" s="1742"/>
      <c r="D60" s="1742"/>
      <c r="E60" s="1573"/>
      <c r="F60" s="1803"/>
      <c r="G60" s="1803"/>
      <c r="H60" s="1805"/>
      <c r="I60" s="127"/>
      <c r="J60" s="4009"/>
      <c r="K60" s="4007"/>
      <c r="L60" s="2525" t="s">
        <v>1370</v>
      </c>
      <c r="M60" s="2529"/>
      <c r="N60" s="2530" t="e">
        <f ca="1">NUMBERSTRING(INT(N59*10000),2)&amp;"元整"</f>
        <v>#VALUE!</v>
      </c>
      <c r="O60" s="2531"/>
    </row>
    <row r="61" spans="1:35" ht="13.5" thickBot="1">
      <c r="A61" s="3955" t="s">
        <v>1373</v>
      </c>
      <c r="B61" s="3955"/>
      <c r="C61" s="3955"/>
      <c r="D61" s="3955"/>
      <c r="E61" s="3955"/>
      <c r="F61" s="1803"/>
      <c r="G61" s="1803"/>
      <c r="H61" s="1805"/>
      <c r="I61" s="127"/>
      <c r="J61" s="2518">
        <f>J59+1</f>
        <v>7</v>
      </c>
      <c r="K61" s="4007" t="s">
        <v>1374</v>
      </c>
      <c r="L61" s="4007"/>
      <c r="M61" s="2535"/>
      <c r="N61" s="2536" t="e">
        <f ca="1">ROUND(N59*10000/'数据-汇总表'!E3,0)</f>
        <v>#VALUE!</v>
      </c>
      <c r="O61" s="2537"/>
    </row>
    <row r="62" spans="1:35" ht="12.75">
      <c r="A62" s="3973" t="s">
        <v>1375</v>
      </c>
      <c r="B62" s="3974"/>
      <c r="C62" s="2016"/>
      <c r="D62" s="2016" t="s">
        <v>1376</v>
      </c>
      <c r="E62" s="164" t="s">
        <v>1377</v>
      </c>
      <c r="F62" s="1803"/>
      <c r="G62" s="1803"/>
      <c r="H62" s="1805"/>
      <c r="I62" s="127"/>
    </row>
    <row r="63" spans="1:35" ht="12.75">
      <c r="A63" s="171" t="s">
        <v>330</v>
      </c>
      <c r="B63" s="165" t="s">
        <v>1378</v>
      </c>
      <c r="C63" s="2559">
        <f ca="1">ROUND((C64+C65)/(1+'数据-取费表'!C42),0)</f>
        <v>217547</v>
      </c>
      <c r="D63" s="165"/>
      <c r="E63" s="166"/>
      <c r="F63" s="1803"/>
      <c r="G63" s="1803"/>
      <c r="H63" s="1805"/>
      <c r="I63" s="127"/>
      <c r="J63" s="4032" t="s">
        <v>1379</v>
      </c>
      <c r="K63" s="1327" t="s">
        <v>1380</v>
      </c>
      <c r="L63" s="1327" t="e">
        <f>IF(M49&gt;10000,M49*0.5%,IF(AND(M49&gt;1000,M49&lt;=10000),M49*1%,IF(AND(M49&gt;100,M49&lt;=1000),M49*3%,IF(AND(M49&gt;10,M49&lt;=100),M49*5%,M49*8%))))</f>
        <v>#VALUE!</v>
      </c>
      <c r="M63" s="300" t="e">
        <f>ROUND(L63,1)</f>
        <v>#VALUE!</v>
      </c>
      <c r="N63" s="2538"/>
      <c r="Z63" s="1747"/>
      <c r="AI63" s="1748"/>
    </row>
    <row r="64" spans="1:35" ht="14.25" customHeight="1">
      <c r="A64" s="167" t="s">
        <v>325</v>
      </c>
      <c r="B64" s="168" t="s">
        <v>1381</v>
      </c>
      <c r="C64" s="2560">
        <f ca="1">D45</f>
        <v>228424</v>
      </c>
      <c r="D64" s="168" t="s">
        <v>26</v>
      </c>
      <c r="E64" s="170"/>
      <c r="F64" s="1803"/>
      <c r="G64" s="1803"/>
      <c r="H64" s="1805"/>
      <c r="I64" s="127"/>
      <c r="J64" s="4032"/>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539" t="s">
        <v>1383</v>
      </c>
      <c r="Z64" s="1747"/>
      <c r="AI64" s="1748"/>
    </row>
    <row r="65" spans="1:35" ht="14.25" customHeight="1">
      <c r="A65" s="167" t="s">
        <v>326</v>
      </c>
      <c r="B65" s="168" t="s">
        <v>1384</v>
      </c>
      <c r="C65" s="2561"/>
      <c r="D65" s="168"/>
      <c r="E65" s="170"/>
      <c r="F65" s="1803"/>
      <c r="G65" s="1803"/>
      <c r="H65" s="1805"/>
      <c r="I65" s="127"/>
      <c r="J65" s="4032"/>
      <c r="K65" s="1327" t="s">
        <v>1385</v>
      </c>
      <c r="L65" s="1327" t="e">
        <f>IF(M49&gt;1000,M49*0.1%,IF(AND(M49&gt;500,M49&lt;=1000),M49*0.5%,IF(AND(M49&gt;50,M49&lt;=500),M49*1%,IF(AND(M49&gt;1,M49&lt;=50),M49*1.5%))))</f>
        <v>#VALUE!</v>
      </c>
      <c r="M65" s="300" t="e">
        <f t="shared" si="1"/>
        <v>#VALUE!</v>
      </c>
      <c r="N65" s="2539" t="s">
        <v>1383</v>
      </c>
      <c r="Z65" s="1747"/>
      <c r="AI65" s="1748"/>
    </row>
    <row r="66" spans="1:35" ht="14.25" customHeight="1">
      <c r="A66" s="171" t="s">
        <v>327</v>
      </c>
      <c r="B66" s="172" t="s">
        <v>1386</v>
      </c>
      <c r="C66" s="2562"/>
      <c r="D66" s="172" t="s">
        <v>26</v>
      </c>
      <c r="E66" s="1333" t="s">
        <v>671</v>
      </c>
      <c r="F66" s="1803"/>
      <c r="G66" s="1803"/>
      <c r="H66" s="1805"/>
      <c r="I66" s="127"/>
      <c r="J66" s="4032"/>
      <c r="K66" s="1327" t="s">
        <v>1387</v>
      </c>
      <c r="L66" s="1327" t="e">
        <f>M49*0.5%</f>
        <v>#VALUE!</v>
      </c>
      <c r="M66" s="300" t="e">
        <f>IF(L66&gt;0.5,0.5,ROUND(L66,0))</f>
        <v>#VALUE!</v>
      </c>
      <c r="N66" s="2539" t="s">
        <v>1388</v>
      </c>
      <c r="Z66" s="1747"/>
      <c r="AI66" s="1748"/>
    </row>
    <row r="67" spans="1:35" ht="14.25" customHeight="1">
      <c r="A67" s="171" t="s">
        <v>328</v>
      </c>
      <c r="B67" s="172" t="s">
        <v>1389</v>
      </c>
      <c r="C67" s="2563">
        <f ca="1">C63-C66</f>
        <v>217547</v>
      </c>
      <c r="D67" s="168" t="s">
        <v>26</v>
      </c>
      <c r="E67" s="170"/>
      <c r="F67" s="1803"/>
      <c r="G67" s="1803"/>
      <c r="H67" s="1805"/>
      <c r="I67" s="127"/>
      <c r="J67" s="4032"/>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538"/>
      <c r="Z67" s="1747"/>
      <c r="AI67" s="1748"/>
    </row>
    <row r="68" spans="1:35" ht="14.25" customHeight="1" thickBot="1">
      <c r="A68" s="174" t="s">
        <v>329</v>
      </c>
      <c r="B68" s="175" t="s">
        <v>1391</v>
      </c>
      <c r="C68" s="2564">
        <f ca="1">IF(C67&lt;=0,0,ROUND(C67*D68,0))</f>
        <v>12183</v>
      </c>
      <c r="D68" s="2565">
        <f>'数据-取费表'!B41</f>
        <v>5.6000000000000001E-2</v>
      </c>
      <c r="E68" s="176"/>
      <c r="F68" s="1803"/>
      <c r="G68" s="1803"/>
      <c r="H68" s="1805"/>
      <c r="I68" s="127"/>
      <c r="J68" s="4032"/>
      <c r="K68" s="1327" t="s">
        <v>1392</v>
      </c>
      <c r="L68" s="1327" t="e">
        <f>IF(M49&gt;10000,M49*0.5%,IF(AND(M49&gt;5000,M49&lt;=10000),M49*1%,IF(AND(M49&gt;1000,M49&lt;=5000),M49*2%,IF(AND(M49&gt;200,M49&lt;=1000),M49*3%,M49*5%))))</f>
        <v>#VALUE!</v>
      </c>
      <c r="M68" s="300" t="e">
        <f>ROUND(L68,1)</f>
        <v>#VALUE!</v>
      </c>
      <c r="N68" s="2538"/>
      <c r="Z68" s="1747"/>
      <c r="AI68" s="1748"/>
    </row>
    <row r="69" spans="1:35" s="1767" customFormat="1" ht="16.5" customHeight="1">
      <c r="A69" s="1806"/>
      <c r="B69" s="1807"/>
      <c r="C69" s="1808"/>
      <c r="D69" s="1809"/>
      <c r="E69" s="1810"/>
      <c r="F69" s="1573"/>
      <c r="G69" s="1573"/>
      <c r="H69" s="1572"/>
      <c r="I69" s="1742"/>
      <c r="J69" s="4032"/>
      <c r="K69" s="1327" t="s">
        <v>1393</v>
      </c>
      <c r="L69" s="1327"/>
      <c r="M69" s="300" t="e">
        <f>ROUND(SUM(M63:M68),0)</f>
        <v>#VALUE!</v>
      </c>
      <c r="N69" s="2540" t="e">
        <f>M69/M49</f>
        <v>#VALUE!</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994" t="s">
        <v>1394</v>
      </c>
      <c r="B70" s="3995"/>
      <c r="C70" s="3995"/>
      <c r="D70" s="3995"/>
      <c r="E70" s="3995"/>
      <c r="F70" s="3995"/>
      <c r="G70" s="3995"/>
      <c r="H70" s="3995"/>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973" t="s">
        <v>1375</v>
      </c>
      <c r="B71" s="3974"/>
      <c r="C71" s="2016"/>
      <c r="D71" s="2016"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217547</v>
      </c>
      <c r="D72" s="168" t="s">
        <v>26</v>
      </c>
      <c r="E72" s="2326"/>
      <c r="F72" s="2325"/>
      <c r="G72" s="2325"/>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1305</v>
      </c>
      <c r="D73" s="168" t="s">
        <v>26</v>
      </c>
      <c r="E73" s="2326"/>
      <c r="F73" s="2325"/>
      <c r="G73" s="2325"/>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0</v>
      </c>
      <c r="D74" s="168" t="s">
        <v>26</v>
      </c>
      <c r="E74" s="2326"/>
      <c r="F74" s="2325"/>
      <c r="G74" s="2325"/>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c r="D75" s="168" t="s">
        <v>26</v>
      </c>
      <c r="E75" s="182" t="s">
        <v>1399</v>
      </c>
      <c r="F75" s="2567"/>
      <c r="G75" s="182"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0</v>
      </c>
      <c r="D76" s="2569">
        <v>0.05</v>
      </c>
      <c r="E76" s="3968" t="s">
        <v>1402</v>
      </c>
      <c r="F76" s="3942"/>
      <c r="G76" s="3942"/>
      <c r="H76" s="3993"/>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0</v>
      </c>
      <c r="D77" s="2570">
        <f>'数据-取费表'!B48+'数据-取费表'!B49</f>
        <v>3.0499999999999999E-2</v>
      </c>
      <c r="E77" s="2319" t="s">
        <v>1404</v>
      </c>
      <c r="F77" s="184"/>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1305</v>
      </c>
      <c r="D78" s="2572">
        <f>'数据-取费表'!B43</f>
        <v>6.000000000000001E-3</v>
      </c>
      <c r="E78" s="3952" t="s">
        <v>1406</v>
      </c>
      <c r="F78" s="3953"/>
      <c r="G78" s="3953"/>
      <c r="H78" s="3962"/>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334</v>
      </c>
      <c r="B79" s="172" t="s">
        <v>1407</v>
      </c>
      <c r="C79" s="2563">
        <f ca="1">C72-C73</f>
        <v>216242</v>
      </c>
      <c r="D79" s="168" t="s">
        <v>26</v>
      </c>
      <c r="E79" s="2326"/>
      <c r="F79" s="2325"/>
      <c r="G79" s="2325"/>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165.70268199233718</v>
      </c>
      <c r="D80" s="168"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129288</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994" t="s">
        <v>1410</v>
      </c>
      <c r="B83" s="3995"/>
      <c r="C83" s="3995"/>
      <c r="D83" s="3995"/>
      <c r="E83" s="3995"/>
      <c r="F83" s="3995"/>
      <c r="G83" s="3995"/>
      <c r="H83" s="3995"/>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973" t="s">
        <v>1375</v>
      </c>
      <c r="B84" s="3974"/>
      <c r="C84" s="2016"/>
      <c r="D84" s="2016"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217547</v>
      </c>
      <c r="D85" s="168" t="s">
        <v>26</v>
      </c>
      <c r="E85" s="2326"/>
      <c r="F85" s="2325"/>
      <c r="G85" s="2325"/>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1305</v>
      </c>
      <c r="D86" s="2576"/>
      <c r="E86" s="2326"/>
      <c r="F86" s="2325"/>
      <c r="G86" s="2325"/>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2322"/>
      <c r="G88" s="192" t="s">
        <v>1414</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2322"/>
      <c r="G90" s="4034" t="s">
        <v>2129</v>
      </c>
      <c r="H90" s="4035"/>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952" t="s">
        <v>1419</v>
      </c>
      <c r="F91" s="3953"/>
      <c r="G91" s="3953"/>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952" t="s">
        <v>1422</v>
      </c>
      <c r="F92" s="3953"/>
      <c r="G92" s="3953"/>
      <c r="H92" s="3962"/>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1305</v>
      </c>
      <c r="D93" s="2572">
        <f>'数据-取费表'!B43</f>
        <v>6.000000000000001E-3</v>
      </c>
      <c r="E93" s="3952" t="s">
        <v>1406</v>
      </c>
      <c r="F93" s="3953"/>
      <c r="G93" s="3953"/>
      <c r="H93" s="3962"/>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3963" t="s">
        <v>1426</v>
      </c>
      <c r="F94" s="3964"/>
      <c r="G94" s="3964"/>
      <c r="H94" s="3965"/>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334</v>
      </c>
      <c r="B95" s="172" t="s">
        <v>1407</v>
      </c>
      <c r="C95" s="2563">
        <f ca="1">ROUND(C85-C86,0)</f>
        <v>216242</v>
      </c>
      <c r="D95" s="168" t="s">
        <v>26</v>
      </c>
      <c r="E95" s="2326"/>
      <c r="F95" s="2325"/>
      <c r="G95" s="2325"/>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165.70268199233718</v>
      </c>
      <c r="D96" s="168"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129288</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936" t="s">
        <v>1428</v>
      </c>
      <c r="B100" s="3937"/>
      <c r="C100" s="3937"/>
      <c r="D100" s="3954"/>
      <c r="E100" s="3937" t="s">
        <v>1429</v>
      </c>
      <c r="F100" s="3937"/>
      <c r="G100" s="3937"/>
      <c r="H100" s="3954"/>
      <c r="I100" s="127"/>
    </row>
    <row r="101" spans="1:35" ht="18.75" customHeight="1">
      <c r="A101" s="4015" t="s">
        <v>1430</v>
      </c>
      <c r="B101" s="4016"/>
      <c r="C101" s="2580" t="str">
        <f>C4</f>
        <v>成本法</v>
      </c>
      <c r="D101" s="2581" t="str">
        <f>D4</f>
        <v>收益法（汇总）</v>
      </c>
      <c r="E101" s="4029" t="s">
        <v>1431</v>
      </c>
      <c r="F101" s="3986"/>
      <c r="G101" s="1822" t="s">
        <v>1432</v>
      </c>
      <c r="H101" s="2590">
        <f ca="1">H118</f>
        <v>228424</v>
      </c>
      <c r="I101" s="127"/>
    </row>
    <row r="102" spans="1:35" ht="18.75" customHeight="1">
      <c r="A102" s="3988" t="s">
        <v>1433</v>
      </c>
      <c r="B102" s="2579" t="s">
        <v>1432</v>
      </c>
      <c r="C102" s="2580">
        <f ca="1">IF(D32="楼面单价",ROUND(C19,0),C19)</f>
        <v>317280</v>
      </c>
      <c r="D102" s="2581">
        <f ca="1">IF(D32="楼面单价",ROUND(D19,0),D19)</f>
        <v>155724</v>
      </c>
      <c r="E102" s="4029"/>
      <c r="F102" s="3986"/>
      <c r="G102" s="1822" t="s">
        <v>1434</v>
      </c>
      <c r="H102" s="2550">
        <f ca="1">I118</f>
        <v>37363</v>
      </c>
      <c r="I102" s="127"/>
    </row>
    <row r="103" spans="1:35" ht="42.75" customHeight="1">
      <c r="A103" s="3988"/>
      <c r="B103" s="2579" t="s">
        <v>1434</v>
      </c>
      <c r="C103" s="2582">
        <f ca="1">C20</f>
        <v>51897</v>
      </c>
      <c r="D103" s="2583">
        <f ca="1">D20</f>
        <v>25471</v>
      </c>
      <c r="E103" s="4023" t="s">
        <v>1435</v>
      </c>
      <c r="F103" s="4024"/>
      <c r="G103" s="1823" t="s">
        <v>1436</v>
      </c>
      <c r="H103" s="2590">
        <f>IF(D36="正常操作",H104+H105+H106,H105+H106)</f>
        <v>0</v>
      </c>
      <c r="I103" s="127"/>
    </row>
    <row r="104" spans="1:35" ht="18.75" customHeight="1">
      <c r="A104" s="3988" t="s">
        <v>1437</v>
      </c>
      <c r="B104" s="2584" t="s">
        <v>1432</v>
      </c>
      <c r="C104" s="2585">
        <f ca="1">H118</f>
        <v>228424</v>
      </c>
      <c r="D104" s="2586"/>
      <c r="E104" s="1669" t="s">
        <v>1438</v>
      </c>
      <c r="F104" s="1661"/>
      <c r="G104" s="1823" t="s">
        <v>1436</v>
      </c>
      <c r="H104" s="2591">
        <f>IF(D36="同一抵押权人同一抵押物续贷",C36&amp;"（续贷，未扣减，详见特别提示）",C36)</f>
        <v>0</v>
      </c>
      <c r="I104" s="127"/>
    </row>
    <row r="105" spans="1:35" ht="18.75" customHeight="1" thickBot="1">
      <c r="A105" s="3989"/>
      <c r="B105" s="2587" t="s">
        <v>1434</v>
      </c>
      <c r="C105" s="2588">
        <f ca="1">I118</f>
        <v>37363</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985" t="str">
        <f>IF(项目基本情况!E8="已注销","——","3.房地产抵押价值")</f>
        <v>3.房地产抵押价值</v>
      </c>
      <c r="F107" s="3986"/>
      <c r="G107" s="1822" t="s">
        <v>1432</v>
      </c>
      <c r="H107" s="2590">
        <f ca="1">IF(E107="——","——",H101-H103)</f>
        <v>228424</v>
      </c>
      <c r="I107" s="127"/>
    </row>
    <row r="108" spans="1:35" ht="18.75" customHeight="1">
      <c r="A108" s="127"/>
      <c r="B108" s="127"/>
      <c r="C108" s="127"/>
      <c r="D108" s="127"/>
      <c r="E108" s="3985"/>
      <c r="F108" s="3986"/>
      <c r="G108" s="1822" t="s">
        <v>1434</v>
      </c>
      <c r="H108" s="2550">
        <f ca="1">IF(H107=H101,H102,ROUND(H107*10000/'数据-汇总表'!E3,0))</f>
        <v>37363</v>
      </c>
      <c r="I108" s="127"/>
    </row>
    <row r="109" spans="1:35" ht="18.75" customHeight="1">
      <c r="A109" s="127"/>
      <c r="B109" s="127"/>
      <c r="C109" s="127"/>
      <c r="D109" s="127"/>
      <c r="E109" s="3985" t="str">
        <f>IF(项目基本情况!E8="已注销及未注销","4.抵押担保权已注销时的房地产抵押价值",IF(项目基本情况!E8="已注销","3.抵押担保权已注销时的房地产抵押价值","——"))</f>
        <v>——</v>
      </c>
      <c r="F109" s="3986"/>
      <c r="G109" s="1822" t="s">
        <v>1432</v>
      </c>
      <c r="H109" s="2593" t="str">
        <f>IF(E109="——","——",H101-H105-H106)</f>
        <v>——</v>
      </c>
      <c r="I109" s="127"/>
    </row>
    <row r="110" spans="1:35" ht="18.75" customHeight="1">
      <c r="A110" s="127"/>
      <c r="B110" s="127"/>
      <c r="C110" s="127"/>
      <c r="D110" s="127"/>
      <c r="E110" s="3985"/>
      <c r="F110" s="3986"/>
      <c r="G110" s="1822" t="s">
        <v>1434</v>
      </c>
      <c r="H110" s="2550" t="str">
        <f>IF(H109="——","——",ROUND(H109*10000/'数据-汇总表'!E3,0))</f>
        <v>——</v>
      </c>
      <c r="I110" s="127"/>
    </row>
    <row r="111" spans="1:35" ht="18.75" customHeight="1">
      <c r="A111" s="127"/>
      <c r="B111" s="127"/>
      <c r="C111" s="127"/>
      <c r="D111" s="127"/>
      <c r="E111" s="4017" t="str">
        <f>IF(项目基本情况!E9="抵押净值",IF(OR(项目基本情况!E8="已注销",项目基本情况!E8="房地产抵押价值"),"4.抵押净值","5.抵押净值"),"——")</f>
        <v>——</v>
      </c>
      <c r="F111" s="3987"/>
      <c r="G111" s="1822" t="s">
        <v>1432</v>
      </c>
      <c r="H111" s="2590" t="str">
        <f>IF(E111="——","——",N59)</f>
        <v>——</v>
      </c>
      <c r="I111" s="127"/>
    </row>
    <row r="112" spans="1:35" ht="18.75" customHeight="1" thickBot="1">
      <c r="A112" s="127"/>
      <c r="B112" s="127"/>
      <c r="C112" s="127"/>
      <c r="D112" s="127"/>
      <c r="E112" s="4018"/>
      <c r="F112" s="4019"/>
      <c r="G112" s="1825" t="s">
        <v>1434</v>
      </c>
      <c r="H112" s="2594" t="str">
        <f>IF(E111="——","——",N61)</f>
        <v>——</v>
      </c>
      <c r="I112" s="127"/>
    </row>
    <row r="113" spans="1:27" ht="18.75" customHeight="1">
      <c r="A113" s="127"/>
      <c r="B113" s="127"/>
      <c r="C113" s="127"/>
      <c r="D113" s="127"/>
      <c r="E113" s="3990" t="s">
        <v>1440</v>
      </c>
      <c r="F113" s="3990"/>
      <c r="G113" s="3990"/>
      <c r="H113" s="3990"/>
      <c r="I113" s="127"/>
    </row>
    <row r="114" spans="1:27" ht="3.75" customHeight="1">
      <c r="A114" s="1742"/>
      <c r="B114" s="1742"/>
      <c r="C114" s="1742"/>
      <c r="D114" s="1742"/>
      <c r="E114" s="1804"/>
      <c r="F114" s="1804"/>
      <c r="G114" s="1804"/>
      <c r="H114" s="1804"/>
      <c r="I114" s="1742"/>
    </row>
    <row r="115" spans="1:27" ht="18.75" customHeight="1">
      <c r="A115" s="4000" t="s">
        <v>1442</v>
      </c>
      <c r="B115" s="4001"/>
      <c r="C115" s="4001"/>
      <c r="D115" s="4001"/>
      <c r="E115" s="4001"/>
      <c r="F115" s="4001"/>
      <c r="G115" s="4001"/>
      <c r="H115" s="4001"/>
      <c r="I115" s="4002"/>
    </row>
    <row r="116" spans="1:27" ht="27" customHeight="1">
      <c r="A116" s="3956" t="s">
        <v>1443</v>
      </c>
      <c r="B116" s="3991" t="s">
        <v>1444</v>
      </c>
      <c r="C116" s="3991" t="s">
        <v>1445</v>
      </c>
      <c r="D116" s="4004" t="s">
        <v>1446</v>
      </c>
      <c r="E116" s="4005"/>
      <c r="F116" s="3999" t="s">
        <v>1447</v>
      </c>
      <c r="G116" s="3999"/>
      <c r="H116" s="3956" t="s">
        <v>1448</v>
      </c>
      <c r="I116" s="3956"/>
    </row>
    <row r="117" spans="1:27" ht="18.75" customHeight="1">
      <c r="A117" s="3956"/>
      <c r="B117" s="3992"/>
      <c r="C117" s="3992"/>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61136.619999999995</v>
      </c>
      <c r="C118" s="2324">
        <f>M19</f>
        <v>6245.0829999999996</v>
      </c>
      <c r="D118" s="2324">
        <f ca="1">ROUND(IF(D32="总价",C34,E118*B118/10000),0)</f>
        <v>196445</v>
      </c>
      <c r="E118" s="2324">
        <f ca="1">ROUND(IF(C33="自定义",IF(D32="楼面单价",C34,D118*10000/B118),I118-G118),0)</f>
        <v>32132</v>
      </c>
      <c r="F118" s="2324">
        <f ca="1">ROUND(IF(D32="总价",C35,G118*B118/10000),0)</f>
        <v>31979</v>
      </c>
      <c r="G118" s="2324">
        <f ca="1">ROUND(IF(D32="楼面单价",C35,F118*10000/B118),0)</f>
        <v>5231</v>
      </c>
      <c r="H118" s="2324">
        <f ca="1">ROUND(IF(D32="总价",C32,I118*B118/10000),0)</f>
        <v>228424</v>
      </c>
      <c r="I118" s="2324">
        <f ca="1">ROUND(IF(D32="楼面单价",C32,H118*10000/B118),0)</f>
        <v>37363</v>
      </c>
    </row>
    <row r="119" spans="1:27" ht="18.75" customHeight="1">
      <c r="A119" s="3956" t="s">
        <v>1452</v>
      </c>
      <c r="B119" s="3956"/>
      <c r="C119" s="3956"/>
      <c r="D119" s="3996" t="str">
        <f ca="1">NUMBERSTRING(INT(D118*10000),2)&amp;"元整"</f>
        <v>壹拾玖亿陆仟肆佰肆拾伍万元整</v>
      </c>
      <c r="E119" s="3998"/>
      <c r="F119" s="3996" t="str">
        <f ca="1">NUMBERSTRING(INT(F118*10000),2)&amp;"元整"</f>
        <v>叁亿壹仟玖佰柒拾玖万元整</v>
      </c>
      <c r="G119" s="3998"/>
      <c r="H119" s="3996" t="str">
        <f ca="1">NUMBERSTRING(INT(H118*10000),2)&amp;"元整"</f>
        <v>贰拾贰亿捌仟肆佰贰拾肆万元整</v>
      </c>
      <c r="I119" s="3998"/>
    </row>
    <row r="120" spans="1:27" ht="18.75" customHeight="1">
      <c r="A120" s="4020" t="str">
        <f>IF(项目基本情况!B9="房地产市场价值","",MID(E103,3,LEN(E103)-2))</f>
        <v/>
      </c>
      <c r="B120" s="4021"/>
      <c r="C120" s="4022"/>
      <c r="D120" s="4020">
        <f>H103</f>
        <v>0</v>
      </c>
      <c r="E120" s="4021"/>
      <c r="F120" s="4021"/>
      <c r="G120" s="4021"/>
      <c r="H120" s="4021"/>
      <c r="I120" s="4022"/>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996" t="s">
        <v>1452</v>
      </c>
      <c r="B121" s="3997"/>
      <c r="C121" s="3998"/>
      <c r="D121" s="3996" t="str">
        <f>IF(D120=0,"零元整",NUMBERSTRING(INT(D120*10000),2)&amp;"元整")</f>
        <v>零元整</v>
      </c>
      <c r="E121" s="3997"/>
      <c r="F121" s="3997"/>
      <c r="G121" s="3997"/>
      <c r="H121" s="3997"/>
      <c r="I121" s="3998"/>
      <c r="AA121" s="723"/>
    </row>
    <row r="122" spans="1:27" ht="18.75" customHeight="1">
      <c r="A122" s="3987" t="str">
        <f>IF(项目基本情况!B9="房地产市场价值","",MID(E107,3,LEN(E107)-2))</f>
        <v/>
      </c>
      <c r="B122" s="3987"/>
      <c r="C122" s="3987"/>
      <c r="D122" s="4020">
        <f ca="1">H107</f>
        <v>228424</v>
      </c>
      <c r="E122" s="4021"/>
      <c r="F122" s="4021"/>
      <c r="G122" s="4021"/>
      <c r="H122" s="4021"/>
      <c r="I122" s="4022"/>
      <c r="AA122" s="723"/>
    </row>
    <row r="123" spans="1:27" ht="18.75" customHeight="1">
      <c r="A123" s="3956" t="s">
        <v>1452</v>
      </c>
      <c r="B123" s="3956"/>
      <c r="C123" s="3956"/>
      <c r="D123" s="3996" t="str">
        <f ca="1">NUMBERSTRING(INT(D122*10000),2)&amp;"元整"</f>
        <v>贰拾贰亿捌仟肆佰贰拾肆万元整</v>
      </c>
      <c r="E123" s="3997"/>
      <c r="F123" s="3997"/>
      <c r="G123" s="3997"/>
      <c r="H123" s="3997"/>
      <c r="I123" s="3998"/>
      <c r="AA123" s="723"/>
    </row>
    <row r="124" spans="1:27" ht="18.75" customHeight="1">
      <c r="A124" s="3987" t="str">
        <f>IF(项目基本情况!B9="房地产市场价值","",MID(E109,3,LEN(E109)-2))</f>
        <v/>
      </c>
      <c r="B124" s="3987"/>
      <c r="C124" s="3987"/>
      <c r="D124" s="4020" t="str">
        <f>H109</f>
        <v>——</v>
      </c>
      <c r="E124" s="4021"/>
      <c r="F124" s="4021"/>
      <c r="G124" s="4021"/>
      <c r="H124" s="4021"/>
      <c r="I124" s="4022"/>
      <c r="AA124" s="723"/>
    </row>
    <row r="125" spans="1:27" ht="18.75" customHeight="1">
      <c r="A125" s="3956" t="s">
        <v>1452</v>
      </c>
      <c r="B125" s="3956"/>
      <c r="C125" s="3956"/>
      <c r="D125" s="3996" t="e">
        <f>NUMBERSTRING(INT(D124*10000),2)&amp;"元整"</f>
        <v>#VALUE!</v>
      </c>
      <c r="E125" s="3997"/>
      <c r="F125" s="3997"/>
      <c r="G125" s="3997"/>
      <c r="H125" s="3997"/>
      <c r="I125" s="3998"/>
      <c r="AA125" s="723"/>
    </row>
    <row r="126" spans="1:27" ht="18.75" customHeight="1">
      <c r="A126" s="3987" t="str">
        <f>IF(项目基本情况!B9="房地产市场价值","",MID(E111,3,LEN(E111)-2))</f>
        <v/>
      </c>
      <c r="B126" s="3987"/>
      <c r="C126" s="3987"/>
      <c r="D126" s="4020" t="str">
        <f>H111</f>
        <v>——</v>
      </c>
      <c r="E126" s="4021"/>
      <c r="F126" s="4021"/>
      <c r="G126" s="4021"/>
      <c r="H126" s="4021"/>
      <c r="I126" s="4022"/>
      <c r="AA126" s="723"/>
    </row>
    <row r="127" spans="1:27" ht="18.75" customHeight="1">
      <c r="A127" s="3956" t="s">
        <v>1452</v>
      </c>
      <c r="B127" s="3956"/>
      <c r="C127" s="3956"/>
      <c r="D127" s="3996" t="e">
        <f>NUMBERSTRING(INT(D126*10000),2)&amp;"元整"</f>
        <v>#VALUE!</v>
      </c>
      <c r="E127" s="3997"/>
      <c r="F127" s="3997"/>
      <c r="G127" s="3997"/>
      <c r="H127" s="3997"/>
      <c r="I127" s="3998"/>
      <c r="AA127" s="723"/>
    </row>
    <row r="128" spans="1:27" ht="21.75" customHeight="1">
      <c r="A128" s="4003" t="s">
        <v>1453</v>
      </c>
      <c r="B128" s="4003"/>
      <c r="C128" s="4003"/>
      <c r="D128" s="4003"/>
      <c r="E128" s="4003"/>
      <c r="F128" s="4003"/>
      <c r="G128" s="4003"/>
      <c r="H128" s="4003"/>
      <c r="I128" s="4003"/>
      <c r="AA128" s="723"/>
    </row>
    <row r="129" spans="1:35" ht="21.75" customHeight="1">
      <c r="A129" s="1826" t="s">
        <v>1454</v>
      </c>
      <c r="B129" s="1827"/>
      <c r="C129" s="1828" t="s">
        <v>1455</v>
      </c>
      <c r="D129" s="1829"/>
      <c r="E129" s="1829"/>
      <c r="F129" s="1829"/>
      <c r="G129" s="1829"/>
      <c r="H129" s="1830"/>
      <c r="I129" s="1831"/>
      <c r="AA129" s="723"/>
    </row>
    <row r="130" spans="1:35" ht="21.75" customHeight="1">
      <c r="A130" s="1832">
        <v>1</v>
      </c>
      <c r="B130" s="1833"/>
      <c r="C130" s="1833"/>
      <c r="D130" s="1834"/>
      <c r="E130" s="1834"/>
      <c r="F130" s="1834"/>
      <c r="G130" s="1834"/>
      <c r="H130" s="1835"/>
      <c r="I130" s="1836"/>
      <c r="AA130" s="723"/>
    </row>
    <row r="131" spans="1:35" ht="21.75" customHeight="1">
      <c r="A131" s="1832">
        <v>2</v>
      </c>
      <c r="B131" s="1833"/>
      <c r="C131" s="1833"/>
      <c r="D131" s="1834"/>
      <c r="E131" s="1834"/>
      <c r="F131" s="1834"/>
      <c r="G131" s="1834"/>
      <c r="H131" s="1835"/>
      <c r="I131" s="1836"/>
      <c r="AA131" s="723"/>
    </row>
    <row r="132" spans="1:35" ht="21.75" customHeight="1">
      <c r="A132" s="1832">
        <v>3</v>
      </c>
      <c r="B132" s="1833"/>
      <c r="C132" s="1833"/>
      <c r="D132" s="1834"/>
      <c r="E132" s="1834"/>
      <c r="F132" s="1834"/>
      <c r="G132" s="1834"/>
      <c r="H132" s="1835"/>
      <c r="I132" s="1836"/>
      <c r="AA132" s="723"/>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3"/>
    </row>
    <row r="135" spans="1:35" ht="21.75" customHeight="1">
      <c r="A135" s="723"/>
      <c r="B135" s="723"/>
      <c r="C135" s="723"/>
      <c r="D135" s="723"/>
      <c r="E135" s="723"/>
      <c r="F135" s="1842" t="s">
        <v>1456</v>
      </c>
      <c r="G135" s="1843"/>
      <c r="H135" s="1843"/>
      <c r="I135" s="1844" t="s">
        <v>1457</v>
      </c>
    </row>
    <row r="136" spans="1:35" ht="21.75" customHeight="1">
      <c r="A136" s="723"/>
      <c r="B136" s="1845"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3"/>
      <c r="C138" s="1843"/>
      <c r="D138" s="1843"/>
      <c r="E138" s="1843"/>
      <c r="F138" s="1843"/>
      <c r="G138" s="1843"/>
      <c r="H138" s="1843"/>
      <c r="I138" s="1844" t="s">
        <v>1459</v>
      </c>
    </row>
    <row r="139" spans="1:35" ht="21.75" customHeight="1">
      <c r="A139" s="723"/>
      <c r="B139" s="1845" t="s">
        <v>1460</v>
      </c>
      <c r="C139" s="723"/>
      <c r="D139" s="723"/>
      <c r="E139" s="723"/>
      <c r="F139" s="723"/>
      <c r="G139" s="723"/>
      <c r="H139" s="723"/>
      <c r="I139" s="723"/>
    </row>
    <row r="140" spans="1:35" ht="21.75" customHeight="1">
      <c r="A140" s="723"/>
      <c r="B140" s="1845"/>
      <c r="C140" s="723"/>
      <c r="D140" s="723"/>
      <c r="E140" s="723"/>
      <c r="F140" s="723"/>
      <c r="G140" s="723"/>
      <c r="H140" s="723"/>
      <c r="I140" s="723"/>
    </row>
    <row r="141" spans="1:35" ht="21.75" customHeight="1">
      <c r="A141" s="723"/>
      <c r="B141" s="1843"/>
      <c r="C141" s="1843"/>
      <c r="D141" s="1843"/>
      <c r="E141" s="1843"/>
      <c r="F141" s="1843"/>
      <c r="G141" s="1843"/>
      <c r="H141" s="1843"/>
      <c r="I141" s="1844" t="s">
        <v>1459</v>
      </c>
    </row>
    <row r="142" spans="1:35" ht="21.75" customHeight="1">
      <c r="A142" s="723"/>
      <c r="B142" s="1845"/>
      <c r="C142" s="1846"/>
      <c r="D142" s="1847"/>
      <c r="E142" s="1847"/>
      <c r="F142" s="1736"/>
      <c r="G142" s="723"/>
      <c r="H142" s="723"/>
      <c r="I142" s="723"/>
    </row>
    <row r="143" spans="1:35" s="128" customFormat="1" ht="21.75" customHeight="1">
      <c r="A143" s="723"/>
      <c r="B143" s="1845"/>
      <c r="C143" s="1846"/>
      <c r="D143" s="1847"/>
      <c r="E143" s="1847"/>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812" t="str">
        <f>项目基本情况!B1</f>
        <v>北京市房地产市场价值预评估</v>
      </c>
      <c r="C37" s="3812"/>
      <c r="D37" s="3812"/>
      <c r="E37" s="3812"/>
      <c r="F37" s="3812"/>
      <c r="G37" s="3812"/>
      <c r="H37" s="3812"/>
      <c r="I37" s="3812"/>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崔锴（注册号：1120100036)、郑燚（注册号：1120070131)</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43" sqref="K43"/>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5"/>
      <c r="C1" s="196"/>
      <c r="D1" s="196"/>
      <c r="E1" s="196"/>
      <c r="F1" s="196"/>
      <c r="G1" s="1121">
        <f>MATCH(B1,'数据-取费表'!A6:A16,0)+5</f>
        <v>10</v>
      </c>
    </row>
    <row r="2" spans="1:9" s="198" customFormat="1" ht="18" customHeight="1">
      <c r="A2" s="199" t="s">
        <v>1462</v>
      </c>
      <c r="B2" s="200">
        <f ca="1">IF(D2="——",C52,C52-E2)</f>
        <v>317280</v>
      </c>
      <c r="C2" s="197" t="s">
        <v>1463</v>
      </c>
      <c r="D2" s="1848" t="s">
        <v>43</v>
      </c>
      <c r="E2" s="1164" t="e">
        <f ca="1">SUMIF(INDIRECT("'"&amp;G2&amp;"'"&amp;"!A:A"),"承租人权益价值",INDIRECT("'"&amp;G2&amp;"'"&amp;"!c:c"))</f>
        <v>#REF!</v>
      </c>
      <c r="F2" s="1849" t="s">
        <v>1463</v>
      </c>
      <c r="G2" s="1850"/>
    </row>
    <row r="3" spans="1:9" s="198" customFormat="1" ht="18" customHeight="1" thickBot="1">
      <c r="A3" s="201" t="s">
        <v>1464</v>
      </c>
      <c r="B3" s="202">
        <f ca="1">ROUND(B2*10000/(IF(B1="",'数据-汇总表'!E3,INDIRECT("'数据-取费表'!k"&amp;$G$1))),0)</f>
        <v>51897</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190191</v>
      </c>
      <c r="D5" s="209" t="s">
        <v>1469</v>
      </c>
      <c r="E5" s="210" t="s">
        <v>1470</v>
      </c>
      <c r="F5" s="210" t="s">
        <v>1471</v>
      </c>
      <c r="G5" s="211"/>
    </row>
    <row r="6" spans="1:9" s="212" customFormat="1" ht="13.5" customHeight="1">
      <c r="A6" s="773" t="s">
        <v>1472</v>
      </c>
      <c r="B6" s="213" t="s">
        <v>1473</v>
      </c>
      <c r="C6" s="214">
        <f>'基准地价修正-70年公寓'!B2+'基准地价修正-商业'!B2</f>
        <v>183940</v>
      </c>
      <c r="D6" s="215"/>
      <c r="E6" s="216"/>
      <c r="F6" s="216"/>
      <c r="G6" s="217"/>
    </row>
    <row r="7" spans="1:9" s="212" customFormat="1" ht="13.5" customHeight="1">
      <c r="A7" s="773" t="s">
        <v>1474</v>
      </c>
      <c r="B7" s="213" t="s">
        <v>1475</v>
      </c>
      <c r="C7" s="218">
        <f>ROUND(C6*F7,0)</f>
        <v>5610</v>
      </c>
      <c r="D7" s="218"/>
      <c r="E7" s="216"/>
      <c r="F7" s="219">
        <f>IF(项目基本情况!B8="出让",0,'数据-取费表'!B48+'数据-取费表'!B49)</f>
        <v>3.0499999999999999E-2</v>
      </c>
      <c r="G7" s="217"/>
    </row>
    <row r="8" spans="1:9" s="221" customFormat="1">
      <c r="A8" s="773" t="s">
        <v>1476</v>
      </c>
      <c r="B8" s="213" t="s">
        <v>1477</v>
      </c>
      <c r="C8" s="218">
        <f>IF(G8="已包含在土地购买价格中","0",IF(B1="",'数据-取费表'!B29,IF(G9="全部缴纳",C9+C10,H9)))</f>
        <v>641</v>
      </c>
      <c r="D8" s="220"/>
      <c r="E8" s="218"/>
      <c r="F8" s="219"/>
      <c r="G8" s="1851" t="s">
        <v>3761</v>
      </c>
    </row>
    <row r="9" spans="1:9" s="212" customFormat="1" ht="13.5" customHeight="1">
      <c r="A9" s="774" t="s">
        <v>355</v>
      </c>
      <c r="B9" s="222" t="s">
        <v>1478</v>
      </c>
      <c r="C9" s="223">
        <f>ROUND(D9*E9/10000,0)</f>
        <v>465</v>
      </c>
      <c r="D9" s="3718">
        <f>'基准地价修正-70年公寓'!D33</f>
        <v>29071.829999999998</v>
      </c>
      <c r="E9" s="223">
        <f>'数据-取费表'!B27</f>
        <v>160</v>
      </c>
      <c r="F9" s="219"/>
      <c r="G9" s="1852" t="s">
        <v>3762</v>
      </c>
      <c r="H9" s="1132"/>
      <c r="I9" s="1853" t="s">
        <v>1479</v>
      </c>
    </row>
    <row r="10" spans="1:9" s="212" customFormat="1" ht="13.5" customHeight="1">
      <c r="A10" s="774" t="s">
        <v>356</v>
      </c>
      <c r="B10" s="222" t="s">
        <v>1480</v>
      </c>
      <c r="C10" s="223">
        <f>ROUND(D10*E10/10000,0)</f>
        <v>641</v>
      </c>
      <c r="D10" s="3718">
        <f>'数据-基础表'!G5-成本法!D9</f>
        <v>32064.789999999997</v>
      </c>
      <c r="E10" s="223">
        <f>'数据-取费表'!B28</f>
        <v>200</v>
      </c>
      <c r="F10" s="219"/>
      <c r="G10" s="224"/>
    </row>
    <row r="11" spans="1:9" s="212" customFormat="1" ht="13.5" hidden="1" customHeight="1">
      <c r="A11" s="225" t="s">
        <v>4</v>
      </c>
      <c r="B11" s="213" t="s">
        <v>1481</v>
      </c>
      <c r="C11" s="209"/>
      <c r="D11" s="842"/>
      <c r="E11" s="216"/>
      <c r="F11" s="216"/>
      <c r="G11" s="217"/>
    </row>
    <row r="12" spans="1:9" s="212" customFormat="1" ht="13.5" hidden="1" customHeight="1">
      <c r="A12" s="225" t="s">
        <v>5</v>
      </c>
      <c r="B12" s="213" t="s">
        <v>1482</v>
      </c>
      <c r="C12" s="209">
        <v>0</v>
      </c>
      <c r="D12" s="842"/>
      <c r="E12" s="226"/>
      <c r="F12" s="219">
        <v>3.0499999999999999E-2</v>
      </c>
      <c r="G12" s="217"/>
    </row>
    <row r="13" spans="1:9" s="212" customFormat="1" ht="13.5" hidden="1" customHeight="1">
      <c r="A13" s="225" t="s">
        <v>6</v>
      </c>
      <c r="B13" s="213" t="s">
        <v>1483</v>
      </c>
      <c r="C13" s="209"/>
      <c r="D13" s="842"/>
      <c r="E13" s="216"/>
      <c r="F13" s="216"/>
      <c r="G13" s="217"/>
    </row>
    <row r="14" spans="1:9" s="212" customFormat="1" ht="13.5" hidden="1" customHeight="1">
      <c r="A14" s="225" t="s">
        <v>7</v>
      </c>
      <c r="B14" s="213" t="s">
        <v>1484</v>
      </c>
      <c r="C14" s="209"/>
      <c r="D14" s="842"/>
      <c r="E14" s="216"/>
      <c r="F14" s="216"/>
      <c r="G14" s="217" t="s">
        <v>1485</v>
      </c>
    </row>
    <row r="15" spans="1:9" s="212" customFormat="1" ht="13.5" hidden="1" customHeight="1">
      <c r="A15" s="225" t="s">
        <v>8</v>
      </c>
      <c r="B15" s="213" t="s">
        <v>1486</v>
      </c>
      <c r="C15" s="218"/>
      <c r="D15" s="842"/>
      <c r="E15" s="216"/>
      <c r="F15" s="216"/>
      <c r="G15" s="217" t="s">
        <v>1487</v>
      </c>
    </row>
    <row r="16" spans="1:9" s="212" customFormat="1" ht="13.5" hidden="1" customHeight="1">
      <c r="A16" s="225" t="s">
        <v>9</v>
      </c>
      <c r="B16" s="213" t="s">
        <v>1484</v>
      </c>
      <c r="C16" s="218"/>
      <c r="D16" s="842"/>
      <c r="E16" s="216"/>
      <c r="F16" s="216"/>
      <c r="G16" s="217"/>
    </row>
    <row r="17" spans="1:7" s="212" customFormat="1" ht="13.5" hidden="1" customHeight="1">
      <c r="A17" s="225" t="s">
        <v>10</v>
      </c>
      <c r="B17" s="213" t="s">
        <v>1488</v>
      </c>
      <c r="C17" s="227"/>
      <c r="D17" s="843"/>
      <c r="E17" s="227"/>
      <c r="F17" s="227"/>
      <c r="G17" s="217" t="s">
        <v>1487</v>
      </c>
    </row>
    <row r="18" spans="1:7" s="212" customFormat="1" ht="13.5" hidden="1" customHeight="1">
      <c r="A18" s="225" t="s">
        <v>11</v>
      </c>
      <c r="B18" s="213" t="s">
        <v>1489</v>
      </c>
      <c r="C18" s="218">
        <v>0</v>
      </c>
      <c r="D18" s="842"/>
      <c r="E18" s="216"/>
      <c r="F18" s="219">
        <v>3.0499999999999999E-2</v>
      </c>
      <c r="G18" s="217" t="s">
        <v>1490</v>
      </c>
    </row>
    <row r="19" spans="1:7" s="221" customFormat="1" ht="13.5" customHeight="1">
      <c r="A19" s="253" t="s">
        <v>1491</v>
      </c>
      <c r="B19" s="208" t="s">
        <v>1492</v>
      </c>
      <c r="C19" s="209" t="str">
        <f>IF(G19="已包含在土地取得成本中","0",ROUND(D19*E19/10000,0))</f>
        <v>0</v>
      </c>
      <c r="D19" s="844">
        <f>D9+D10</f>
        <v>61136.619999999995</v>
      </c>
      <c r="E19" s="209">
        <f>'数据-取费表'!B31</f>
        <v>200</v>
      </c>
      <c r="F19" s="229"/>
      <c r="G19" s="1851" t="s">
        <v>3763</v>
      </c>
    </row>
    <row r="20" spans="1:7" s="212" customFormat="1" ht="13.5" customHeight="1">
      <c r="A20" s="253" t="s">
        <v>1493</v>
      </c>
      <c r="B20" s="208" t="s">
        <v>1494</v>
      </c>
      <c r="C20" s="230">
        <f>ROUND((C5+C19)*F20,0)</f>
        <v>3804</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9">
        <f ca="1">ROUND(SUM(C23:C25),0)</f>
        <v>20571</v>
      </c>
      <c r="D22" s="233">
        <f ca="1">C26</f>
        <v>1E-3</v>
      </c>
      <c r="E22" s="234" t="s">
        <v>1498</v>
      </c>
      <c r="F22" s="235">
        <f ca="1">'数据-取费表'!B40</f>
        <v>3.4500000000000003E-2</v>
      </c>
      <c r="G22" s="232" t="str">
        <f>IF('数据-取费表'!B22&lt;=1,"单利计息","复利计息")</f>
        <v>复利计息</v>
      </c>
    </row>
    <row r="23" spans="1:7" s="212" customFormat="1" ht="13.5" customHeight="1">
      <c r="A23" s="775" t="s">
        <v>1502</v>
      </c>
      <c r="B23" s="213" t="s">
        <v>1503</v>
      </c>
      <c r="C23" s="1100">
        <f ca="1">ROUND(IF('数据-取费表'!B22&lt;=1,C5*F22*'数据-取费表'!B23,C5*(POWER((1+F22),'数据-取费表'!B23)-1)),0)</f>
        <v>20372</v>
      </c>
      <c r="D23" s="236"/>
      <c r="E23" s="236"/>
      <c r="F23" s="237"/>
      <c r="G23" s="238" t="s">
        <v>1504</v>
      </c>
    </row>
    <row r="24" spans="1:7" s="212" customFormat="1" ht="13.5" customHeight="1">
      <c r="A24" s="775" t="s">
        <v>1505</v>
      </c>
      <c r="B24" s="213" t="s">
        <v>1506</v>
      </c>
      <c r="C24" s="1100">
        <f ca="1">ROUND(IF('数据-取费表'!B22&lt;=1,C19*F22*('数据-取费表'!B19/2+'数据-取费表'!B21),C19*(POWER((1+F22),('数据-取费表'!B19/2+'数据-取费表'!B21))-1)),0)</f>
        <v>0</v>
      </c>
      <c r="D24" s="236"/>
      <c r="E24" s="236"/>
      <c r="F24" s="237"/>
      <c r="G24" s="238" t="s">
        <v>1507</v>
      </c>
    </row>
    <row r="25" spans="1:7" s="212" customFormat="1" ht="24">
      <c r="A25" s="775" t="s">
        <v>1508</v>
      </c>
      <c r="B25" s="213" t="s">
        <v>1509</v>
      </c>
      <c r="C25" s="1100">
        <f ca="1">ROUND(IF('数据-取费表'!B22&lt;=1,C20*F22*'数据-取费表'!B23/2,C20*(POWER((1+F22),'数据-取费表'!B23/2)-1)),0)</f>
        <v>199</v>
      </c>
      <c r="D25" s="236"/>
      <c r="E25" s="239"/>
      <c r="F25" s="237"/>
      <c r="G25" s="240" t="s">
        <v>1510</v>
      </c>
    </row>
    <row r="26" spans="1:7" s="212" customFormat="1">
      <c r="A26" s="775" t="s">
        <v>350</v>
      </c>
      <c r="B26" s="213" t="s">
        <v>1511</v>
      </c>
      <c r="C26" s="236">
        <f ca="1">ROUND(IF('数据-取费表'!B22&lt;=1,F21*F22*'数据-取费表'!B23/2,F21*(POWER((1+F22),'数据-取费表'!B23/2)-1)),4)</f>
        <v>1E-3</v>
      </c>
      <c r="D26" s="236"/>
      <c r="E26" s="239"/>
      <c r="F26" s="237"/>
      <c r="G26" s="241"/>
    </row>
    <row r="27" spans="1:7" s="212" customFormat="1" ht="24.75">
      <c r="A27" s="253" t="s">
        <v>1512</v>
      </c>
      <c r="B27" s="242" t="s">
        <v>1513</v>
      </c>
      <c r="C27" s="243">
        <f ca="1">C28</f>
        <v>36859</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ROUND((C5+C19+C20)*F27*'数据-取费表'!B21/'数据-取费表'!B20,0)</f>
        <v>36859</v>
      </c>
      <c r="D28" s="233"/>
      <c r="E28" s="234"/>
      <c r="F28" s="244"/>
      <c r="G28" s="245"/>
    </row>
    <row r="29" spans="1:7" s="212" customFormat="1" ht="13.5" customHeight="1">
      <c r="A29" s="775" t="s">
        <v>347</v>
      </c>
      <c r="B29" s="246" t="s">
        <v>1517</v>
      </c>
      <c r="C29" s="236">
        <f ca="1">ROUND(C21*F27*'数据-取费表'!B21/'数据-取费表'!B20,4)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272725</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43224</v>
      </c>
      <c r="D33" s="230"/>
      <c r="E33" s="210"/>
      <c r="F33" s="239"/>
      <c r="G33" s="232"/>
    </row>
    <row r="34" spans="1:7" s="256" customFormat="1" ht="13.5" customHeight="1">
      <c r="A34" s="775" t="s">
        <v>346</v>
      </c>
      <c r="B34" s="213" t="s">
        <v>1525</v>
      </c>
      <c r="C34" s="218">
        <f ca="1">IF(B1="",IF(F34=100%,'数据-取费表'!M16,'数据-取费表'!O16),IF(F34=100%,INDIRECT("'数据-取费表'!m"&amp;$G$1)+INDIRECT("'数据-取费表'!t"&amp;$G$1),INDIRECT("'数据-取费表'!o"&amp;$G$1)+INDIRECT("'数据-取费表'!aq"&amp;$G$1)))</f>
        <v>39437</v>
      </c>
      <c r="D34" s="215"/>
      <c r="E34" s="218"/>
      <c r="F34" s="255">
        <f ca="1">IF('数据-取费表'!B24=0,1,IF(B1="",'数据-取费表'!N16,INDIRECT("'数据-取费表'!n"&amp;$G$1)))</f>
        <v>1</v>
      </c>
      <c r="G34" s="217" t="s">
        <v>1526</v>
      </c>
    </row>
    <row r="35" spans="1:7" ht="13.5" customHeight="1">
      <c r="A35" s="775" t="s">
        <v>351</v>
      </c>
      <c r="B35" s="213" t="s">
        <v>1527</v>
      </c>
      <c r="C35" s="218">
        <f ca="1">ROUND(C34*F35,0)</f>
        <v>1972</v>
      </c>
      <c r="D35" s="218"/>
      <c r="E35" s="218"/>
      <c r="F35" s="257">
        <f>'数据-取费表'!B33</f>
        <v>0.05</v>
      </c>
      <c r="G35" s="217" t="s">
        <v>1528</v>
      </c>
    </row>
    <row r="36" spans="1:7" ht="24">
      <c r="A36" s="775"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5" t="s">
        <v>353</v>
      </c>
      <c r="B37" s="213" t="s">
        <v>1531</v>
      </c>
      <c r="C37" s="247">
        <f ca="1">ROUND(E37*D37*F34/10000,0)</f>
        <v>1223</v>
      </c>
      <c r="D37" s="215">
        <f>D19</f>
        <v>61136.619999999995</v>
      </c>
      <c r="E37" s="247">
        <f>'数据-取费表'!B35</f>
        <v>200</v>
      </c>
      <c r="F37" s="257"/>
      <c r="G37" s="259" t="s">
        <v>1532</v>
      </c>
    </row>
    <row r="38" spans="1:7" ht="13.5" customHeight="1">
      <c r="A38" s="775" t="s">
        <v>354</v>
      </c>
      <c r="B38" s="213" t="s">
        <v>1533</v>
      </c>
      <c r="C38" s="218">
        <f ca="1">ROUND(C34*F38,0)</f>
        <v>592</v>
      </c>
      <c r="D38" s="218"/>
      <c r="E38" s="218"/>
      <c r="F38" s="257">
        <f>'数据-取费表'!B36</f>
        <v>1.4999999999999999E-2</v>
      </c>
      <c r="G38" s="217" t="s">
        <v>1528</v>
      </c>
    </row>
    <row r="39" spans="1:7" s="212" customFormat="1" ht="13.5" customHeight="1">
      <c r="A39" s="253" t="s">
        <v>1534</v>
      </c>
      <c r="B39" s="208" t="s">
        <v>1535</v>
      </c>
      <c r="C39" s="230">
        <f ca="1">ROUND(C33*F20,0)</f>
        <v>864</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2301</v>
      </c>
      <c r="D41" s="233">
        <f ca="1">C44</f>
        <v>1E-3</v>
      </c>
      <c r="E41" s="234" t="s">
        <v>1539</v>
      </c>
      <c r="F41" s="235">
        <f ca="1">F22</f>
        <v>3.4500000000000003E-2</v>
      </c>
      <c r="G41" s="232" t="str">
        <f>IF('数据-取费表'!B22&lt;=1,"单利计息","复利计息")</f>
        <v>复利计息</v>
      </c>
    </row>
    <row r="42" spans="1:7" ht="13.5" customHeight="1">
      <c r="A42" s="775" t="s">
        <v>346</v>
      </c>
      <c r="B42" s="213" t="s">
        <v>1543</v>
      </c>
      <c r="C42" s="236">
        <f ca="1">ROUND(IF('数据-取费表'!B22&lt;=1,C33*F22*'数据-取费表'!B21/2,C33*(POWER((1+F22),'数据-取费表'!B21/2)-1)),0)</f>
        <v>2256</v>
      </c>
      <c r="D42" s="236"/>
      <c r="E42" s="236"/>
      <c r="F42" s="237"/>
      <c r="G42" s="4036" t="s">
        <v>1544</v>
      </c>
    </row>
    <row r="43" spans="1:7" ht="13.5" customHeight="1">
      <c r="A43" s="775" t="s">
        <v>347</v>
      </c>
      <c r="B43" s="213" t="s">
        <v>1545</v>
      </c>
      <c r="C43" s="236">
        <f ca="1">ROUND(IF('数据-取费表'!B22&lt;=1,C39*F22*'数据-取费表'!B21/2,C39*(POWER((1+F22),'数据-取费表'!B21/2)-1)),0)</f>
        <v>45</v>
      </c>
      <c r="D43" s="236"/>
      <c r="E43" s="236"/>
      <c r="F43" s="237"/>
      <c r="G43" s="4037"/>
    </row>
    <row r="44" spans="1:7" ht="13.5" customHeight="1">
      <c r="A44" s="775" t="s">
        <v>348</v>
      </c>
      <c r="B44" s="213" t="s">
        <v>1546</v>
      </c>
      <c r="C44" s="236">
        <f ca="1">ROUND(IF('数据-取费表'!B22&lt;=1,C40*F22*'数据-取费表'!B21/2,C40*(POWER((1+F22),'数据-取费表'!B21/2)-1)),4)</f>
        <v>1E-3</v>
      </c>
      <c r="D44" s="236"/>
      <c r="E44" s="236"/>
      <c r="F44" s="237"/>
      <c r="G44" s="4038"/>
    </row>
    <row r="45" spans="1:7" s="212" customFormat="1" ht="13.5" customHeight="1">
      <c r="A45" s="253" t="s">
        <v>1547</v>
      </c>
      <c r="B45" s="242" t="s">
        <v>1513</v>
      </c>
      <c r="C45" s="243">
        <f ca="1">C46</f>
        <v>8377</v>
      </c>
      <c r="D45" s="233">
        <f ca="1">C47</f>
        <v>3.8E-3</v>
      </c>
      <c r="E45" s="234" t="s">
        <v>1539</v>
      </c>
      <c r="F45" s="244">
        <f ca="1">F27</f>
        <v>0.19</v>
      </c>
      <c r="G45" s="245" t="s">
        <v>1548</v>
      </c>
    </row>
    <row r="46" spans="1:7" s="212" customFormat="1" ht="13.5" customHeight="1">
      <c r="A46" s="775" t="s">
        <v>346</v>
      </c>
      <c r="B46" s="246" t="s">
        <v>1549</v>
      </c>
      <c r="C46" s="247">
        <f ca="1">ROUND((C33+C39)*F27,0)</f>
        <v>8377</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1322">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59406</v>
      </c>
      <c r="D49" s="230"/>
      <c r="E49" s="230"/>
      <c r="F49" s="262"/>
      <c r="G49" s="232" t="s">
        <v>1554</v>
      </c>
    </row>
    <row r="50" spans="1:7" s="256" customFormat="1" ht="24">
      <c r="A50" s="253" t="s">
        <v>1555</v>
      </c>
      <c r="B50" s="208" t="s">
        <v>1556</v>
      </c>
      <c r="C50" s="230"/>
      <c r="D50" s="230"/>
      <c r="E50" s="230"/>
      <c r="F50" s="262">
        <f>IF('数据-取费表'!B24=0,'数据-取费表'!N16,1)</f>
        <v>0.75</v>
      </c>
      <c r="G50" s="245" t="s">
        <v>1557</v>
      </c>
    </row>
    <row r="51" spans="1:7" ht="16.5" customHeight="1">
      <c r="A51" s="253" t="s">
        <v>1558</v>
      </c>
      <c r="B51" s="208" t="s">
        <v>1559</v>
      </c>
      <c r="C51" s="230">
        <f ca="1">ROUND(C49*F50,0)</f>
        <v>44555</v>
      </c>
      <c r="D51" s="230"/>
      <c r="E51" s="230"/>
      <c r="F51" s="262"/>
      <c r="G51" s="232" t="s">
        <v>1560</v>
      </c>
    </row>
    <row r="52" spans="1:7" s="206" customFormat="1" ht="16.5" thickBot="1">
      <c r="A52" s="263" t="s">
        <v>1561</v>
      </c>
      <c r="B52" s="264"/>
      <c r="C52" s="265">
        <f ca="1">C31+C51</f>
        <v>317280</v>
      </c>
      <c r="D52" s="264"/>
      <c r="E52" s="264"/>
      <c r="F52" s="264"/>
      <c r="G52" s="266"/>
    </row>
    <row r="55" spans="1:7" ht="15">
      <c r="B55" s="268" t="s">
        <v>1562</v>
      </c>
      <c r="C55" s="269"/>
    </row>
    <row r="56" spans="1:7">
      <c r="B56" s="271" t="s">
        <v>802</v>
      </c>
      <c r="C56" s="273">
        <f ca="1">1-C57</f>
        <v>0.86</v>
      </c>
    </row>
    <row r="57" spans="1:7">
      <c r="B57" s="271" t="s">
        <v>803</v>
      </c>
      <c r="C57" s="272">
        <f ca="1">ROUND(C51/C52,3)</f>
        <v>0.14000000000000001</v>
      </c>
    </row>
  </sheetData>
  <sheetProtection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c r="C1" s="1854" t="s">
        <v>1563</v>
      </c>
      <c r="D1" s="196"/>
      <c r="E1" s="196"/>
      <c r="F1" s="196"/>
      <c r="G1" s="1121">
        <f>MATCH(B1,'数据-取费表'!A6:A16,0)+5</f>
        <v>10</v>
      </c>
      <c r="H1" s="1056" t="str">
        <f>IF(ISERROR(FIND("住宅",B1)),"非住宅","住宅")</f>
        <v>非住宅</v>
      </c>
    </row>
    <row r="2" spans="1:8" s="198" customFormat="1" ht="18" customHeight="1">
      <c r="A2" s="199" t="s">
        <v>1462</v>
      </c>
      <c r="B2" s="3349">
        <f ca="1">ROUND(IF(D2="——",C52/10000,C52/10000-E2),4)</f>
        <v>47884.443899999998</v>
      </c>
      <c r="C2" s="197" t="s">
        <v>1463</v>
      </c>
      <c r="D2" s="1848" t="s">
        <v>43</v>
      </c>
      <c r="E2" s="1164"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7832</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10995278</v>
      </c>
      <c r="D5" s="209" t="s">
        <v>1469</v>
      </c>
      <c r="E5" s="210" t="s">
        <v>1470</v>
      </c>
      <c r="F5" s="210" t="s">
        <v>1471</v>
      </c>
      <c r="G5" s="211"/>
    </row>
    <row r="6" spans="1:8" s="212" customFormat="1" ht="13.5" customHeight="1">
      <c r="A6" s="773" t="s">
        <v>1472</v>
      </c>
      <c r="B6" s="213" t="s">
        <v>1473</v>
      </c>
      <c r="C6" s="214"/>
      <c r="D6" s="215"/>
      <c r="E6" s="216"/>
      <c r="F6" s="216"/>
      <c r="G6" s="217"/>
    </row>
    <row r="7" spans="1:8" s="212" customFormat="1" ht="13.5" customHeight="1">
      <c r="A7" s="773" t="s">
        <v>1474</v>
      </c>
      <c r="B7" s="213" t="s">
        <v>1475</v>
      </c>
      <c r="C7" s="218">
        <f>ROUND(C6*F7,0)</f>
        <v>0</v>
      </c>
      <c r="D7" s="218"/>
      <c r="E7" s="216"/>
      <c r="F7" s="219">
        <f>IF(项目基本情况!B8="出让",0,'数据-取费表'!B48+'数据-取费表'!B49)</f>
        <v>3.0499999999999999E-2</v>
      </c>
      <c r="G7" s="217"/>
    </row>
    <row r="8" spans="1:8" s="221" customFormat="1">
      <c r="A8" s="773" t="s">
        <v>1476</v>
      </c>
      <c r="B8" s="213" t="s">
        <v>1477</v>
      </c>
      <c r="C8" s="218">
        <f ca="1">IF(G8="已包含在土地购买价格中",0,C9+C10)</f>
        <v>10995278</v>
      </c>
      <c r="D8" s="220"/>
      <c r="E8" s="218"/>
      <c r="F8" s="219"/>
      <c r="G8" s="1851"/>
    </row>
    <row r="9" spans="1:8" s="212" customFormat="1" ht="13.5" customHeight="1">
      <c r="A9" s="774" t="s">
        <v>355</v>
      </c>
      <c r="B9" s="222" t="s">
        <v>1478</v>
      </c>
      <c r="C9" s="223">
        <f ca="1">ROUND(D9*E9,0)</f>
        <v>4928184</v>
      </c>
      <c r="D9" s="840">
        <f ca="1">IF(B1="",'数据-汇总表'!E5,IF(INDIRECT("'数据-取费表'!c"&amp;$G$1)="住宅",INDIRECT("'数据-取费表'!k"&amp;$G$1),0))</f>
        <v>30801.149999999998</v>
      </c>
      <c r="E9" s="223">
        <f>'数据-取费表'!B27</f>
        <v>160</v>
      </c>
      <c r="F9" s="219"/>
      <c r="G9" s="224"/>
    </row>
    <row r="10" spans="1:8" s="212" customFormat="1" ht="13.5" customHeight="1">
      <c r="A10" s="774" t="s">
        <v>356</v>
      </c>
      <c r="B10" s="222" t="s">
        <v>1480</v>
      </c>
      <c r="C10" s="223">
        <f ca="1">ROUND(D10*E10,0)</f>
        <v>6067094</v>
      </c>
      <c r="D10" s="840">
        <f ca="1">IF(B1="",'数据-汇总表'!E6,IF(INDIRECT("'数据-取费表'!c"&amp;$G$1)="住宅",INDIRECT("'数据-取费表'!s"&amp;$G$1),INDIRECT("'数据-取费表'!k"&amp;$G$1)+INDIRECT("'数据-取费表'!s"&amp;$G$1)))</f>
        <v>30335.469999999998</v>
      </c>
      <c r="E10" s="223">
        <f>'数据-取费表'!B28</f>
        <v>200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1565</v>
      </c>
      <c r="C13" s="209"/>
      <c r="D13" s="842"/>
      <c r="E13" s="216"/>
      <c r="F13" s="216"/>
      <c r="G13" s="217"/>
    </row>
    <row r="14" spans="1:8" s="212" customFormat="1" ht="13.5" hidden="1" customHeight="1">
      <c r="A14" s="225" t="s">
        <v>7</v>
      </c>
      <c r="B14" s="213" t="s">
        <v>1477</v>
      </c>
      <c r="C14" s="209"/>
      <c r="D14" s="842"/>
      <c r="E14" s="216"/>
      <c r="F14" s="216"/>
      <c r="G14" s="217" t="s">
        <v>1566</v>
      </c>
    </row>
    <row r="15" spans="1:8" s="212" customFormat="1" ht="13.5" hidden="1" customHeight="1">
      <c r="A15" s="225" t="s">
        <v>8</v>
      </c>
      <c r="B15" s="213" t="s">
        <v>1567</v>
      </c>
      <c r="C15" s="218"/>
      <c r="D15" s="842"/>
      <c r="E15" s="216"/>
      <c r="F15" s="216"/>
      <c r="G15" s="217" t="s">
        <v>1568</v>
      </c>
    </row>
    <row r="16" spans="1:8" s="212" customFormat="1" ht="13.5" hidden="1" customHeight="1">
      <c r="A16" s="225" t="s">
        <v>9</v>
      </c>
      <c r="B16" s="213" t="s">
        <v>1477</v>
      </c>
      <c r="C16" s="218"/>
      <c r="D16" s="842"/>
      <c r="E16" s="216"/>
      <c r="F16" s="216"/>
      <c r="G16" s="217"/>
    </row>
    <row r="17" spans="1:7" s="212" customFormat="1" ht="13.5" hidden="1" customHeight="1">
      <c r="A17" s="225" t="s">
        <v>10</v>
      </c>
      <c r="B17" s="213" t="s">
        <v>1569</v>
      </c>
      <c r="C17" s="227"/>
      <c r="D17" s="843"/>
      <c r="E17" s="227"/>
      <c r="F17" s="227"/>
      <c r="G17" s="217" t="s">
        <v>1568</v>
      </c>
    </row>
    <row r="18" spans="1:7" s="212" customFormat="1" ht="13.5" hidden="1" customHeight="1">
      <c r="A18" s="225" t="s">
        <v>11</v>
      </c>
      <c r="B18" s="213" t="s">
        <v>1570</v>
      </c>
      <c r="C18" s="218">
        <v>0</v>
      </c>
      <c r="D18" s="842"/>
      <c r="E18" s="216"/>
      <c r="F18" s="219">
        <v>3.0499999999999999E-2</v>
      </c>
      <c r="G18" s="217" t="s">
        <v>1571</v>
      </c>
    </row>
    <row r="19" spans="1:7" s="221" customFormat="1" ht="13.5" customHeight="1">
      <c r="A19" s="253" t="s">
        <v>1572</v>
      </c>
      <c r="B19" s="208" t="s">
        <v>1573</v>
      </c>
      <c r="C19" s="209">
        <f ca="1">IF(G19="已包含在土地取得成本中","0",ROUND(D19*E19,0))</f>
        <v>12227324</v>
      </c>
      <c r="D19" s="844">
        <f ca="1">D9+D10</f>
        <v>61136.619999999995</v>
      </c>
      <c r="E19" s="209">
        <f>'数据-取费表'!B31</f>
        <v>200</v>
      </c>
      <c r="F19" s="229"/>
      <c r="G19" s="1851"/>
    </row>
    <row r="20" spans="1:7" s="212" customFormat="1" ht="13.5" customHeight="1">
      <c r="A20" s="253" t="s">
        <v>1574</v>
      </c>
      <c r="B20" s="208" t="s">
        <v>1575</v>
      </c>
      <c r="C20" s="230">
        <f ca="1">ROUND((C5+C19)*F20,0)</f>
        <v>464452</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2">
        <f ca="1">ROUND(SUM(C23:C25),0)</f>
        <v>2511657</v>
      </c>
      <c r="D22" s="233">
        <f ca="1">C26</f>
        <v>1E-3</v>
      </c>
      <c r="E22" s="234" t="s">
        <v>1579</v>
      </c>
      <c r="F22" s="235">
        <f ca="1">'数据-取费表'!B40</f>
        <v>3.4500000000000003E-2</v>
      </c>
      <c r="G22" s="232" t="str">
        <f>IF('数据-取费表'!B22&lt;=1,"单利计息","复利计息")</f>
        <v>复利计息</v>
      </c>
    </row>
    <row r="23" spans="1:7" s="212" customFormat="1" ht="13.5" customHeight="1">
      <c r="A23" s="775" t="s">
        <v>1472</v>
      </c>
      <c r="B23" s="213" t="s">
        <v>1583</v>
      </c>
      <c r="C23" s="1123">
        <f ca="1">ROUND(IF('数据-取费表'!B22&lt;=1,C5*F22*'数据-取费表'!B22,C5*(POWER((1+F22),'数据-取费表'!B22)-1)),0)</f>
        <v>1177724</v>
      </c>
      <c r="D23" s="236"/>
      <c r="E23" s="236"/>
      <c r="F23" s="237"/>
      <c r="G23" s="238" t="s">
        <v>1584</v>
      </c>
    </row>
    <row r="24" spans="1:7" s="212" customFormat="1" ht="13.5" customHeight="1">
      <c r="A24" s="775" t="s">
        <v>1474</v>
      </c>
      <c r="B24" s="213" t="s">
        <v>1585</v>
      </c>
      <c r="C24" s="1123">
        <f ca="1">ROUND(IF('数据-取费表'!B22&lt;=1,C19*F22*('数据-取费表'!B19/2+'数据-取费表'!B20),C19*(POWER((1+F22),('数据-取费表'!B19/2+'数据-取费表'!B20))-1)),0)</f>
        <v>1309691</v>
      </c>
      <c r="D24" s="236"/>
      <c r="E24" s="236"/>
      <c r="F24" s="237"/>
      <c r="G24" s="238" t="s">
        <v>1586</v>
      </c>
    </row>
    <row r="25" spans="1:7" s="212" customFormat="1" ht="24">
      <c r="A25" s="775" t="s">
        <v>1476</v>
      </c>
      <c r="B25" s="213" t="s">
        <v>1587</v>
      </c>
      <c r="C25" s="1123">
        <f ca="1">ROUND(IF('数据-取费表'!B22&lt;=1,C20*F22*'数据-取费表'!B22/2,C20*(POWER((1+F22),'数据-取费表'!B22/2)-1)),0)</f>
        <v>24242</v>
      </c>
      <c r="D25" s="236"/>
      <c r="E25" s="239"/>
      <c r="F25" s="237"/>
      <c r="G25" s="240" t="s">
        <v>1588</v>
      </c>
    </row>
    <row r="26" spans="1:7" s="212" customFormat="1">
      <c r="A26" s="775" t="s">
        <v>350</v>
      </c>
      <c r="B26" s="213" t="s">
        <v>1511</v>
      </c>
      <c r="C26" s="236">
        <f ca="1">ROUND(IF('数据-取费表'!B22&lt;=1,F21*F22*'数据-取费表'!B22/2,F21*(POWER((1+F22),'数据-取费表'!B22/2)-1)),4)</f>
        <v>1E-3</v>
      </c>
      <c r="D26" s="236"/>
      <c r="E26" s="239"/>
      <c r="F26" s="237"/>
      <c r="G26" s="241"/>
    </row>
    <row r="27" spans="1:7" s="212" customFormat="1" ht="24.75">
      <c r="A27" s="253" t="s">
        <v>1512</v>
      </c>
      <c r="B27" s="242" t="s">
        <v>1513</v>
      </c>
      <c r="C27" s="243">
        <f ca="1">C28</f>
        <v>4500540</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ROUND((C5+C19+C20)*F27,0)</f>
        <v>4500540</v>
      </c>
      <c r="D28" s="233"/>
      <c r="E28" s="234"/>
      <c r="F28" s="244"/>
      <c r="G28" s="245"/>
    </row>
    <row r="29" spans="1:7" s="212" customFormat="1" ht="13.5" customHeight="1">
      <c r="A29" s="775" t="s">
        <v>347</v>
      </c>
      <c r="B29" s="246" t="s">
        <v>1517</v>
      </c>
      <c r="C29" s="236">
        <f ca="1">ROUND(C21*F27,4)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33299979</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432239117</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394377270</v>
      </c>
      <c r="D34" s="215"/>
      <c r="E34" s="218"/>
      <c r="F34" s="255"/>
      <c r="G34" s="217"/>
    </row>
    <row r="35" spans="1:7" ht="13.5" customHeight="1">
      <c r="A35" s="775" t="s">
        <v>351</v>
      </c>
      <c r="B35" s="213" t="s">
        <v>1527</v>
      </c>
      <c r="C35" s="218">
        <f ca="1">ROUND(C34*F35,0)</f>
        <v>19718864</v>
      </c>
      <c r="D35" s="218"/>
      <c r="E35" s="218"/>
      <c r="F35" s="257">
        <f>'数据-取费表'!B33</f>
        <v>0.05</v>
      </c>
      <c r="G35" s="217" t="s">
        <v>1528</v>
      </c>
    </row>
    <row r="36" spans="1:7" ht="24">
      <c r="A36" s="775"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5" t="s">
        <v>353</v>
      </c>
      <c r="B37" s="213" t="s">
        <v>1531</v>
      </c>
      <c r="C37" s="247">
        <f ca="1">ROUND(E37*D37,0)</f>
        <v>12227324</v>
      </c>
      <c r="D37" s="215">
        <f ca="1">D19</f>
        <v>61136.619999999995</v>
      </c>
      <c r="E37" s="247">
        <f>'数据-取费表'!B35</f>
        <v>200</v>
      </c>
      <c r="F37" s="257"/>
      <c r="G37" s="259"/>
    </row>
    <row r="38" spans="1:7" ht="13.5" customHeight="1">
      <c r="A38" s="775" t="s">
        <v>354</v>
      </c>
      <c r="B38" s="213" t="s">
        <v>1533</v>
      </c>
      <c r="C38" s="218">
        <f ca="1">ROUND(C34*F38,0)</f>
        <v>5915659</v>
      </c>
      <c r="D38" s="218"/>
      <c r="E38" s="218"/>
      <c r="F38" s="257">
        <f>'数据-取费表'!B36</f>
        <v>1.4999999999999999E-2</v>
      </c>
      <c r="G38" s="217" t="s">
        <v>1528</v>
      </c>
    </row>
    <row r="39" spans="1:7" s="212" customFormat="1" ht="13.5" customHeight="1">
      <c r="A39" s="253" t="s">
        <v>1534</v>
      </c>
      <c r="B39" s="208" t="s">
        <v>1535</v>
      </c>
      <c r="C39" s="230">
        <f ca="1">ROUND(C33*F20,0)</f>
        <v>8644782</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23011410</v>
      </c>
      <c r="D41" s="233">
        <f ca="1">C44</f>
        <v>1E-3</v>
      </c>
      <c r="E41" s="234" t="s">
        <v>1539</v>
      </c>
      <c r="F41" s="235">
        <f ca="1">F22</f>
        <v>3.4500000000000003E-2</v>
      </c>
      <c r="G41" s="232" t="str">
        <f>IF('数据-取费表'!B22&lt;=1,"单利计息","复利计息")</f>
        <v>复利计息</v>
      </c>
    </row>
    <row r="42" spans="1:7" ht="13.5" customHeight="1">
      <c r="A42" s="775" t="s">
        <v>346</v>
      </c>
      <c r="B42" s="213" t="s">
        <v>1543</v>
      </c>
      <c r="C42" s="236">
        <f ca="1">ROUND(IF('数据-取费表'!B22&lt;=1,C33*F22*'数据-取费表'!B20/2,C33*(POWER((1+F22),'数据-取费表'!B20/2)-1)),0)</f>
        <v>22560206</v>
      </c>
      <c r="D42" s="236"/>
      <c r="E42" s="236"/>
      <c r="F42" s="237"/>
      <c r="G42" s="4036" t="s">
        <v>1591</v>
      </c>
    </row>
    <row r="43" spans="1:7" ht="13.5" customHeight="1">
      <c r="A43" s="775" t="s">
        <v>347</v>
      </c>
      <c r="B43" s="213" t="s">
        <v>1545</v>
      </c>
      <c r="C43" s="236">
        <f ca="1">ROUND(IF('数据-取费表'!B22&lt;=1,C39*F22*'数据-取费表'!B20/2,C39*(POWER((1+F22),'数据-取费表'!B20/2)-1)),0)</f>
        <v>451204</v>
      </c>
      <c r="D43" s="236"/>
      <c r="E43" s="236"/>
      <c r="F43" s="237"/>
      <c r="G43" s="4037"/>
    </row>
    <row r="44" spans="1:7" ht="13.5" customHeight="1">
      <c r="A44" s="775" t="s">
        <v>348</v>
      </c>
      <c r="B44" s="213" t="s">
        <v>1546</v>
      </c>
      <c r="C44" s="236">
        <f ca="1">ROUND(IF('数据-取费表'!B22&lt;=1,C40*F22*'数据-取费表'!B20/2,C40*(POWER((1+F22),'数据-取费表'!B20/2)-1)),4)</f>
        <v>1E-3</v>
      </c>
      <c r="D44" s="236"/>
      <c r="E44" s="236"/>
      <c r="F44" s="237"/>
      <c r="G44" s="4038"/>
    </row>
    <row r="45" spans="1:7" s="212" customFormat="1" ht="13.5" customHeight="1">
      <c r="A45" s="253" t="s">
        <v>1547</v>
      </c>
      <c r="B45" s="242" t="s">
        <v>1513</v>
      </c>
      <c r="C45" s="243">
        <f ca="1">C46</f>
        <v>83767941</v>
      </c>
      <c r="D45" s="233">
        <f ca="1">C47</f>
        <v>3.8E-3</v>
      </c>
      <c r="E45" s="234" t="s">
        <v>1539</v>
      </c>
      <c r="F45" s="244">
        <f ca="1">F27</f>
        <v>0.19</v>
      </c>
      <c r="G45" s="245" t="s">
        <v>1548</v>
      </c>
    </row>
    <row r="46" spans="1:7" s="212" customFormat="1" ht="13.5" customHeight="1">
      <c r="A46" s="775" t="s">
        <v>346</v>
      </c>
      <c r="B46" s="246" t="s">
        <v>1549</v>
      </c>
      <c r="C46" s="247">
        <f ca="1">ROUND((C33+C39)*F27,0)</f>
        <v>83767941</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594059280</v>
      </c>
      <c r="D49" s="230"/>
      <c r="E49" s="230"/>
      <c r="F49" s="262"/>
      <c r="G49" s="232" t="s">
        <v>1554</v>
      </c>
    </row>
    <row r="50" spans="1:7" s="256" customFormat="1">
      <c r="A50" s="253" t="s">
        <v>1555</v>
      </c>
      <c r="B50" s="208" t="s">
        <v>1556</v>
      </c>
      <c r="C50" s="230"/>
      <c r="D50" s="230"/>
      <c r="E50" s="230"/>
      <c r="F50" s="262">
        <f>IF('数据-取费表'!B24=0,'数据-取费表'!N16,1)</f>
        <v>0.75</v>
      </c>
      <c r="G50" s="245"/>
    </row>
    <row r="51" spans="1:7" ht="16.5" customHeight="1">
      <c r="A51" s="253" t="s">
        <v>1558</v>
      </c>
      <c r="B51" s="208" t="s">
        <v>1593</v>
      </c>
      <c r="C51" s="230">
        <f ca="1">ROUND(C49*F50,0)</f>
        <v>445544460</v>
      </c>
      <c r="D51" s="230"/>
      <c r="E51" s="230"/>
      <c r="F51" s="262"/>
      <c r="G51" s="232" t="s">
        <v>1560</v>
      </c>
    </row>
    <row r="52" spans="1:7" s="206" customFormat="1" ht="16.5" thickBot="1">
      <c r="A52" s="263" t="s">
        <v>1561</v>
      </c>
      <c r="B52" s="264"/>
      <c r="C52" s="265">
        <f ca="1">C31+C51</f>
        <v>478844439</v>
      </c>
      <c r="D52" s="264"/>
      <c r="E52" s="264"/>
      <c r="F52" s="264"/>
      <c r="G52" s="266"/>
    </row>
    <row r="55" spans="1:7" ht="15">
      <c r="B55" s="268" t="s">
        <v>1562</v>
      </c>
      <c r="C55" s="269"/>
    </row>
    <row r="56" spans="1:7">
      <c r="B56" s="271" t="s">
        <v>802</v>
      </c>
      <c r="C56" s="273">
        <f ca="1">1-C57</f>
        <v>6.9999999999999951E-2</v>
      </c>
    </row>
    <row r="57" spans="1:7">
      <c r="B57" s="271" t="s">
        <v>803</v>
      </c>
      <c r="C57" s="272">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4" t="s">
        <v>1594</v>
      </c>
      <c r="B1" s="1186"/>
      <c r="C1" s="1187"/>
      <c r="D1" s="1185"/>
      <c r="E1" s="2801"/>
      <c r="F1" s="2801"/>
      <c r="G1" s="2666"/>
      <c r="H1" s="2801"/>
      <c r="I1" s="2801"/>
      <c r="J1" s="2801"/>
      <c r="K1" s="2802">
        <f>MATCH(C1,'数据-取费表'!A6:A16,0)+5</f>
        <v>10</v>
      </c>
    </row>
    <row r="2" spans="1:33" ht="18" customHeight="1">
      <c r="A2" s="199" t="s">
        <v>1462</v>
      </c>
      <c r="B2" s="202">
        <f ca="1">C32</f>
        <v>-541</v>
      </c>
      <c r="C2" s="274" t="s">
        <v>1595</v>
      </c>
      <c r="D2" s="274"/>
      <c r="E2" s="2801"/>
      <c r="F2" s="2801"/>
      <c r="G2" s="2801"/>
      <c r="H2" s="2801"/>
      <c r="I2" s="2801"/>
      <c r="J2" s="2801"/>
      <c r="K2" s="2801"/>
    </row>
    <row r="3" spans="1:33" ht="18" customHeight="1" thickBot="1">
      <c r="A3" s="201" t="s">
        <v>1464</v>
      </c>
      <c r="B3" s="202">
        <f ca="1">ROUND(B2*10000/IF(C1="",'数据-汇总表'!E3,INDIRECT("'数据-取费表'!K"&amp;$K$1)),0)</f>
        <v>-88</v>
      </c>
      <c r="C3" s="274" t="s">
        <v>1596</v>
      </c>
      <c r="D3" s="274"/>
      <c r="E3" s="2801"/>
      <c r="F3" s="2801"/>
      <c r="G3" s="2801"/>
      <c r="H3" s="2801"/>
      <c r="I3" s="2801"/>
      <c r="J3" s="2801"/>
      <c r="K3" s="2801"/>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29"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2"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7">
        <f ca="1">IF(C1="",'数据-取费表'!P16,INDIRECT("'数据-取费表'!p"&amp;$K$1)+INDIRECT("'数据-取费表'!ar"&amp;$K$1))</f>
        <v>0</v>
      </c>
      <c r="D11" s="797"/>
      <c r="E11" s="327"/>
      <c r="F11" s="807">
        <f ca="1">1-IF('数据-取费表'!B24=0,1,IF(C1="",'数据-取费表'!N16,INDIRECT("'数据-取费表'!n"&amp;$K$1)))</f>
        <v>0</v>
      </c>
      <c r="G11" s="5"/>
      <c r="H11" s="792"/>
      <c r="I11" s="792"/>
      <c r="J11" s="792"/>
      <c r="K11" s="793"/>
    </row>
    <row r="12" spans="1:33" s="798" customFormat="1" ht="13.5" customHeight="1">
      <c r="A12" s="795" t="s">
        <v>636</v>
      </c>
      <c r="B12" s="796" t="s">
        <v>1613</v>
      </c>
      <c r="C12" s="19">
        <f ca="1">ROUND(C11*F12,0)</f>
        <v>0</v>
      </c>
      <c r="D12" s="797"/>
      <c r="E12" s="327"/>
      <c r="F12" s="807">
        <f>'数据-取费表'!B33</f>
        <v>0.05</v>
      </c>
      <c r="G12" s="5" t="s">
        <v>1614</v>
      </c>
      <c r="H12" s="792"/>
      <c r="I12" s="792"/>
      <c r="J12" s="792"/>
      <c r="K12" s="793"/>
    </row>
    <row r="13" spans="1:33" s="798" customFormat="1" ht="13.5" customHeight="1">
      <c r="A13" s="795" t="s">
        <v>637</v>
      </c>
      <c r="B13" s="796" t="s">
        <v>1615</v>
      </c>
      <c r="C13" s="19">
        <f ca="1">ROUND(IF(C1="",SUMIF('数据-取费表'!C:C,"住宅",'数据-取费表'!P:P)*F13,IF(INDIRECT("'数据-取费表'!c"&amp;$K$1)="住宅",INDIRECT("'数据-取费表'!P"&amp;$K$1)*F13,0)),0)</f>
        <v>0</v>
      </c>
      <c r="D13" s="841"/>
      <c r="E13" s="327"/>
      <c r="F13" s="807">
        <f>'数据-取费表'!B34</f>
        <v>0</v>
      </c>
      <c r="G13" s="5" t="s">
        <v>1616</v>
      </c>
      <c r="H13" s="792"/>
      <c r="I13" s="792"/>
      <c r="J13" s="792"/>
      <c r="K13" s="793"/>
    </row>
    <row r="14" spans="1:33" s="800" customFormat="1" ht="13.5" customHeight="1">
      <c r="A14" s="795" t="s">
        <v>638</v>
      </c>
      <c r="B14" s="796" t="s">
        <v>1617</v>
      </c>
      <c r="C14" s="19">
        <f ca="1">ROUND(D14*E14*F11/10000,0)</f>
        <v>0</v>
      </c>
      <c r="D14" s="841">
        <f ca="1">IF(C1="",'数据-汇总表'!E3,INDIRECT("'数据-取费表'!K"&amp;$K$1)+INDIRECT("'数据-取费表'!S"&amp;$K$1))</f>
        <v>61136.619999999995</v>
      </c>
      <c r="E14" s="19">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1.4999999999999999E-2</v>
      </c>
      <c r="G15" s="129"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29"/>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19">
        <f ca="1">ROUND(D17*E17/10000,0)</f>
        <v>0</v>
      </c>
      <c r="D17" s="841">
        <f ca="1">D14</f>
        <v>61136.619999999995</v>
      </c>
      <c r="E17" s="19">
        <f>'数据-取费表'!B32</f>
        <v>0</v>
      </c>
      <c r="F17" s="801"/>
      <c r="G17" s="129"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19">
        <f ca="1">C19+C20-IF(C1="",'数据-取费表'!B29,IF(G18="已全部缴纳",C19+C20,H18))</f>
        <v>459</v>
      </c>
      <c r="D18" s="841"/>
      <c r="E18" s="19"/>
      <c r="F18" s="799"/>
      <c r="G18" s="1857"/>
      <c r="H18" s="1182"/>
      <c r="I18" s="1858" t="s">
        <v>1625</v>
      </c>
      <c r="J18" s="802"/>
      <c r="K18" s="803"/>
    </row>
    <row r="19" spans="1:33" s="798" customFormat="1" ht="13.5" customHeight="1">
      <c r="A19" s="795" t="s">
        <v>360</v>
      </c>
      <c r="B19" s="796" t="s">
        <v>1626</v>
      </c>
      <c r="C19" s="19">
        <f ca="1">ROUND(D19*E19/10000,0)</f>
        <v>493</v>
      </c>
      <c r="D19" s="841">
        <f ca="1">IF(C1="",'数据-汇总表'!E5,IF(INDIRECT("'数据-取费表'!c"&amp;$K$1)="住宅",INDIRECT("'数据-取费表'!k"&amp;$K$1),0))</f>
        <v>30801.149999999998</v>
      </c>
      <c r="E19" s="19">
        <f>'数据-取费表'!B27</f>
        <v>160</v>
      </c>
      <c r="F19" s="799"/>
      <c r="G19" s="11"/>
      <c r="H19" s="1184"/>
      <c r="I19" s="804"/>
      <c r="J19" s="804"/>
      <c r="K19" s="805"/>
    </row>
    <row r="20" spans="1:33" s="798" customFormat="1" ht="13.5" customHeight="1">
      <c r="A20" s="795" t="s">
        <v>361</v>
      </c>
      <c r="B20" s="796" t="s">
        <v>1627</v>
      </c>
      <c r="C20" s="19">
        <f ca="1">ROUND(D20*E20/10000,0)</f>
        <v>607</v>
      </c>
      <c r="D20" s="841">
        <f ca="1">IF(C1="",'数据-汇总表'!E6,IF(INDIRECT("'数据-取费表'!c"&amp;$K$1)="住宅",INDIRECT("'数据-取费表'!s"&amp;$K$1),INDIRECT("'数据-取费表'!k"&amp;$K$1)+INDIRECT("'数据-取费表'!s"&amp;$K$1)))</f>
        <v>30335.469999999998</v>
      </c>
      <c r="E20" s="19">
        <f>'数据-取费表'!B28</f>
        <v>200</v>
      </c>
      <c r="F20" s="799"/>
      <c r="G20" s="11"/>
      <c r="H20" s="804"/>
      <c r="I20" s="804"/>
      <c r="J20" s="804"/>
      <c r="K20" s="805"/>
    </row>
    <row r="21" spans="1:33" s="798" customFormat="1" ht="13.5" customHeight="1">
      <c r="A21" s="785" t="s">
        <v>357</v>
      </c>
      <c r="B21" s="808" t="s">
        <v>1628</v>
      </c>
      <c r="C21" s="809">
        <f ca="1">C16+C17+C18</f>
        <v>459</v>
      </c>
      <c r="D21" s="810"/>
      <c r="E21" s="279"/>
      <c r="F21" s="279"/>
      <c r="G21" s="129" t="s">
        <v>1629</v>
      </c>
      <c r="H21" s="802"/>
      <c r="I21" s="802"/>
      <c r="J21" s="802"/>
      <c r="K21" s="803"/>
    </row>
    <row r="22" spans="1:33" s="798" customFormat="1" ht="13.5" customHeight="1">
      <c r="A22" s="785" t="s">
        <v>1601</v>
      </c>
      <c r="B22" s="808" t="s">
        <v>1630</v>
      </c>
      <c r="C22" s="809">
        <f ca="1">ROUND(C21*F22,0)</f>
        <v>9</v>
      </c>
      <c r="D22" s="279"/>
      <c r="E22" s="279"/>
      <c r="F22" s="811">
        <f>'数据-取费表'!B37</f>
        <v>0.02</v>
      </c>
      <c r="G22" s="5" t="s">
        <v>1631</v>
      </c>
      <c r="H22" s="792"/>
      <c r="I22" s="792"/>
      <c r="J22" s="792"/>
      <c r="K22" s="793"/>
    </row>
    <row r="23" spans="1:33" s="798" customFormat="1" ht="13.5" customHeight="1">
      <c r="A23" s="785" t="s">
        <v>1603</v>
      </c>
      <c r="B23" s="808" t="s">
        <v>1632</v>
      </c>
      <c r="C23" s="809">
        <f ca="1">ROUND(C4*F23*F11,0)</f>
        <v>0</v>
      </c>
      <c r="D23" s="279"/>
      <c r="E23" s="279"/>
      <c r="F23" s="811">
        <f>'数据-取费表'!B38</f>
        <v>0.02</v>
      </c>
      <c r="G23" s="5" t="s">
        <v>1633</v>
      </c>
      <c r="H23" s="792"/>
      <c r="I23" s="792"/>
      <c r="J23" s="792"/>
      <c r="K23" s="793"/>
    </row>
    <row r="24" spans="1:33" s="798" customFormat="1" ht="13.5" customHeight="1">
      <c r="A24" s="785" t="s">
        <v>1634</v>
      </c>
      <c r="B24" s="808" t="s">
        <v>1635</v>
      </c>
      <c r="C24" s="278">
        <f>ROUND(F24/(1+'数据-取费表'!C42),4)</f>
        <v>2.9000000000000001E-2</v>
      </c>
      <c r="D24" s="279" t="s">
        <v>12</v>
      </c>
      <c r="E24" s="279"/>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2"/>
      <c r="E26" s="283"/>
      <c r="F26" s="284"/>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2"/>
      <c r="E27" s="283"/>
      <c r="F27" s="284"/>
      <c r="G27" s="1859" t="str">
        <f>IF('数据-取费表'!B22&lt;=1,"（1）-（3）项×年利率×建设期÷2","（1）-（3）项×((1+年利率)^(建设期÷2)-1)")</f>
        <v>（1）-（3）项×((1+年利率)^(建设期÷2)-1)</v>
      </c>
      <c r="H27" s="802"/>
      <c r="I27" s="802"/>
      <c r="J27" s="802"/>
      <c r="K27" s="803"/>
    </row>
    <row r="28" spans="1:33" s="287" customFormat="1" ht="13.5" customHeight="1">
      <c r="A28" s="785" t="s">
        <v>1641</v>
      </c>
      <c r="B28" s="1860" t="s">
        <v>1642</v>
      </c>
      <c r="C28" s="285">
        <f ca="1">C30</f>
        <v>89</v>
      </c>
      <c r="D28" s="278">
        <f ca="1">C29</f>
        <v>0</v>
      </c>
      <c r="E28" s="280" t="s">
        <v>12</v>
      </c>
      <c r="F28" s="286">
        <f ca="1">IF(C1="",'数据-取费表'!Q16,INDIRECT("'数据-取费表'!q"&amp;$K$1))</f>
        <v>0.19</v>
      </c>
      <c r="G28" s="812"/>
      <c r="H28" s="813"/>
      <c r="I28" s="813"/>
      <c r="J28" s="813"/>
      <c r="K28" s="814"/>
    </row>
    <row r="29" spans="1:33" s="289" customFormat="1" ht="13.5" customHeight="1">
      <c r="A29" s="795" t="s">
        <v>358</v>
      </c>
      <c r="B29" s="817" t="s">
        <v>1643</v>
      </c>
      <c r="C29" s="282">
        <f ca="1">ROUND((1+C24)*F28*'数据-取费表'!B24/'数据-取费表'!B20,4)</f>
        <v>0</v>
      </c>
      <c r="D29" s="282"/>
      <c r="E29" s="283"/>
      <c r="F29" s="288"/>
      <c r="G29" s="129" t="s">
        <v>1644</v>
      </c>
      <c r="H29" s="802"/>
      <c r="I29" s="802"/>
      <c r="J29" s="802"/>
      <c r="K29" s="803"/>
    </row>
    <row r="30" spans="1:33" s="289" customFormat="1" ht="13.5" customHeight="1">
      <c r="A30" s="795" t="s">
        <v>359</v>
      </c>
      <c r="B30" s="817" t="s">
        <v>1645</v>
      </c>
      <c r="C30" s="290">
        <f ca="1">ROUND((C21+C22+C23)*F28,0)</f>
        <v>89</v>
      </c>
      <c r="D30" s="282"/>
      <c r="E30" s="283"/>
      <c r="F30" s="288"/>
      <c r="G30" s="129"/>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-541</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7" sqref="K4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3893</v>
      </c>
      <c r="D1" s="1357" t="s">
        <v>43</v>
      </c>
      <c r="E1" s="1358" t="s">
        <v>678</v>
      </c>
      <c r="F1" s="1057">
        <f ca="1">J53</f>
        <v>45</v>
      </c>
      <c r="G1" s="1373">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0</v>
      </c>
      <c r="D5" s="1359" t="s">
        <v>693</v>
      </c>
      <c r="E5" s="1066"/>
      <c r="F5" s="1067"/>
      <c r="G5" s="1379"/>
      <c r="H5" s="297">
        <v>1</v>
      </c>
      <c r="I5" s="298" t="s">
        <v>692</v>
      </c>
      <c r="J5" s="1065">
        <f ca="1">J6+J10+J12</f>
        <v>0</v>
      </c>
      <c r="K5" s="1359" t="s">
        <v>693</v>
      </c>
      <c r="L5" s="1066"/>
      <c r="M5" s="1067"/>
    </row>
    <row r="6" spans="1:37" ht="18" customHeight="1">
      <c r="A6" s="1064" t="s">
        <v>398</v>
      </c>
      <c r="B6" s="4039" t="s">
        <v>694</v>
      </c>
      <c r="C6" s="1069">
        <f ca="1">ROUND(F6*F8*F7*(1-F9)/10000,0)</f>
        <v>0</v>
      </c>
      <c r="D6" s="153" t="s">
        <v>2109</v>
      </c>
      <c r="E6" s="300" t="s">
        <v>696</v>
      </c>
      <c r="F6" s="301">
        <f ca="1">INDIRECT("'数据-取费表'!u"&amp;$G$1)</f>
        <v>0</v>
      </c>
      <c r="G6" s="1379"/>
      <c r="H6" s="1064" t="s">
        <v>398</v>
      </c>
      <c r="I6" s="4039" t="s">
        <v>694</v>
      </c>
      <c r="J6" s="299">
        <f ca="1">ROUND(M6*M8*M7*(1-M9)/10000,0)</f>
        <v>0</v>
      </c>
      <c r="K6" s="153" t="s">
        <v>2108</v>
      </c>
      <c r="L6" s="300" t="s">
        <v>696</v>
      </c>
      <c r="M6" s="301">
        <f ca="1">INDIRECT("'数据-取费表'!z"&amp;$G$1)</f>
        <v>0</v>
      </c>
    </row>
    <row r="7" spans="1:37" ht="18" customHeight="1">
      <c r="A7" s="1068"/>
      <c r="B7" s="4040"/>
      <c r="C7" s="1070"/>
      <c r="D7" s="305"/>
      <c r="E7" s="3690" t="s">
        <v>697</v>
      </c>
      <c r="F7" s="301">
        <f ca="1">IF(INDIRECT("'数据-取费表'!ah"&amp;$G$1)="",INDIRECT("'数据-取费表'!k"&amp;$G$1),INDIRECT("'数据-取费表'!ah"&amp;$G$1))</f>
        <v>17825.759999999998</v>
      </c>
      <c r="G7" s="1379"/>
      <c r="H7" s="302"/>
      <c r="I7" s="4040"/>
      <c r="J7" s="304"/>
      <c r="K7" s="305"/>
      <c r="L7" s="300" t="s">
        <v>697</v>
      </c>
      <c r="M7" s="301">
        <f ca="1">F7</f>
        <v>17825.759999999998</v>
      </c>
    </row>
    <row r="8" spans="1:37" ht="18" customHeight="1">
      <c r="A8" s="302"/>
      <c r="B8" s="4040"/>
      <c r="C8" s="304"/>
      <c r="D8" s="305"/>
      <c r="E8" s="300" t="s">
        <v>698</v>
      </c>
      <c r="F8" s="301">
        <f ca="1">INDIRECT("'数据-取费表'!ai"&amp;$G$1)</f>
        <v>365</v>
      </c>
      <c r="G8" s="1379"/>
      <c r="H8" s="302"/>
      <c r="I8" s="4040"/>
      <c r="J8" s="304"/>
      <c r="K8" s="305"/>
      <c r="L8" s="300" t="s">
        <v>698</v>
      </c>
      <c r="M8" s="301">
        <f ca="1">INDIRECT("'数据-取费表'!ai"&amp;$G$1)</f>
        <v>365</v>
      </c>
    </row>
    <row r="9" spans="1:37" ht="18" customHeight="1">
      <c r="A9" s="302"/>
      <c r="B9" s="4041"/>
      <c r="C9" s="304"/>
      <c r="D9" s="305"/>
      <c r="E9" s="300" t="s">
        <v>699</v>
      </c>
      <c r="F9" s="310">
        <f ca="1">INDIRECT("'数据-取费表'!w"&amp;$G$1)</f>
        <v>0</v>
      </c>
      <c r="G9" s="1379"/>
      <c r="H9" s="302"/>
      <c r="I9" s="4041"/>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3751</v>
      </c>
      <c r="G10" s="1379"/>
      <c r="H10" s="1064" t="s">
        <v>402</v>
      </c>
      <c r="I10" s="1360" t="s">
        <v>700</v>
      </c>
      <c r="J10" s="299">
        <f ca="1">ROUND(IF(M10="押一",J6/12*M11,IF(M10="押二",J6/12*2*M11,IF(M10="押三",J6/12*3*M11,J11*M11))),0)</f>
        <v>0</v>
      </c>
      <c r="K10" s="1361" t="s">
        <v>2116</v>
      </c>
      <c r="L10" s="311" t="s">
        <v>701</v>
      </c>
      <c r="M10" s="1111" t="s">
        <v>3751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3687" t="s">
        <v>705</v>
      </c>
      <c r="E13" s="3687"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16043</v>
      </c>
      <c r="D14" s="3693" t="s">
        <v>708</v>
      </c>
      <c r="E14" s="3692"/>
      <c r="F14" s="317"/>
      <c r="G14" s="1379"/>
      <c r="H14" s="977" t="s">
        <v>398</v>
      </c>
      <c r="I14" s="300" t="s">
        <v>709</v>
      </c>
      <c r="J14" s="19">
        <f ca="1">C29</f>
        <v>24171</v>
      </c>
      <c r="K14" s="3689"/>
      <c r="L14" s="802"/>
      <c r="M14" s="803"/>
    </row>
    <row r="15" spans="1:37" s="1392" customFormat="1" ht="18" customHeight="1" thickBot="1">
      <c r="A15" s="977" t="s">
        <v>399</v>
      </c>
      <c r="B15" s="300" t="s">
        <v>710</v>
      </c>
      <c r="C15" s="19">
        <f ca="1">ROUND(C14*F15,0)</f>
        <v>802</v>
      </c>
      <c r="D15" s="3688" t="s">
        <v>711</v>
      </c>
      <c r="E15" s="3688"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247</v>
      </c>
      <c r="K16" s="1082" t="s">
        <v>715</v>
      </c>
      <c r="L16" s="3695"/>
      <c r="M16" s="1067"/>
    </row>
    <row r="17" spans="1:37" s="1392" customFormat="1" ht="18" customHeight="1">
      <c r="A17" s="977" t="s">
        <v>681</v>
      </c>
      <c r="B17" s="300" t="s">
        <v>716</v>
      </c>
      <c r="C17" s="19">
        <f ca="1">ROUND(F17*(F43+INDIRECT("'数据-取费表'!S"&amp;$G$1))/10000,0)</f>
        <v>357</v>
      </c>
      <c r="D17" s="300" t="s">
        <v>717</v>
      </c>
      <c r="E17" s="300" t="s">
        <v>718</v>
      </c>
      <c r="F17" s="21">
        <f>'数据-取费表'!B35</f>
        <v>200</v>
      </c>
      <c r="G17" s="1391"/>
      <c r="H17" s="977" t="s">
        <v>398</v>
      </c>
      <c r="I17" s="300" t="s">
        <v>719</v>
      </c>
      <c r="J17" s="2311">
        <f ca="1">ROUND(IF(AND(项目基本情况!B11="自然人",项目基本情况!B10="北京市"),J6*M17/(1+'数据-取费表'!C42),J18+J19+J20),2)</f>
        <v>5.46</v>
      </c>
      <c r="K17" s="3693" t="s">
        <v>720</v>
      </c>
      <c r="L17" s="369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241</v>
      </c>
      <c r="D18" s="300" t="s">
        <v>711</v>
      </c>
      <c r="E18" s="300" t="s">
        <v>712</v>
      </c>
      <c r="F18" s="320">
        <f>'数据-取费表'!B36</f>
        <v>1.4999999999999999E-2</v>
      </c>
      <c r="G18" s="1391"/>
      <c r="H18" s="977" t="s">
        <v>397</v>
      </c>
      <c r="I18" s="300" t="s">
        <v>723</v>
      </c>
      <c r="J18" s="19">
        <f ca="1">ROUND(J6*M18/(1+'数据-取费表'!C42),2)</f>
        <v>0</v>
      </c>
      <c r="K18" s="3694"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17443</v>
      </c>
      <c r="D19" s="129" t="s">
        <v>726</v>
      </c>
      <c r="E19" s="3697"/>
      <c r="F19" s="21"/>
      <c r="G19" s="1379"/>
      <c r="H19" s="977" t="s">
        <v>399</v>
      </c>
      <c r="I19" s="300" t="s">
        <v>727</v>
      </c>
      <c r="J19" s="19">
        <f ca="1">IF(K19="按租金收入计税",ROUND(J6*M19/(1+'数据-取费表'!C42),2),ROUND(C29*M19*0.7,2))</f>
        <v>0</v>
      </c>
      <c r="K19" s="1365" t="s">
        <v>3301</v>
      </c>
      <c r="L19" s="300" t="s">
        <v>712</v>
      </c>
      <c r="M19" s="320">
        <f>IF(K19="按租金收入计税",'数据-取费表'!B51,'数据-取费表'!B50)</f>
        <v>0.12</v>
      </c>
    </row>
    <row r="20" spans="1:37" s="1392" customFormat="1" ht="18" customHeight="1">
      <c r="A20" s="977" t="s">
        <v>402</v>
      </c>
      <c r="B20" s="300" t="s">
        <v>728</v>
      </c>
      <c r="C20" s="19">
        <f ca="1">ROUND(C19*F20,0)</f>
        <v>349</v>
      </c>
      <c r="D20" s="2423" t="s">
        <v>729</v>
      </c>
      <c r="E20" s="300" t="s">
        <v>712</v>
      </c>
      <c r="F20" s="320">
        <f>'数据-取费表'!B37</f>
        <v>0.02</v>
      </c>
      <c r="G20" s="1391"/>
      <c r="H20" s="977" t="s">
        <v>680</v>
      </c>
      <c r="I20" s="153" t="s">
        <v>730</v>
      </c>
      <c r="J20" s="20">
        <f ca="1">ROUND(M20*M21/10000,2)</f>
        <v>5.46</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2423" t="s">
        <v>734</v>
      </c>
      <c r="E21" s="300" t="s">
        <v>735</v>
      </c>
      <c r="F21" s="320">
        <f>'数据-取费表'!B38</f>
        <v>0.02</v>
      </c>
      <c r="G21" s="1391"/>
      <c r="H21" s="324"/>
      <c r="I21" s="309"/>
      <c r="J21" s="24"/>
      <c r="K21" s="325"/>
      <c r="L21" s="300" t="s">
        <v>736</v>
      </c>
      <c r="M21" s="301">
        <f ca="1">INDIRECT("'数据-取费表'!r"&amp;$G$1)</f>
        <v>1820.89</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697"/>
      <c r="F22" s="21"/>
      <c r="G22" s="1379"/>
      <c r="H22" s="977" t="s">
        <v>402</v>
      </c>
      <c r="I22" s="300" t="s">
        <v>738</v>
      </c>
      <c r="J22" s="19">
        <f ca="1">ROUND(J14*M22,2)</f>
        <v>241.71</v>
      </c>
      <c r="K22" s="3694"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928</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694"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1E-3</v>
      </c>
      <c r="D24" s="327" t="str">
        <f>IF(F23&lt;=1,"销售费用×利率×(建设周期÷2)","销售费用×((1+利率)^(建设周期÷2)-1)")</f>
        <v>销售费用×((1+利率)^(建设周期÷2)-1)</v>
      </c>
      <c r="E24" s="300" t="s">
        <v>747</v>
      </c>
      <c r="F24" s="329">
        <f ca="1">'数据-取费表'!B40</f>
        <v>3.4500000000000003E-2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697"/>
      <c r="F25" s="21"/>
      <c r="G25" s="1379"/>
      <c r="H25" s="1074" t="s">
        <v>394</v>
      </c>
      <c r="I25" s="1089" t="s">
        <v>752</v>
      </c>
      <c r="J25" s="308">
        <f ca="1">J5-J16</f>
        <v>-247</v>
      </c>
      <c r="K25" s="1090" t="s">
        <v>753</v>
      </c>
      <c r="L25" s="1091"/>
      <c r="M25" s="1092"/>
    </row>
    <row r="26" spans="1:37">
      <c r="A26" s="977" t="s">
        <v>397</v>
      </c>
      <c r="B26" s="300" t="s">
        <v>754</v>
      </c>
      <c r="C26" s="19">
        <f ca="1">ROUND((C19+C20)*F26,0)</f>
        <v>3558</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68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24171</v>
      </c>
      <c r="D29" s="1087"/>
      <c r="E29" s="1085"/>
      <c r="F29" s="1088"/>
      <c r="G29" s="1391"/>
      <c r="H29" s="332" t="s">
        <v>396</v>
      </c>
      <c r="I29" s="333" t="s">
        <v>768</v>
      </c>
      <c r="J29" s="334">
        <f ca="1">ROUND(J26/(1+F40)^F41,0)</f>
        <v>0</v>
      </c>
      <c r="K29" s="335" t="s">
        <v>769</v>
      </c>
      <c r="L29" s="336"/>
      <c r="M29" s="337">
        <f ca="1">INDIRECT("'数据-取费表'!k"&amp;$G$1)</f>
        <v>17825.759999999998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247</v>
      </c>
      <c r="D30" s="1082" t="s">
        <v>715</v>
      </c>
      <c r="E30" s="3695"/>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5.46</v>
      </c>
      <c r="D31" s="3693" t="s">
        <v>720</v>
      </c>
      <c r="E31" s="3694"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0</v>
      </c>
      <c r="D32" s="3694"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0</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5.46</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1820.89</v>
      </c>
      <c r="G35" s="1379"/>
      <c r="H35" s="2692"/>
      <c r="I35" s="1393"/>
      <c r="J35" s="1394"/>
      <c r="K35" s="2696"/>
      <c r="L35" s="2695"/>
      <c r="M35" s="2695"/>
    </row>
    <row r="36" spans="1:18" ht="18" customHeight="1">
      <c r="A36" s="1097" t="s">
        <v>402</v>
      </c>
      <c r="B36" s="300" t="s">
        <v>738</v>
      </c>
      <c r="C36" s="19">
        <f ca="1">ROUND(C29*F36,2)</f>
        <v>241.71</v>
      </c>
      <c r="D36" s="3694"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0</v>
      </c>
      <c r="D37" s="3694"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0</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-247</v>
      </c>
      <c r="D39" s="1090" t="s">
        <v>753</v>
      </c>
      <c r="E39" s="1091"/>
      <c r="F39" s="1092"/>
      <c r="G39" s="1379"/>
      <c r="H39" s="2695"/>
      <c r="I39" s="1393"/>
      <c r="J39" s="1394"/>
      <c r="K39" s="2699"/>
      <c r="L39" s="2695"/>
      <c r="M39" s="2695"/>
    </row>
    <row r="40" spans="1:18" ht="18" customHeight="1">
      <c r="A40" s="297" t="s">
        <v>395</v>
      </c>
      <c r="B40" s="298" t="s">
        <v>774</v>
      </c>
      <c r="C40" s="299">
        <f ca="1">ROUND(C39*(1-((1+F42)/(1+F40))^F41)/(F40-F42),0)</f>
        <v>-4087</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45</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f ca="1">ROUND(C40*10000/F43,0)</f>
        <v>-2293</v>
      </c>
      <c r="D43" s="335" t="s">
        <v>777</v>
      </c>
      <c r="E43" s="336" t="s">
        <v>778</v>
      </c>
      <c r="F43" s="337">
        <f ca="1">INDIRECT("'数据-取费表'!k"&amp;$G$1)</f>
        <v>17825.759999999998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3749</v>
      </c>
      <c r="K47" s="1411" t="s">
        <v>816</v>
      </c>
      <c r="L47" s="1412">
        <f ca="1">INDIRECT("'数据-取费表'!d"&amp;$G$1)</f>
        <v>70</v>
      </c>
      <c r="M47" s="1375" t="str">
        <f>IF(ISNUMBER(FIND("住宅",C1)),"住宅","非住宅")</f>
        <v>非住宅</v>
      </c>
      <c r="O47" s="1413" t="s">
        <v>403</v>
      </c>
      <c r="P47" s="1414" t="s">
        <v>817</v>
      </c>
      <c r="Q47" s="1415">
        <f ca="1">C40+J29</f>
        <v>-4087</v>
      </c>
      <c r="R47" s="1415" t="s">
        <v>818</v>
      </c>
    </row>
    <row r="48" spans="1:18" s="1379" customFormat="1" ht="28.5" thickBot="1">
      <c r="A48" s="1105" t="s">
        <v>438</v>
      </c>
      <c r="B48" s="298" t="s">
        <v>692</v>
      </c>
      <c r="C48" s="3696">
        <f ca="1">C49+C53+C55</f>
        <v>0</v>
      </c>
      <c r="D48" s="1107"/>
      <c r="E48" s="1108"/>
      <c r="F48" s="957"/>
      <c r="G48" s="720"/>
      <c r="H48" s="721"/>
      <c r="I48" s="1416" t="s">
        <v>819</v>
      </c>
      <c r="J48" s="1417" t="s">
        <v>3750</v>
      </c>
      <c r="K48" s="1418" t="s">
        <v>820</v>
      </c>
      <c r="L48" s="1419">
        <f ca="1">INDIRECT("'数据-取费表'!f"&amp;$G$1)</f>
        <v>50.7</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24171</v>
      </c>
      <c r="R49" s="1415" t="s">
        <v>818</v>
      </c>
    </row>
    <row r="50" spans="1:18" s="1379" customFormat="1" ht="13.5" thickBot="1">
      <c r="A50" s="971"/>
      <c r="B50" s="974"/>
      <c r="C50" s="1113"/>
      <c r="D50" s="948"/>
      <c r="E50" s="1051" t="s">
        <v>697</v>
      </c>
      <c r="F50" s="1052">
        <f ca="1">F7</f>
        <v>17825.759999999998</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45</v>
      </c>
      <c r="K51" s="1429" t="s">
        <v>830</v>
      </c>
      <c r="L51" s="1430">
        <f ca="1">ROUND(-PV(INDIRECT("'数据-取费表'!h"&amp;$G$1),J51,(C39-C13*C76),0),0)</f>
        <v>-4390</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45</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45</v>
      </c>
      <c r="K53" s="4042" t="s">
        <v>837</v>
      </c>
      <c r="L53" s="4043"/>
      <c r="O53" s="1413" t="s">
        <v>409</v>
      </c>
      <c r="P53" s="1414" t="s">
        <v>838</v>
      </c>
      <c r="Q53" s="1415">
        <f ca="1">Q47+Q48</f>
        <v>-4087</v>
      </c>
      <c r="R53" s="1415" t="s">
        <v>410</v>
      </c>
    </row>
    <row r="54" spans="1:18" s="1379" customFormat="1" ht="13.5" thickBot="1">
      <c r="A54" s="1148"/>
      <c r="B54" s="1362" t="s">
        <v>679</v>
      </c>
      <c r="C54" s="954"/>
      <c r="D54" s="1361"/>
      <c r="E54" s="3691"/>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3691"/>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0</v>
      </c>
      <c r="D56" s="1442"/>
      <c r="E56" s="1443"/>
      <c r="F56" s="1435"/>
      <c r="I56" s="1444" t="s">
        <v>842</v>
      </c>
      <c r="J56" s="1445" t="s">
        <v>3450</v>
      </c>
      <c r="K56" s="1416" t="s">
        <v>843</v>
      </c>
      <c r="L56" s="1419">
        <f ca="1">IF(L48&lt;J51,"——",L48-J53)</f>
        <v>5.7000000000000028</v>
      </c>
      <c r="O56" s="1413" t="s">
        <v>403</v>
      </c>
      <c r="P56" s="1414" t="s">
        <v>817</v>
      </c>
      <c r="Q56" s="1415">
        <f ca="1">C40+J29</f>
        <v>-4087</v>
      </c>
      <c r="R56" s="1415" t="s">
        <v>818</v>
      </c>
    </row>
    <row r="57" spans="1:18" s="1379" customFormat="1" ht="24.75" thickBot="1">
      <c r="A57" s="1446"/>
      <c r="B57" s="945" t="s">
        <v>767</v>
      </c>
      <c r="C57" s="236">
        <f ca="1">C29</f>
        <v>24171</v>
      </c>
      <c r="D57" s="1447"/>
      <c r="E57" s="1448"/>
      <c r="F57" s="1449"/>
      <c r="I57" s="1450" t="s">
        <v>844</v>
      </c>
      <c r="J57" s="1451" t="str">
        <f ca="1">IF(OR(M47="住宅",J51&lt;L48,J56="是"),"——",J51-L48)</f>
        <v>——</v>
      </c>
      <c r="K57" s="1416" t="s">
        <v>845</v>
      </c>
      <c r="L57" s="1419">
        <f ca="1">IF(L48&lt;J51,"——",IF(L55="比较法",L49,IF(L55="基准地价",L50,L51)))</f>
        <v>-4390</v>
      </c>
      <c r="O57" s="1413" t="s">
        <v>404</v>
      </c>
      <c r="P57" s="1414" t="s">
        <v>846</v>
      </c>
      <c r="Q57" s="1415" t="e">
        <f ca="1">L60</f>
        <v>#DIV/0!</v>
      </c>
      <c r="R57" s="1415" t="s">
        <v>847</v>
      </c>
    </row>
    <row r="58" spans="1:18" s="1379" customFormat="1" ht="24.75" thickBot="1">
      <c r="A58" s="313" t="s">
        <v>393</v>
      </c>
      <c r="B58" s="953" t="s">
        <v>714</v>
      </c>
      <c r="C58" s="314">
        <f ca="1">ROUND(C59+C64+C65+C66,0)</f>
        <v>247</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5</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3301</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730</v>
      </c>
      <c r="C62" s="20">
        <f ca="1">IF(项目基本情况!B11="自然人","——",ROUND(F62*F63/10000,2))</f>
        <v>5.46</v>
      </c>
      <c r="D62" s="960" t="s">
        <v>731</v>
      </c>
      <c r="E62" s="945" t="s">
        <v>732</v>
      </c>
      <c r="F62" s="323">
        <f t="shared" si="0"/>
        <v>30</v>
      </c>
      <c r="I62" s="1457" t="s">
        <v>858</v>
      </c>
      <c r="J62" s="1458" t="s">
        <v>859</v>
      </c>
      <c r="K62" s="1458" t="s">
        <v>860</v>
      </c>
      <c r="L62" s="1458" t="s">
        <v>861</v>
      </c>
      <c r="M62" s="1459" t="s">
        <v>862</v>
      </c>
      <c r="O62" s="1413" t="s">
        <v>409</v>
      </c>
      <c r="P62" s="1414" t="s">
        <v>838</v>
      </c>
      <c r="Q62" s="1415" t="e">
        <f ca="1">Q56+Q57</f>
        <v>#DIV/0!</v>
      </c>
      <c r="R62" s="1415" t="s">
        <v>410</v>
      </c>
    </row>
    <row r="63" spans="1:18" s="1379" customFormat="1" ht="13.5" thickBot="1">
      <c r="A63" s="324"/>
      <c r="B63" s="951"/>
      <c r="C63" s="24"/>
      <c r="D63" s="961"/>
      <c r="E63" s="945" t="s">
        <v>736</v>
      </c>
      <c r="F63" s="301">
        <f t="shared" ca="1" si="0"/>
        <v>1820.89</v>
      </c>
      <c r="I63" s="1457" t="s">
        <v>864</v>
      </c>
      <c r="J63" s="1458">
        <v>70</v>
      </c>
      <c r="K63" s="1458">
        <v>50</v>
      </c>
      <c r="L63" s="1458">
        <v>80</v>
      </c>
      <c r="M63" s="1460">
        <v>0.02</v>
      </c>
      <c r="O63" s="1398" t="s">
        <v>865</v>
      </c>
      <c r="P63" s="1376"/>
      <c r="Q63" s="1376"/>
      <c r="R63" s="1376"/>
    </row>
    <row r="64" spans="1:18" s="1379" customFormat="1" ht="13.5" thickBot="1">
      <c r="A64" s="977" t="s">
        <v>789</v>
      </c>
      <c r="B64" s="945" t="s">
        <v>738</v>
      </c>
      <c r="C64" s="19">
        <f ca="1">ROUND(C57*F64,2)</f>
        <v>241.71</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0</v>
      </c>
      <c r="D65" s="959" t="s">
        <v>743</v>
      </c>
      <c r="E65" s="945" t="s">
        <v>712</v>
      </c>
      <c r="F65" s="328">
        <f t="shared" ca="1" si="0"/>
        <v>1E-3</v>
      </c>
      <c r="I65" s="1457" t="s">
        <v>867</v>
      </c>
      <c r="J65" s="1458">
        <v>40</v>
      </c>
      <c r="K65" s="1458">
        <v>30</v>
      </c>
      <c r="L65" s="1458">
        <v>50</v>
      </c>
      <c r="M65" s="1460">
        <v>0.02</v>
      </c>
      <c r="O65" s="1413" t="s">
        <v>403</v>
      </c>
      <c r="P65" s="1414" t="s">
        <v>817</v>
      </c>
      <c r="Q65" s="1415">
        <f ca="1">C40+J29</f>
        <v>-4087</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t="e">
        <f ca="1">L60</f>
        <v>#DIV/0!</v>
      </c>
      <c r="R66" s="1415" t="s">
        <v>869</v>
      </c>
    </row>
    <row r="67" spans="1:18" s="1379" customFormat="1" ht="16.5" thickBot="1">
      <c r="A67" s="952" t="s">
        <v>394</v>
      </c>
      <c r="B67" s="962" t="s">
        <v>752</v>
      </c>
      <c r="C67" s="314">
        <f ca="1">C48-C58</f>
        <v>-247</v>
      </c>
      <c r="D67" s="958" t="s">
        <v>753</v>
      </c>
      <c r="E67" s="963"/>
      <c r="F67" s="964"/>
      <c r="O67" s="1423" t="s">
        <v>405</v>
      </c>
      <c r="P67" s="1414" t="s">
        <v>850</v>
      </c>
      <c r="Q67" s="1461">
        <f ca="1">L51</f>
        <v>-4390</v>
      </c>
      <c r="R67" s="1415" t="s">
        <v>870</v>
      </c>
    </row>
    <row r="68" spans="1:18" s="1379" customFormat="1" ht="16.5" thickBot="1">
      <c r="A68" s="942" t="s">
        <v>395</v>
      </c>
      <c r="B68" s="943" t="s">
        <v>774</v>
      </c>
      <c r="C68" s="299">
        <f ca="1">ROUND(C67*(1-((1+F70)/(1+F68))^F69)/(F68-F70),0)</f>
        <v>-4087</v>
      </c>
      <c r="D68" s="960" t="s">
        <v>758</v>
      </c>
      <c r="E68" s="945" t="s">
        <v>759</v>
      </c>
      <c r="F68" s="310">
        <f ca="1">F40</f>
        <v>5.5E-2</v>
      </c>
      <c r="O68" s="1423" t="s">
        <v>406</v>
      </c>
      <c r="P68" s="1462" t="s">
        <v>871</v>
      </c>
      <c r="Q68" s="1415">
        <f ca="1">ROUND(Q69-Q70*Q71,0)</f>
        <v>-247</v>
      </c>
      <c r="R68" s="1415" t="s">
        <v>414</v>
      </c>
    </row>
    <row r="69" spans="1:18" s="1379" customFormat="1" ht="13.5" thickBot="1">
      <c r="A69" s="946"/>
      <c r="B69" s="947"/>
      <c r="C69" s="304"/>
      <c r="D69" s="965" t="s">
        <v>762</v>
      </c>
      <c r="E69" s="945" t="s">
        <v>763</v>
      </c>
      <c r="F69" s="331">
        <f ca="1">F41</f>
        <v>45</v>
      </c>
      <c r="O69" s="1423" t="s">
        <v>411</v>
      </c>
      <c r="P69" s="1462" t="s">
        <v>872</v>
      </c>
      <c r="Q69" s="1415">
        <f ca="1">C39</f>
        <v>-247</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f ca="1">ROUND(C68*10000/F71,0)</f>
        <v>-2293</v>
      </c>
      <c r="D71" s="968" t="s">
        <v>777</v>
      </c>
      <c r="E71" s="969" t="s">
        <v>778</v>
      </c>
      <c r="F71" s="337">
        <f ca="1">F43</f>
        <v>17825.759999999998</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1</v>
      </c>
    </row>
    <row r="80" spans="1:18">
      <c r="B80" s="338" t="s">
        <v>800</v>
      </c>
      <c r="C80" s="272">
        <f ca="1">ROUND(C75/C39,3)</f>
        <v>0</v>
      </c>
    </row>
    <row r="81" spans="2:3">
      <c r="B81" s="268" t="s">
        <v>801</v>
      </c>
      <c r="C81" s="236"/>
    </row>
    <row r="82" spans="2:3">
      <c r="B82" s="271" t="s">
        <v>802</v>
      </c>
      <c r="C82" s="273">
        <f ca="1">1-C83</f>
        <v>1</v>
      </c>
    </row>
    <row r="83" spans="2:3">
      <c r="B83" s="271" t="s">
        <v>803</v>
      </c>
      <c r="C83" s="272">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M41" sqref="M4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673</v>
      </c>
      <c r="D1" s="1357" t="s">
        <v>43</v>
      </c>
      <c r="E1" s="1358" t="s">
        <v>678</v>
      </c>
      <c r="F1" s="1057">
        <f ca="1">J53</f>
        <v>20.68</v>
      </c>
      <c r="G1" s="1373">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38611</v>
      </c>
      <c r="C2" s="1382" t="s">
        <v>805</v>
      </c>
      <c r="D2" s="1382"/>
      <c r="E2" s="1383"/>
      <c r="F2" s="1384"/>
      <c r="G2" s="2701"/>
      <c r="H2" s="2690"/>
      <c r="I2" s="2690"/>
      <c r="J2" s="2690"/>
      <c r="K2" s="2691"/>
      <c r="L2" s="2690"/>
      <c r="M2" s="2690"/>
    </row>
    <row r="3" spans="1:37" ht="18" customHeight="1" thickBot="1">
      <c r="A3" s="1385" t="s">
        <v>806</v>
      </c>
      <c r="B3" s="1386">
        <f ca="1">IF(ISERROR(B2*10000/F43),0,ROUND(B2*10000/F43,0))</f>
        <v>14810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3430</v>
      </c>
      <c r="D5" s="1359" t="s">
        <v>693</v>
      </c>
      <c r="E5" s="1066"/>
      <c r="F5" s="1067"/>
      <c r="G5" s="1379"/>
      <c r="H5" s="297">
        <v>1</v>
      </c>
      <c r="I5" s="298" t="s">
        <v>692</v>
      </c>
      <c r="J5" s="1065">
        <f ca="1">J6+J10+J12</f>
        <v>0</v>
      </c>
      <c r="K5" s="1359" t="s">
        <v>693</v>
      </c>
      <c r="L5" s="1066"/>
      <c r="M5" s="1067"/>
    </row>
    <row r="6" spans="1:37" ht="18" customHeight="1">
      <c r="A6" s="1064" t="s">
        <v>398</v>
      </c>
      <c r="B6" s="4039" t="s">
        <v>694</v>
      </c>
      <c r="C6" s="1069">
        <f ca="1">ROUND(F6*F8*F7*(1-F9)/10000,0)</f>
        <v>3426</v>
      </c>
      <c r="D6" s="153" t="s">
        <v>2109</v>
      </c>
      <c r="E6" s="300" t="s">
        <v>696</v>
      </c>
      <c r="F6" s="301">
        <f ca="1">INDIRECT("'数据-取费表'!u"&amp;$G$1)</f>
        <v>4</v>
      </c>
      <c r="G6" s="1379"/>
      <c r="H6" s="1064" t="s">
        <v>398</v>
      </c>
      <c r="I6" s="4039" t="s">
        <v>694</v>
      </c>
      <c r="J6" s="299">
        <f ca="1">ROUND(M6*M8*M7*(1-M9)/10000,0)</f>
        <v>0</v>
      </c>
      <c r="K6" s="153" t="s">
        <v>2108</v>
      </c>
      <c r="L6" s="300" t="s">
        <v>696</v>
      </c>
      <c r="M6" s="301">
        <f ca="1">INDIRECT("'数据-取费表'!z"&amp;$G$1)</f>
        <v>0</v>
      </c>
    </row>
    <row r="7" spans="1:37" ht="18" customHeight="1">
      <c r="A7" s="1068"/>
      <c r="B7" s="4040"/>
      <c r="C7" s="1070"/>
      <c r="D7" s="305"/>
      <c r="E7" s="1071" t="s">
        <v>697</v>
      </c>
      <c r="F7" s="301">
        <f ca="1">IF(INDIRECT("'数据-取费表'!ah"&amp;$G$1)="",INDIRECT("'数据-取费表'!k"&amp;$G$1),INDIRECT("'数据-取费表'!ah"&amp;$G$1))</f>
        <v>26071.17</v>
      </c>
      <c r="G7" s="1379"/>
      <c r="H7" s="302"/>
      <c r="I7" s="4040"/>
      <c r="J7" s="304"/>
      <c r="K7" s="305"/>
      <c r="L7" s="300" t="s">
        <v>697</v>
      </c>
      <c r="M7" s="301">
        <f ca="1">F7</f>
        <v>26071.17</v>
      </c>
    </row>
    <row r="8" spans="1:37" ht="18" customHeight="1">
      <c r="A8" s="302"/>
      <c r="B8" s="4040"/>
      <c r="C8" s="304"/>
      <c r="D8" s="305"/>
      <c r="E8" s="300" t="s">
        <v>698</v>
      </c>
      <c r="F8" s="301">
        <f ca="1">INDIRECT("'数据-取费表'!ai"&amp;$G$1)</f>
        <v>365</v>
      </c>
      <c r="G8" s="1379"/>
      <c r="H8" s="302"/>
      <c r="I8" s="4040"/>
      <c r="J8" s="304"/>
      <c r="K8" s="305"/>
      <c r="L8" s="300" t="s">
        <v>698</v>
      </c>
      <c r="M8" s="301">
        <f ca="1">INDIRECT("'数据-取费表'!ai"&amp;$G$1)</f>
        <v>365</v>
      </c>
    </row>
    <row r="9" spans="1:37" ht="18" customHeight="1">
      <c r="A9" s="302"/>
      <c r="B9" s="4041"/>
      <c r="C9" s="304"/>
      <c r="D9" s="305"/>
      <c r="E9" s="300" t="s">
        <v>699</v>
      </c>
      <c r="F9" s="310">
        <f ca="1">INDIRECT("'数据-取费表'!w"&amp;$G$1)</f>
        <v>0.1</v>
      </c>
      <c r="G9" s="1379"/>
      <c r="H9" s="302"/>
      <c r="I9" s="4041"/>
      <c r="J9" s="304"/>
      <c r="K9" s="305"/>
      <c r="L9" s="311" t="s">
        <v>699</v>
      </c>
      <c r="M9" s="312">
        <f ca="1">INDIRECT("'数据-取费表'!ab"&amp;$G$1)</f>
        <v>0</v>
      </c>
    </row>
    <row r="10" spans="1:37" ht="18" customHeight="1">
      <c r="A10" s="1064" t="s">
        <v>402</v>
      </c>
      <c r="B10" s="1360" t="s">
        <v>700</v>
      </c>
      <c r="C10" s="314">
        <f ca="1">ROUND(IF(F10="押一",C6/12*F11,IF(F10="押二",C6/12*2*F11,IF(F10="押三",C6/12*3*F11,C11*F11))),0)</f>
        <v>4</v>
      </c>
      <c r="D10" s="1361" t="s">
        <v>2117</v>
      </c>
      <c r="E10" s="311" t="s">
        <v>701</v>
      </c>
      <c r="F10" s="1111" t="s">
        <v>3751</v>
      </c>
      <c r="G10" s="1379"/>
      <c r="H10" s="1064" t="s">
        <v>402</v>
      </c>
      <c r="I10" s="1360" t="s">
        <v>700</v>
      </c>
      <c r="J10" s="299">
        <f ca="1">ROUND(IF(M10="押一",J6/12*M11,IF(M10="押二",J6/12*2*M11,IF(M10="押三",J6/12*3*M11,J11*M11))),0)</f>
        <v>0</v>
      </c>
      <c r="K10" s="1361" t="s">
        <v>2116</v>
      </c>
      <c r="L10" s="311" t="s">
        <v>701</v>
      </c>
      <c r="M10" s="1111" t="s">
        <v>3751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16412</v>
      </c>
      <c r="D13" s="1076" t="s">
        <v>705</v>
      </c>
      <c r="E13" s="1076"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14339</v>
      </c>
      <c r="D14" s="1340" t="s">
        <v>708</v>
      </c>
      <c r="E14" s="1337"/>
      <c r="F14" s="317"/>
      <c r="G14" s="1379"/>
      <c r="H14" s="977" t="s">
        <v>398</v>
      </c>
      <c r="I14" s="300" t="s">
        <v>709</v>
      </c>
      <c r="J14" s="19">
        <f ca="1">C29</f>
        <v>21883</v>
      </c>
      <c r="K14" s="11"/>
      <c r="L14" s="802"/>
      <c r="M14" s="803"/>
    </row>
    <row r="15" spans="1:37" s="1392" customFormat="1" ht="18" customHeight="1" thickBot="1">
      <c r="A15" s="977" t="s">
        <v>399</v>
      </c>
      <c r="B15" s="300" t="s">
        <v>710</v>
      </c>
      <c r="C15" s="19">
        <f ca="1">ROUND(C14*F15,0)</f>
        <v>717</v>
      </c>
      <c r="D15" s="318" t="s">
        <v>711</v>
      </c>
      <c r="E15" s="318"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227</v>
      </c>
      <c r="K16" s="1082" t="s">
        <v>715</v>
      </c>
      <c r="L16" s="1083"/>
      <c r="M16" s="1067"/>
    </row>
    <row r="17" spans="1:37" s="1392" customFormat="1" ht="18" customHeight="1">
      <c r="A17" s="977" t="s">
        <v>681</v>
      </c>
      <c r="B17" s="300" t="s">
        <v>716</v>
      </c>
      <c r="C17" s="19">
        <f ca="1">ROUND(F17*(F43+INDIRECT("'数据-取费表'!S"&amp;$G$1))/10000,0)</f>
        <v>521</v>
      </c>
      <c r="D17" s="300" t="s">
        <v>717</v>
      </c>
      <c r="E17" s="300" t="s">
        <v>718</v>
      </c>
      <c r="F17" s="21">
        <f>'数据-取费表'!B35</f>
        <v>200</v>
      </c>
      <c r="G17" s="1391"/>
      <c r="H17" s="977" t="s">
        <v>398</v>
      </c>
      <c r="I17" s="300" t="s">
        <v>719</v>
      </c>
      <c r="J17" s="2311">
        <f ca="1">ROUND(IF(AND(项目基本情况!B11="自然人",项目基本情况!B10="北京市"),J6*M17/(1+'数据-取费表'!C42),J18+J19+J20),2)</f>
        <v>7.99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215</v>
      </c>
      <c r="D18" s="300" t="s">
        <v>711</v>
      </c>
      <c r="E18" s="300" t="s">
        <v>712</v>
      </c>
      <c r="F18" s="320">
        <f>'数据-取费表'!B36</f>
        <v>1.4999999999999999E-2</v>
      </c>
      <c r="G18" s="1391"/>
      <c r="H18" s="977" t="s">
        <v>397</v>
      </c>
      <c r="I18" s="300" t="s">
        <v>723</v>
      </c>
      <c r="J18" s="19">
        <f ca="1">ROUND(J6*M18/(1+'数据-取费表'!C42),2)</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15792</v>
      </c>
      <c r="D19" s="129" t="s">
        <v>726</v>
      </c>
      <c r="E19" s="1355"/>
      <c r="F19" s="21"/>
      <c r="G19" s="1379"/>
      <c r="H19" s="977" t="s">
        <v>399</v>
      </c>
      <c r="I19" s="300" t="s">
        <v>727</v>
      </c>
      <c r="J19" s="19">
        <f ca="1">IF(K19="按租金收入计税",ROUND(J6*M19/(1+'数据-取费表'!C42),2),ROUND(C29*M19*0.7,2))</f>
        <v>0</v>
      </c>
      <c r="K19" s="1365" t="s">
        <v>3301</v>
      </c>
      <c r="L19" s="300" t="s">
        <v>712</v>
      </c>
      <c r="M19" s="320">
        <f>IF(K19="按租金收入计税",'数据-取费表'!B51,'数据-取费表'!B50)</f>
        <v>0.12</v>
      </c>
    </row>
    <row r="20" spans="1:37" s="1392" customFormat="1" ht="18" customHeight="1">
      <c r="A20" s="977" t="s">
        <v>402</v>
      </c>
      <c r="B20" s="300" t="s">
        <v>728</v>
      </c>
      <c r="C20" s="19">
        <f ca="1">ROUND(C19*F20,0)</f>
        <v>316</v>
      </c>
      <c r="D20" s="321" t="s">
        <v>729</v>
      </c>
      <c r="E20" s="300" t="s">
        <v>712</v>
      </c>
      <c r="F20" s="320">
        <f>'数据-取费表'!B37</f>
        <v>0.02</v>
      </c>
      <c r="G20" s="1391"/>
      <c r="H20" s="977" t="s">
        <v>680</v>
      </c>
      <c r="I20" s="153" t="s">
        <v>730</v>
      </c>
      <c r="J20" s="20">
        <f ca="1">ROUND(M20*M21/10000,2)</f>
        <v>7.99</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321" t="s">
        <v>734</v>
      </c>
      <c r="E21" s="300" t="s">
        <v>735</v>
      </c>
      <c r="F21" s="320">
        <f>'数据-取费表'!B38</f>
        <v>0.02</v>
      </c>
      <c r="G21" s="1391"/>
      <c r="H21" s="324"/>
      <c r="I21" s="309"/>
      <c r="J21" s="24"/>
      <c r="K21" s="325"/>
      <c r="L21" s="300" t="s">
        <v>736</v>
      </c>
      <c r="M21" s="301">
        <f ca="1">INDIRECT("'数据-取费表'!r"&amp;$G$1)</f>
        <v>2663.16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ROUND(J14*M22,2)</f>
        <v>218.83</v>
      </c>
      <c r="K22" s="133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840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1339"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1E-3</v>
      </c>
      <c r="D24" s="327" t="str">
        <f>IF(F23&lt;=1,"销售费用×利率×(建设周期÷2)","销售费用×((1+利率)^(建设周期÷2)-1)")</f>
        <v>销售费用×((1+利率)^(建设周期÷2)-1)</v>
      </c>
      <c r="E24" s="300" t="s">
        <v>747</v>
      </c>
      <c r="F24" s="329">
        <f ca="1">'数据-取费表'!B40</f>
        <v>3.4500000000000003E-2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1355"/>
      <c r="F25" s="21"/>
      <c r="G25" s="1379"/>
      <c r="H25" s="1074" t="s">
        <v>394</v>
      </c>
      <c r="I25" s="1089" t="s">
        <v>752</v>
      </c>
      <c r="J25" s="308">
        <f ca="1">J5-J16</f>
        <v>-227</v>
      </c>
      <c r="K25" s="1090" t="s">
        <v>753</v>
      </c>
      <c r="L25" s="1091"/>
      <c r="M25" s="1092"/>
    </row>
    <row r="26" spans="1:37">
      <c r="A26" s="977" t="s">
        <v>397</v>
      </c>
      <c r="B26" s="300" t="s">
        <v>754</v>
      </c>
      <c r="C26" s="19">
        <f ca="1">ROUND((C19+C20)*F26,0)</f>
        <v>3222</v>
      </c>
      <c r="D26" s="321"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21883</v>
      </c>
      <c r="D29" s="1087"/>
      <c r="E29" s="1085"/>
      <c r="F29" s="1088"/>
      <c r="G29" s="1391"/>
      <c r="H29" s="332" t="s">
        <v>396</v>
      </c>
      <c r="I29" s="333" t="s">
        <v>768</v>
      </c>
      <c r="J29" s="334">
        <f ca="1">ROUND(J26/(1+F40)^F41,0)</f>
        <v>0</v>
      </c>
      <c r="K29" s="335" t="s">
        <v>769</v>
      </c>
      <c r="L29" s="336"/>
      <c r="M29" s="337">
        <f ca="1">INDIRECT("'数据-取费表'!k"&amp;$G$1)</f>
        <v>26071.17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852</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582.25</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182.72</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391.54</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7.99</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2663.16</v>
      </c>
      <c r="G35" s="1379"/>
      <c r="H35" s="2692"/>
      <c r="I35" s="1393"/>
      <c r="J35" s="1394"/>
      <c r="K35" s="2696"/>
      <c r="L35" s="2695"/>
      <c r="M35" s="2695"/>
    </row>
    <row r="36" spans="1:18" ht="18" customHeight="1">
      <c r="A36" s="1097" t="s">
        <v>402</v>
      </c>
      <c r="B36" s="300" t="s">
        <v>738</v>
      </c>
      <c r="C36" s="19">
        <f ca="1">ROUND(C29*F36,2)</f>
        <v>218.83</v>
      </c>
      <c r="D36" s="133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16.41</v>
      </c>
      <c r="D37" s="1339"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34.299999999999997</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772</v>
      </c>
      <c r="C39" s="308">
        <f ca="1">C5-C30</f>
        <v>2578</v>
      </c>
      <c r="D39" s="1090" t="s">
        <v>773</v>
      </c>
      <c r="E39" s="1091"/>
      <c r="F39" s="1092"/>
      <c r="G39" s="1379"/>
      <c r="H39" s="2695"/>
      <c r="I39" s="1393">
        <f ca="1">C39/C5</f>
        <v>0.75160349854227404</v>
      </c>
      <c r="J39" s="1394"/>
      <c r="K39" s="2699"/>
      <c r="L39" s="2695"/>
      <c r="M39" s="2695"/>
    </row>
    <row r="40" spans="1:18" ht="18" customHeight="1">
      <c r="A40" s="297" t="s">
        <v>395</v>
      </c>
      <c r="B40" s="298" t="s">
        <v>774</v>
      </c>
      <c r="C40" s="299">
        <f ca="1">ROUND(C39*(1-((1+F42)/(1+F40))^F41)/(F40-F42),0)</f>
        <v>38611</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20.68</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14810</v>
      </c>
      <c r="D43" s="335" t="s">
        <v>777</v>
      </c>
      <c r="E43" s="336" t="s">
        <v>778</v>
      </c>
      <c r="F43" s="337">
        <f ca="1">INDIRECT("'数据-取费表'!k"&amp;$G$1)</f>
        <v>26071.17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-41569</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3749</v>
      </c>
      <c r="K47" s="1411" t="s">
        <v>816</v>
      </c>
      <c r="L47" s="1412">
        <f ca="1">INDIRECT("'数据-取费表'!d"&amp;$G$1)</f>
        <v>40</v>
      </c>
      <c r="M47" s="1375" t="str">
        <f>IF(ISNUMBER(FIND("住宅",C1)),"住宅","非住宅")</f>
        <v>非住宅</v>
      </c>
      <c r="O47" s="1413" t="s">
        <v>403</v>
      </c>
      <c r="P47" s="1414" t="s">
        <v>817</v>
      </c>
      <c r="Q47" s="1415">
        <f ca="1">C40+J29</f>
        <v>38611</v>
      </c>
      <c r="R47" s="1415" t="s">
        <v>818</v>
      </c>
    </row>
    <row r="48" spans="1:18" s="1379" customFormat="1" ht="28.5" thickBot="1">
      <c r="A48" s="1105" t="s">
        <v>438</v>
      </c>
      <c r="B48" s="298" t="s">
        <v>692</v>
      </c>
      <c r="C48" s="1354">
        <f ca="1">C49+C53+C55</f>
        <v>0</v>
      </c>
      <c r="D48" s="1107"/>
      <c r="E48" s="1108"/>
      <c r="F48" s="957"/>
      <c r="G48" s="720"/>
      <c r="H48" s="721"/>
      <c r="I48" s="1416" t="s">
        <v>819</v>
      </c>
      <c r="J48" s="1417" t="s">
        <v>3750</v>
      </c>
      <c r="K48" s="1418" t="s">
        <v>820</v>
      </c>
      <c r="L48" s="1419">
        <f ca="1">INDIRECT("'数据-取费表'!f"&amp;$G$1)</f>
        <v>20.68</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21883</v>
      </c>
      <c r="R49" s="1415" t="s">
        <v>818</v>
      </c>
    </row>
    <row r="50" spans="1:18" s="1379" customFormat="1" ht="13.5" thickBot="1">
      <c r="A50" s="971"/>
      <c r="B50" s="974"/>
      <c r="C50" s="1113"/>
      <c r="D50" s="948"/>
      <c r="E50" s="1051" t="s">
        <v>697</v>
      </c>
      <c r="F50" s="1052">
        <f ca="1">F7</f>
        <v>26071.17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45</v>
      </c>
      <c r="K51" s="1429" t="s">
        <v>830</v>
      </c>
      <c r="L51" s="1430">
        <f ca="1">ROUND(-PV(INDIRECT("'数据-取费表'!h"&amp;$G$1),J51,(C39-C13*C76),0),0)</f>
        <v>23943</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20.68</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20.68</v>
      </c>
      <c r="K53" s="4042" t="s">
        <v>837</v>
      </c>
      <c r="L53" s="4043"/>
      <c r="O53" s="1413" t="s">
        <v>409</v>
      </c>
      <c r="P53" s="1414" t="s">
        <v>838</v>
      </c>
      <c r="Q53" s="1415">
        <f ca="1">Q47+Q48</f>
        <v>38611</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16412</v>
      </c>
      <c r="D56" s="1442"/>
      <c r="E56" s="1443"/>
      <c r="F56" s="1435"/>
      <c r="I56" s="1444" t="s">
        <v>842</v>
      </c>
      <c r="J56" s="1445" t="s">
        <v>3450</v>
      </c>
      <c r="K56" s="1416" t="s">
        <v>843</v>
      </c>
      <c r="L56" s="1419" t="str">
        <f ca="1">IF(L48&lt;J51,"——",L48-J53)</f>
        <v>——</v>
      </c>
      <c r="O56" s="1413" t="s">
        <v>403</v>
      </c>
      <c r="P56" s="1414" t="s">
        <v>817</v>
      </c>
      <c r="Q56" s="1415">
        <f ca="1">C40+J29</f>
        <v>38611</v>
      </c>
      <c r="R56" s="1415" t="s">
        <v>818</v>
      </c>
    </row>
    <row r="57" spans="1:18" s="1379" customFormat="1" ht="24.75" thickBot="1">
      <c r="A57" s="1446"/>
      <c r="B57" s="945" t="s">
        <v>767</v>
      </c>
      <c r="C57" s="236">
        <f ca="1">C29</f>
        <v>21883</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243</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8</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3301</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7.99</v>
      </c>
      <c r="D62" s="960" t="s">
        <v>786</v>
      </c>
      <c r="E62" s="945" t="s">
        <v>787</v>
      </c>
      <c r="F62" s="323">
        <f t="shared" si="0"/>
        <v>30</v>
      </c>
      <c r="I62" s="1457" t="s">
        <v>858</v>
      </c>
      <c r="J62" s="1458" t="s">
        <v>859</v>
      </c>
      <c r="K62" s="1458" t="s">
        <v>860</v>
      </c>
      <c r="L62" s="1458" t="s">
        <v>861</v>
      </c>
      <c r="M62" s="1459" t="s">
        <v>862</v>
      </c>
      <c r="O62" s="1413" t="s">
        <v>409</v>
      </c>
      <c r="P62" s="1414" t="s">
        <v>863</v>
      </c>
      <c r="Q62" s="1415">
        <f ca="1">Q56+Q57</f>
        <v>38611</v>
      </c>
      <c r="R62" s="1415" t="s">
        <v>410</v>
      </c>
    </row>
    <row r="63" spans="1:18" s="1379" customFormat="1" ht="13.5" thickBot="1">
      <c r="A63" s="324"/>
      <c r="B63" s="951"/>
      <c r="C63" s="24"/>
      <c r="D63" s="961"/>
      <c r="E63" s="945" t="s">
        <v>788</v>
      </c>
      <c r="F63" s="301">
        <f t="shared" ca="1" si="0"/>
        <v>2663.16</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ROUND(C57*F64,2)</f>
        <v>218.83</v>
      </c>
      <c r="D64" s="959" t="s">
        <v>791</v>
      </c>
      <c r="E64" s="945" t="s">
        <v>783</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16.41</v>
      </c>
      <c r="D65" s="959" t="s">
        <v>743</v>
      </c>
      <c r="E65" s="945" t="s">
        <v>744</v>
      </c>
      <c r="F65" s="328">
        <f t="shared" ca="1" si="0"/>
        <v>1E-3</v>
      </c>
      <c r="I65" s="1457" t="s">
        <v>867</v>
      </c>
      <c r="J65" s="1458">
        <v>40</v>
      </c>
      <c r="K65" s="1458">
        <v>30</v>
      </c>
      <c r="L65" s="1458">
        <v>50</v>
      </c>
      <c r="M65" s="1460">
        <v>0.02</v>
      </c>
      <c r="O65" s="1413" t="s">
        <v>403</v>
      </c>
      <c r="P65" s="1414" t="s">
        <v>868</v>
      </c>
      <c r="Q65" s="1415">
        <f ca="1">C40+J29</f>
        <v>38611</v>
      </c>
      <c r="R65" s="1415" t="s">
        <v>818</v>
      </c>
    </row>
    <row r="66" spans="1:18" s="1379" customFormat="1" ht="16.5" thickBot="1">
      <c r="A66" s="977" t="s">
        <v>793</v>
      </c>
      <c r="B66" s="945" t="s">
        <v>728</v>
      </c>
      <c r="C66" s="19">
        <f ca="1">ROUND(C48*F66,2)</f>
        <v>0</v>
      </c>
      <c r="D66" s="959" t="s">
        <v>794</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-243</v>
      </c>
      <c r="D67" s="958" t="s">
        <v>753</v>
      </c>
      <c r="E67" s="963"/>
      <c r="F67" s="964"/>
      <c r="O67" s="1423" t="s">
        <v>405</v>
      </c>
      <c r="P67" s="1414" t="s">
        <v>850</v>
      </c>
      <c r="Q67" s="1461">
        <f ca="1">L51</f>
        <v>23943</v>
      </c>
      <c r="R67" s="1415" t="s">
        <v>870</v>
      </c>
    </row>
    <row r="68" spans="1:18" s="1379" customFormat="1" ht="16.5" thickBot="1">
      <c r="A68" s="942" t="s">
        <v>395</v>
      </c>
      <c r="B68" s="943" t="s">
        <v>774</v>
      </c>
      <c r="C68" s="299">
        <f ca="1">ROUND(C67*(1-((1+F70)/(1+F68))^F69)/(F68-F70),0)</f>
        <v>-2958</v>
      </c>
      <c r="D68" s="960" t="s">
        <v>758</v>
      </c>
      <c r="E68" s="945" t="s">
        <v>759</v>
      </c>
      <c r="F68" s="310">
        <f ca="1">F40</f>
        <v>5.5E-2</v>
      </c>
      <c r="O68" s="1423" t="s">
        <v>406</v>
      </c>
      <c r="P68" s="1462" t="s">
        <v>871</v>
      </c>
      <c r="Q68" s="1415">
        <f ca="1">ROUND(Q69-Q70*Q71,0)</f>
        <v>1347</v>
      </c>
      <c r="R68" s="1415" t="s">
        <v>414</v>
      </c>
    </row>
    <row r="69" spans="1:18" s="1379" customFormat="1" ht="13.5" thickBot="1">
      <c r="A69" s="946"/>
      <c r="B69" s="947"/>
      <c r="C69" s="304"/>
      <c r="D69" s="965" t="s">
        <v>762</v>
      </c>
      <c r="E69" s="945" t="s">
        <v>763</v>
      </c>
      <c r="F69" s="331">
        <f ca="1">F41</f>
        <v>20.68</v>
      </c>
      <c r="O69" s="1423" t="s">
        <v>411</v>
      </c>
      <c r="P69" s="1462" t="s">
        <v>872</v>
      </c>
      <c r="Q69" s="1415">
        <f ca="1">C39</f>
        <v>2578</v>
      </c>
      <c r="R69" s="1415" t="s">
        <v>818</v>
      </c>
    </row>
    <row r="70" spans="1:18" s="1379" customFormat="1" ht="13.5" thickBot="1">
      <c r="A70" s="949"/>
      <c r="B70" s="950"/>
      <c r="C70" s="308"/>
      <c r="D70" s="961"/>
      <c r="E70" s="945" t="s">
        <v>766</v>
      </c>
      <c r="F70" s="1049"/>
      <c r="O70" s="1423" t="s">
        <v>412</v>
      </c>
      <c r="P70" s="1462" t="s">
        <v>873</v>
      </c>
      <c r="Q70" s="1415">
        <f ca="1">C13</f>
        <v>16412</v>
      </c>
      <c r="R70" s="1415" t="s">
        <v>818</v>
      </c>
    </row>
    <row r="71" spans="1:18" s="1379" customFormat="1" ht="13.5" thickBot="1">
      <c r="A71" s="966" t="s">
        <v>396</v>
      </c>
      <c r="B71" s="967" t="s">
        <v>776</v>
      </c>
      <c r="C71" s="334">
        <f ca="1">ROUND(C68*10000/F71,0)</f>
        <v>-1135</v>
      </c>
      <c r="D71" s="968" t="s">
        <v>777</v>
      </c>
      <c r="E71" s="969" t="s">
        <v>778</v>
      </c>
      <c r="F71" s="337">
        <f ca="1">F43</f>
        <v>26071.17</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1231</v>
      </c>
      <c r="D75" s="1379"/>
      <c r="E75" s="1379"/>
      <c r="F75" s="1379"/>
      <c r="K75" s="1397"/>
      <c r="L75" s="1379"/>
      <c r="O75" s="1413" t="s">
        <v>409</v>
      </c>
      <c r="P75" s="1414" t="s">
        <v>838</v>
      </c>
      <c r="Q75" s="1415">
        <f ca="1">Q65+Q66</f>
        <v>38611</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0.52200000000000002</v>
      </c>
    </row>
    <row r="80" spans="1:18">
      <c r="B80" s="338" t="s">
        <v>800</v>
      </c>
      <c r="C80" s="272">
        <f ca="1">ROUND(C75/C39,3)</f>
        <v>0.47799999999999998</v>
      </c>
    </row>
    <row r="81" spans="2:3">
      <c r="B81" s="268" t="s">
        <v>801</v>
      </c>
      <c r="C81" s="236"/>
    </row>
    <row r="82" spans="2:3">
      <c r="B82" s="271" t="s">
        <v>802</v>
      </c>
      <c r="C82" s="273">
        <f ca="1">1-C83</f>
        <v>0.57499999999999996</v>
      </c>
    </row>
    <row r="83" spans="2:3">
      <c r="B83" s="271" t="s">
        <v>803</v>
      </c>
      <c r="C83" s="272">
        <f ca="1">ROUND(C13/C40,3)</f>
        <v>0.42499999999999999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c r="D1" s="1357" t="s">
        <v>43</v>
      </c>
      <c r="E1" s="1358" t="s">
        <v>678</v>
      </c>
      <c r="F1" s="1057">
        <f ca="1">J53</f>
        <v>0</v>
      </c>
      <c r="G1" s="1373">
        <f>MATCH(C1,'数据-取费表'!A6:A16,0)+5</f>
        <v>10</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350" t="e">
        <f ca="1">ROUND(D2/10000,4)</f>
        <v>#DIV/0!</v>
      </c>
      <c r="C2" s="1382" t="s">
        <v>879</v>
      </c>
      <c r="D2" s="1466" t="e">
        <f ca="1">C40+J29+L46</f>
        <v>#DIV/0!</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1" t="s">
        <v>876</v>
      </c>
      <c r="I3" s="1377"/>
      <c r="J3" s="1377"/>
      <c r="K3" s="1378"/>
      <c r="L3" s="1377"/>
      <c r="M3" s="1377"/>
    </row>
    <row r="4" spans="1:37" ht="18" customHeight="1">
      <c r="A4" s="293" t="s">
        <v>883</v>
      </c>
      <c r="B4" s="294" t="s">
        <v>884</v>
      </c>
      <c r="C4" s="294" t="s">
        <v>885</v>
      </c>
      <c r="D4" s="294" t="s">
        <v>886</v>
      </c>
      <c r="E4" s="295" t="s">
        <v>887</v>
      </c>
      <c r="F4" s="296"/>
      <c r="G4" s="1379"/>
      <c r="H4" s="293" t="s">
        <v>883</v>
      </c>
      <c r="I4" s="294" t="s">
        <v>884</v>
      </c>
      <c r="J4" s="294" t="s">
        <v>885</v>
      </c>
      <c r="K4" s="294" t="s">
        <v>886</v>
      </c>
      <c r="L4" s="295" t="s">
        <v>887</v>
      </c>
      <c r="M4" s="296"/>
    </row>
    <row r="5" spans="1:37" ht="18" customHeight="1">
      <c r="A5" s="297">
        <v>1</v>
      </c>
      <c r="B5" s="298" t="s">
        <v>888</v>
      </c>
      <c r="C5" s="1065">
        <f ca="1">C6+C10+C12</f>
        <v>0</v>
      </c>
      <c r="D5" s="1359" t="s">
        <v>889</v>
      </c>
      <c r="E5" s="1066"/>
      <c r="F5" s="1067"/>
      <c r="G5" s="1379"/>
      <c r="H5" s="297">
        <v>1</v>
      </c>
      <c r="I5" s="298" t="s">
        <v>888</v>
      </c>
      <c r="J5" s="1065">
        <f ca="1">J6+J10+J12</f>
        <v>0</v>
      </c>
      <c r="K5" s="1359" t="s">
        <v>889</v>
      </c>
      <c r="L5" s="1066"/>
      <c r="M5" s="1067"/>
    </row>
    <row r="6" spans="1:37" ht="18" customHeight="1">
      <c r="A6" s="1064" t="s">
        <v>398</v>
      </c>
      <c r="B6" s="4039" t="s">
        <v>694</v>
      </c>
      <c r="C6" s="1069">
        <f ca="1">ROUND(F6*F8*F7*(1-F9),0)</f>
        <v>0</v>
      </c>
      <c r="D6" s="153" t="s">
        <v>2106</v>
      </c>
      <c r="E6" s="300" t="s">
        <v>696</v>
      </c>
      <c r="F6" s="301">
        <f ca="1">INDIRECT("'数据-取费表'!u"&amp;$G$1)</f>
        <v>0</v>
      </c>
      <c r="G6" s="1379"/>
      <c r="H6" s="1064" t="s">
        <v>398</v>
      </c>
      <c r="I6" s="4039" t="s">
        <v>694</v>
      </c>
      <c r="J6" s="299">
        <f ca="1">ROUND(M6*M8*M7*(1-M9),0)</f>
        <v>0</v>
      </c>
      <c r="K6" s="1371" t="s">
        <v>2107</v>
      </c>
      <c r="L6" s="300" t="s">
        <v>696</v>
      </c>
      <c r="M6" s="301">
        <f ca="1">INDIRECT("'数据-取费表'!z"&amp;$G$1)</f>
        <v>0</v>
      </c>
    </row>
    <row r="7" spans="1:37" ht="18" customHeight="1">
      <c r="A7" s="1068"/>
      <c r="B7" s="4040"/>
      <c r="C7" s="1070"/>
      <c r="D7" s="305"/>
      <c r="E7" s="1071" t="s">
        <v>697</v>
      </c>
      <c r="F7" s="301">
        <f ca="1">IF(INDIRECT("'数据-取费表'!ah"&amp;$G$1)="",INDIRECT("'数据-取费表'!k"&amp;$G$1),INDIRECT("'数据-取费表'!ah"&amp;$G$1))</f>
        <v>0</v>
      </c>
      <c r="G7" s="1379"/>
      <c r="H7" s="302"/>
      <c r="I7" s="4040"/>
      <c r="J7" s="304"/>
      <c r="K7" s="305"/>
      <c r="L7" s="300" t="s">
        <v>697</v>
      </c>
      <c r="M7" s="301">
        <f ca="1">F7</f>
        <v>0</v>
      </c>
    </row>
    <row r="8" spans="1:37" ht="18" customHeight="1">
      <c r="A8" s="302"/>
      <c r="B8" s="4040"/>
      <c r="C8" s="304"/>
      <c r="D8" s="305"/>
      <c r="E8" s="300" t="s">
        <v>698</v>
      </c>
      <c r="F8" s="301">
        <f ca="1">INDIRECT("'数据-取费表'!ai"&amp;$G$1)</f>
        <v>0</v>
      </c>
      <c r="G8" s="1379"/>
      <c r="H8" s="302"/>
      <c r="I8" s="4040"/>
      <c r="J8" s="304"/>
      <c r="K8" s="305"/>
      <c r="L8" s="300" t="s">
        <v>698</v>
      </c>
      <c r="M8" s="301">
        <f ca="1">INDIRECT("'数据-取费表'!ai"&amp;$G$1)</f>
        <v>0</v>
      </c>
    </row>
    <row r="9" spans="1:37" ht="18" customHeight="1">
      <c r="A9" s="302"/>
      <c r="B9" s="4041"/>
      <c r="C9" s="304"/>
      <c r="D9" s="305"/>
      <c r="E9" s="300" t="s">
        <v>699</v>
      </c>
      <c r="F9" s="310">
        <f ca="1">INDIRECT("'数据-取费表'!w"&amp;$G$1)</f>
        <v>0</v>
      </c>
      <c r="G9" s="1379"/>
      <c r="H9" s="302"/>
      <c r="I9" s="4041"/>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c r="G10" s="1379"/>
      <c r="H10" s="1064" t="s">
        <v>402</v>
      </c>
      <c r="I10" s="1360" t="s">
        <v>700</v>
      </c>
      <c r="J10" s="299">
        <f ca="1">ROUND(IF(M10="押一",J6/12*M11,IF(M10="押二",J6/12*2*M11,IF(M10="押三",J6/12*3*M11,J11*M11))),0)</f>
        <v>0</v>
      </c>
      <c r="K10" s="1372" t="s">
        <v>2118</v>
      </c>
      <c r="L10" s="311" t="s">
        <v>701</v>
      </c>
      <c r="M10" s="1111"/>
    </row>
    <row r="11" spans="1:37" ht="18" customHeight="1">
      <c r="A11" s="306"/>
      <c r="B11" s="1362" t="s">
        <v>890</v>
      </c>
      <c r="C11" s="954"/>
      <c r="D11" s="305"/>
      <c r="E11" s="311" t="s">
        <v>702</v>
      </c>
      <c r="F11" s="312">
        <f ca="1">'数据-取费表'!B39</f>
        <v>1.4999999999999999E-2</v>
      </c>
      <c r="G11" s="1379"/>
      <c r="H11" s="1072"/>
      <c r="I11" s="1362" t="s">
        <v>891</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ROUND(INDIRECT("'数据-取费表'!l"&amp;$G$1)*F43+'数据-取费表'!L14*INDIRECT("'数据-取费表'!S"&amp;$G$1),0)</f>
        <v>0</v>
      </c>
      <c r="D14" s="1340" t="s">
        <v>708</v>
      </c>
      <c r="E14" s="1337"/>
      <c r="F14" s="317"/>
      <c r="G14" s="1379"/>
      <c r="H14" s="977" t="s">
        <v>398</v>
      </c>
      <c r="I14" s="300" t="s">
        <v>709</v>
      </c>
      <c r="J14" s="19">
        <f ca="1">C29</f>
        <v>0</v>
      </c>
      <c r="K14" s="11"/>
      <c r="L14" s="802"/>
      <c r="M14" s="803"/>
    </row>
    <row r="15" spans="1:37" s="1392" customFormat="1" ht="18" customHeight="1" thickBot="1">
      <c r="A15" s="977" t="s">
        <v>399</v>
      </c>
      <c r="B15" s="300" t="s">
        <v>710</v>
      </c>
      <c r="C15" s="19">
        <f ca="1">ROUND(C14*F15,0)</f>
        <v>0</v>
      </c>
      <c r="D15" s="318" t="s">
        <v>711</v>
      </c>
      <c r="E15" s="318"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ROUND(INDIRECT("'数据-取费表'!l"&amp;$G$1)*F43*F16,0)</f>
        <v>0</v>
      </c>
      <c r="D16" s="300" t="s">
        <v>711</v>
      </c>
      <c r="E16" s="300" t="s">
        <v>712</v>
      </c>
      <c r="F16" s="320">
        <f ca="1">IF(INDIRECT("'数据-取费表'!c"&amp;$G$1)="住宅",'数据-取费表'!B34,0)</f>
        <v>0</v>
      </c>
      <c r="G16" s="1379"/>
      <c r="H16" s="1074" t="s">
        <v>393</v>
      </c>
      <c r="I16" s="1075" t="s">
        <v>714</v>
      </c>
      <c r="J16" s="308">
        <f ca="1">ROUND(J17+J22+J23+J24,0)</f>
        <v>0</v>
      </c>
      <c r="K16" s="1082" t="s">
        <v>715</v>
      </c>
      <c r="L16" s="1083"/>
      <c r="M16" s="1067"/>
    </row>
    <row r="17" spans="1:37" s="1392" customFormat="1" ht="18" customHeight="1">
      <c r="A17" s="977" t="s">
        <v>681</v>
      </c>
      <c r="B17" s="300" t="s">
        <v>716</v>
      </c>
      <c r="C17" s="19">
        <f ca="1">ROUND(F17*(F43+INDIRECT("'数据-取费表'!S"&amp;$G$1)),0)</f>
        <v>0</v>
      </c>
      <c r="D17" s="300" t="s">
        <v>717</v>
      </c>
      <c r="E17" s="300" t="s">
        <v>718</v>
      </c>
      <c r="F17" s="21">
        <f>'数据-取费表'!B35</f>
        <v>200</v>
      </c>
      <c r="G17" s="1391"/>
      <c r="H17" s="977" t="s">
        <v>398</v>
      </c>
      <c r="I17" s="300"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0</v>
      </c>
      <c r="D18" s="300" t="s">
        <v>711</v>
      </c>
      <c r="E18" s="300" t="s">
        <v>712</v>
      </c>
      <c r="F18" s="320">
        <f>'数据-取费表'!B36</f>
        <v>1.4999999999999999E-2</v>
      </c>
      <c r="G18" s="1391"/>
      <c r="H18" s="977" t="s">
        <v>397</v>
      </c>
      <c r="I18" s="300" t="s">
        <v>723</v>
      </c>
      <c r="J18" s="19">
        <f ca="1">ROUND(J6*M18/(1+'数据-取费表'!C42),0)</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0</v>
      </c>
      <c r="D19" s="129" t="s">
        <v>726</v>
      </c>
      <c r="E19" s="1355"/>
      <c r="F19" s="21"/>
      <c r="G19" s="1379"/>
      <c r="H19" s="977" t="s">
        <v>399</v>
      </c>
      <c r="I19" s="300" t="s">
        <v>727</v>
      </c>
      <c r="J19" s="19">
        <f ca="1">IF(K19="按租金收入计税",ROUND(J6*M19/(1+'数据-取费表'!C42),0),ROUND(C29*M19*0.7,0))</f>
        <v>0</v>
      </c>
      <c r="K19" s="1365" t="s">
        <v>3301</v>
      </c>
      <c r="L19" s="300" t="s">
        <v>712</v>
      </c>
      <c r="M19" s="320">
        <f>IF(K19="按租金收入计税",'数据-取费表'!B51,'数据-取费表'!B50)</f>
        <v>0.12</v>
      </c>
    </row>
    <row r="20" spans="1:37" s="1392" customFormat="1" ht="18" customHeight="1">
      <c r="A20" s="977" t="s">
        <v>402</v>
      </c>
      <c r="B20" s="300" t="s">
        <v>728</v>
      </c>
      <c r="C20" s="19">
        <f ca="1">ROUND(C19*F20,0)</f>
        <v>0</v>
      </c>
      <c r="D20" s="321" t="s">
        <v>729</v>
      </c>
      <c r="E20" s="300" t="s">
        <v>712</v>
      </c>
      <c r="F20" s="320">
        <f>'数据-取费表'!B37</f>
        <v>0.02</v>
      </c>
      <c r="G20" s="1391"/>
      <c r="H20" s="977" t="s">
        <v>680</v>
      </c>
      <c r="I20" s="153" t="s">
        <v>730</v>
      </c>
      <c r="J20" s="20">
        <f ca="1">ROUND(M20*M21,0)</f>
        <v>0</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321" t="s">
        <v>734</v>
      </c>
      <c r="E21" s="300" t="s">
        <v>735</v>
      </c>
      <c r="F21" s="320">
        <f>'数据-取费表'!B38</f>
        <v>0.02</v>
      </c>
      <c r="G21" s="1391"/>
      <c r="H21" s="324"/>
      <c r="I21" s="309"/>
      <c r="J21" s="24"/>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ROUND(J14*M22,0)</f>
        <v>0</v>
      </c>
      <c r="K22" s="1339" t="s">
        <v>739</v>
      </c>
      <c r="L22" s="300" t="s">
        <v>712</v>
      </c>
      <c r="M22" s="326">
        <f ca="1">INDIRECT("'数据-取费表'!Ak"&amp;$G$1)</f>
        <v>0</v>
      </c>
    </row>
    <row r="23" spans="1:37" s="1392" customFormat="1" ht="18" customHeight="1">
      <c r="A23" s="977" t="s">
        <v>397</v>
      </c>
      <c r="B23" s="300" t="s">
        <v>740</v>
      </c>
      <c r="C23" s="19">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ROUND(J13*M23,0)</f>
        <v>0</v>
      </c>
      <c r="K23" s="1339" t="s">
        <v>743</v>
      </c>
      <c r="L23" s="300" t="s">
        <v>744</v>
      </c>
      <c r="M23" s="328">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1E-3</v>
      </c>
      <c r="D24" s="327" t="str">
        <f>IF(F23&lt;=1,"销售费用×利率×(建设周期÷2)","销售费用×((1+利率)^(建设周期÷2)-1)")</f>
        <v>销售费用×((1+利率)^(建设周期÷2)-1)</v>
      </c>
      <c r="E24" s="300" t="s">
        <v>747</v>
      </c>
      <c r="F24" s="329">
        <f ca="1">'数据-取费表'!B40</f>
        <v>3.4500000000000003E-2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0" t="s">
        <v>750</v>
      </c>
      <c r="C25" s="19"/>
      <c r="D25" s="129" t="s">
        <v>751</v>
      </c>
      <c r="E25" s="1355"/>
      <c r="F25" s="21"/>
      <c r="G25" s="1379"/>
      <c r="H25" s="1074" t="s">
        <v>394</v>
      </c>
      <c r="I25" s="1089" t="s">
        <v>752</v>
      </c>
      <c r="J25" s="308">
        <f ca="1">J5-J16</f>
        <v>0</v>
      </c>
      <c r="K25" s="1090" t="s">
        <v>753</v>
      </c>
      <c r="L25" s="1091"/>
      <c r="M25" s="1092"/>
    </row>
    <row r="26" spans="1:37" ht="18" customHeight="1">
      <c r="A26" s="977" t="s">
        <v>397</v>
      </c>
      <c r="B26" s="300" t="s">
        <v>754</v>
      </c>
      <c r="C26" s="19">
        <f ca="1">ROUND((C19+C20)*F26,0)</f>
        <v>0</v>
      </c>
      <c r="D26" s="321" t="s">
        <v>755</v>
      </c>
      <c r="E26" s="311" t="s">
        <v>756</v>
      </c>
      <c r="F26" s="310">
        <f ca="1">INDIRECT("'数据-取费表'!q"&amp;$G$1)</f>
        <v>0</v>
      </c>
      <c r="G26" s="1379"/>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19">
        <f ca="1">ROUND(F21*F26,4)</f>
        <v>0</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2" t="s">
        <v>396</v>
      </c>
      <c r="I29" s="333" t="s">
        <v>768</v>
      </c>
      <c r="J29" s="334">
        <f ca="1">ROUND(J26/(1+F40)^F41,0)</f>
        <v>0</v>
      </c>
      <c r="K29" s="335" t="s">
        <v>769</v>
      </c>
      <c r="L29" s="336"/>
      <c r="M29" s="337">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0</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IF(项目基本情况!B11="自然人","——",ROUND(C6*F32/(1+'数据-取费表'!C42),0))</f>
        <v>0</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IF(项目基本情况!B11="自然人","——",IF(D33="按租金收入计税",ROUND(C6*F33/(1+'数据-取费表'!C42),0),IF(D33="按房产原值计税",ROUND(C29*F33*0.7,0),INDIRECT("'数据-取费表'!Aj"&amp;$G$1))))</f>
        <v>0</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IF(项目基本情况!B11="自然人","——",ROUND(F34*F35,0))</f>
        <v>0</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0</v>
      </c>
      <c r="G35" s="1379"/>
      <c r="H35" s="2692"/>
      <c r="I35" s="1393"/>
      <c r="J35" s="1394"/>
      <c r="K35" s="2696"/>
      <c r="L35" s="2695"/>
      <c r="M35" s="2695"/>
    </row>
    <row r="36" spans="1:18" ht="18" customHeight="1">
      <c r="A36" s="1097" t="s">
        <v>402</v>
      </c>
      <c r="B36" s="300" t="s">
        <v>738</v>
      </c>
      <c r="C36" s="19">
        <f ca="1">ROUND(C29*F36,0)</f>
        <v>0</v>
      </c>
      <c r="D36" s="1339" t="s">
        <v>771</v>
      </c>
      <c r="E36" s="300" t="s">
        <v>712</v>
      </c>
      <c r="F36" s="326">
        <f ca="1">INDIRECT("'数据-取费表'!Ak"&amp;$G$1)</f>
        <v>0</v>
      </c>
      <c r="G36" s="1379"/>
      <c r="H36" s="2695"/>
      <c r="I36" s="1393"/>
      <c r="J36" s="1394"/>
      <c r="K36" s="2539"/>
      <c r="L36" s="2695"/>
      <c r="M36" s="2695"/>
    </row>
    <row r="37" spans="1:18" ht="18" customHeight="1">
      <c r="A37" s="977" t="s">
        <v>437</v>
      </c>
      <c r="B37" s="300" t="s">
        <v>742</v>
      </c>
      <c r="C37" s="19">
        <f ca="1">ROUND(C13*F37,0)</f>
        <v>0</v>
      </c>
      <c r="D37" s="1339" t="s">
        <v>743</v>
      </c>
      <c r="E37" s="300" t="s">
        <v>744</v>
      </c>
      <c r="F37" s="328">
        <f ca="1">INDIRECT("'数据-取费表'!Al"&amp;$G$1)</f>
        <v>0</v>
      </c>
      <c r="G37" s="1379"/>
      <c r="H37" s="2695"/>
      <c r="I37" s="1393"/>
      <c r="J37" s="1394"/>
      <c r="K37" s="2539"/>
      <c r="L37" s="2695"/>
      <c r="M37" s="2695"/>
    </row>
    <row r="38" spans="1:18" ht="18" customHeight="1" thickBot="1">
      <c r="A38" s="1084" t="s">
        <v>684</v>
      </c>
      <c r="B38" s="1085" t="s">
        <v>728</v>
      </c>
      <c r="C38" s="1086">
        <f ca="1">ROUND(C5*F38,0)</f>
        <v>0</v>
      </c>
      <c r="D38" s="1087" t="s">
        <v>748</v>
      </c>
      <c r="E38" s="1085" t="s">
        <v>744</v>
      </c>
      <c r="F38" s="1081">
        <f ca="1">INDIRECT("'数据-取费表'!Am"&amp;$G$1)</f>
        <v>0</v>
      </c>
      <c r="G38" s="1379"/>
      <c r="H38" s="2695"/>
      <c r="I38" s="1393"/>
      <c r="J38" s="1394"/>
      <c r="K38" s="2699"/>
      <c r="L38" s="2695"/>
      <c r="M38" s="2695"/>
    </row>
    <row r="39" spans="1:18" ht="24.6" customHeight="1" thickTop="1">
      <c r="A39" s="1074" t="s">
        <v>394</v>
      </c>
      <c r="B39" s="1089" t="s">
        <v>772</v>
      </c>
      <c r="C39" s="308">
        <f ca="1">C5-C30</f>
        <v>0</v>
      </c>
      <c r="D39" s="1090" t="s">
        <v>773</v>
      </c>
      <c r="E39" s="1091"/>
      <c r="F39" s="1092"/>
      <c r="G39" s="1379"/>
      <c r="H39" s="2695"/>
      <c r="I39" s="1393"/>
      <c r="J39" s="1394"/>
      <c r="K39" s="2699"/>
      <c r="L39" s="2695"/>
      <c r="M39" s="2695"/>
    </row>
    <row r="40" spans="1:18" ht="18" customHeight="1">
      <c r="A40" s="297" t="s">
        <v>395</v>
      </c>
      <c r="B40" s="298" t="s">
        <v>774</v>
      </c>
      <c r="C40" s="299" t="e">
        <f ca="1">ROUND(C39*(1-((1+F42)/(1+F40))^F41)/(F40-F42),0)</f>
        <v>#DIV/0!</v>
      </c>
      <c r="D40" s="322" t="s">
        <v>758</v>
      </c>
      <c r="E40" s="300" t="s">
        <v>759</v>
      </c>
      <c r="F40" s="310">
        <f ca="1">INDIRECT("'数据-取费表'!I"&amp;$G$1)</f>
        <v>0</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t="e">
        <f ca="1">ROUND(C40/F43,0)</f>
        <v>#DIV/0!</v>
      </c>
      <c r="D43" s="335" t="s">
        <v>777</v>
      </c>
      <c r="E43" s="336" t="s">
        <v>778</v>
      </c>
      <c r="F43" s="337">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356" t="s">
        <v>3317</v>
      </c>
      <c r="B45" s="1395"/>
      <c r="C45" s="1467" t="e">
        <f ca="1">ROUND((C68-C40)/10000,4)</f>
        <v>#DIV/0!</v>
      </c>
      <c r="D45" s="3357" t="s">
        <v>3318</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0"/>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8" t="s">
        <v>692</v>
      </c>
      <c r="C48" s="1354">
        <f ca="1">C49+C53+C55</f>
        <v>0</v>
      </c>
      <c r="D48" s="1107"/>
      <c r="E48" s="1108"/>
      <c r="F48" s="957"/>
      <c r="G48" s="720"/>
      <c r="H48" s="721"/>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1"/>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1"/>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1">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1" t="s">
        <v>700</v>
      </c>
      <c r="C53" s="314">
        <f ca="1">ROUND(IF(F53="押一",C49/12*F11,IF(F53="押二",C49/12*2*F11,IF(F53="押三",C49/12*3*F11,C54*F11))),0)</f>
        <v>0</v>
      </c>
      <c r="D53" s="1361" t="s">
        <v>2119</v>
      </c>
      <c r="E53" s="311" t="s">
        <v>701</v>
      </c>
      <c r="F53" s="1111"/>
      <c r="I53" s="1434" t="s">
        <v>836</v>
      </c>
      <c r="J53" s="2163">
        <f ca="1">IF(M47="住宅",IF(D1="——",MAX(J51,L48),MAX(J51,L48-'数据-取费表'!B24)),IF(D1="——",MIN(J51,L48),MIN(J51,L48-'数据-取费表'!B24)))</f>
        <v>0</v>
      </c>
      <c r="K53" s="4042" t="s">
        <v>837</v>
      </c>
      <c r="L53" s="4043"/>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0">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6">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3" t="s">
        <v>393</v>
      </c>
      <c r="B58" s="953" t="s">
        <v>714</v>
      </c>
      <c r="C58" s="314">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IF(项目基本情况!B11="自然人","——",ROUND(C48*F60/(1+'数据-取费表'!C42),0))</f>
        <v>0</v>
      </c>
      <c r="D60" s="959" t="s">
        <v>724</v>
      </c>
      <c r="E60" s="945" t="s">
        <v>712</v>
      </c>
      <c r="F60" s="329">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IF(项目基本情况!B11="自然人","——",IF(D61="按租金收入计税",ROUND(C49*F61/(1+'数据-取费表'!C42),0),IF(D61="按房产原值计税",ROUND(C57*F61*0.7,0),INDIRECT("'数据-取费表'!Aj"&amp;$G$1))))</f>
        <v>0</v>
      </c>
      <c r="D61" s="1365" t="s">
        <v>3301</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IF(项目基本情况!B11="自然人","——",ROUND(F62*F63,0))</f>
        <v>0</v>
      </c>
      <c r="D62" s="960" t="s">
        <v>786</v>
      </c>
      <c r="E62" s="945" t="s">
        <v>787</v>
      </c>
      <c r="F62" s="323">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4"/>
      <c r="B63" s="951"/>
      <c r="C63" s="24"/>
      <c r="D63" s="961"/>
      <c r="E63" s="945"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ROUND(C57*F64,0)</f>
        <v>0</v>
      </c>
      <c r="D64" s="959" t="s">
        <v>791</v>
      </c>
      <c r="E64" s="945" t="s">
        <v>783</v>
      </c>
      <c r="F64" s="326">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ROUND(C56*F65,0)</f>
        <v>0</v>
      </c>
      <c r="D65" s="959" t="s">
        <v>743</v>
      </c>
      <c r="E65" s="945" t="s">
        <v>744</v>
      </c>
      <c r="F65" s="328">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19">
        <f ca="1">ROUND(C48*F66,0)</f>
        <v>0</v>
      </c>
      <c r="D66" s="959" t="s">
        <v>794</v>
      </c>
      <c r="E66" s="945" t="s">
        <v>712</v>
      </c>
      <c r="F66" s="310">
        <f t="shared" ca="1" si="0"/>
        <v>0</v>
      </c>
      <c r="O66" s="1413" t="s">
        <v>404</v>
      </c>
      <c r="P66" s="1414" t="s">
        <v>846</v>
      </c>
      <c r="Q66" s="1415" t="e">
        <f ca="1">L60</f>
        <v>#DIV/0!</v>
      </c>
      <c r="R66" s="1415" t="s">
        <v>869</v>
      </c>
    </row>
    <row r="67" spans="1:18" s="1379" customFormat="1" ht="16.5" thickBot="1">
      <c r="A67" s="952" t="s">
        <v>394</v>
      </c>
      <c r="B67" s="962" t="s">
        <v>752</v>
      </c>
      <c r="C67" s="314">
        <f ca="1">C48-C58</f>
        <v>0</v>
      </c>
      <c r="D67" s="958" t="s">
        <v>753</v>
      </c>
      <c r="E67" s="963"/>
      <c r="F67" s="964"/>
      <c r="O67" s="1423" t="s">
        <v>405</v>
      </c>
      <c r="P67" s="1414" t="s">
        <v>850</v>
      </c>
      <c r="Q67" s="1461">
        <f ca="1">L51</f>
        <v>0</v>
      </c>
      <c r="R67" s="1415" t="s">
        <v>870</v>
      </c>
    </row>
    <row r="68" spans="1:18" s="1379" customFormat="1" ht="16.5" thickBot="1">
      <c r="A68" s="942" t="s">
        <v>395</v>
      </c>
      <c r="B68" s="943" t="s">
        <v>774</v>
      </c>
      <c r="C68" s="299" t="e">
        <f ca="1">ROUND(C67*(1-((1+F70)/(1+F68))^F69)/(F68-F70),0)</f>
        <v>#DIV/0!</v>
      </c>
      <c r="D68" s="960" t="s">
        <v>758</v>
      </c>
      <c r="E68" s="945" t="s">
        <v>759</v>
      </c>
      <c r="F68" s="310">
        <f ca="1">F40</f>
        <v>0</v>
      </c>
      <c r="O68" s="1423" t="s">
        <v>406</v>
      </c>
      <c r="P68" s="1462" t="s">
        <v>871</v>
      </c>
      <c r="Q68" s="1415">
        <f ca="1">ROUND(Q69-Q70*Q71,0)</f>
        <v>0</v>
      </c>
      <c r="R68" s="1415" t="s">
        <v>414</v>
      </c>
    </row>
    <row r="69" spans="1:18" s="1379" customFormat="1" ht="13.5" thickBot="1">
      <c r="A69" s="946"/>
      <c r="B69" s="947"/>
      <c r="C69" s="304"/>
      <c r="D69" s="965" t="s">
        <v>762</v>
      </c>
      <c r="E69" s="945" t="s">
        <v>763</v>
      </c>
      <c r="F69" s="331">
        <f ca="1">F41</f>
        <v>0</v>
      </c>
      <c r="O69" s="1423" t="s">
        <v>411</v>
      </c>
      <c r="P69" s="1462" t="s">
        <v>872</v>
      </c>
      <c r="Q69" s="1415">
        <f ca="1">C39</f>
        <v>0</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t="e">
        <f ca="1">ROUND(C68/F71,0)</f>
        <v>#DIV/0!</v>
      </c>
      <c r="D71" s="968" t="s">
        <v>777</v>
      </c>
      <c r="E71" s="969" t="s">
        <v>778</v>
      </c>
      <c r="F71" s="337">
        <f ca="1">F43</f>
        <v>0</v>
      </c>
      <c r="O71" s="1423" t="s">
        <v>413</v>
      </c>
      <c r="P71" s="1462" t="s">
        <v>874</v>
      </c>
      <c r="Q71" s="1426">
        <f ca="1">C76</f>
        <v>0</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0</v>
      </c>
      <c r="I76" s="1379"/>
      <c r="J76" s="1379"/>
      <c r="K76" s="1397"/>
      <c r="L76" s="1379"/>
    </row>
    <row r="77" spans="1:18">
      <c r="B77" s="342" t="s">
        <v>797</v>
      </c>
      <c r="C77" s="343"/>
      <c r="I77" s="1379"/>
      <c r="J77" s="1379"/>
      <c r="K77" s="1397"/>
      <c r="L77" s="1379"/>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3774</v>
      </c>
      <c r="D1" s="1357" t="s">
        <v>43</v>
      </c>
      <c r="E1" s="1358" t="s">
        <v>678</v>
      </c>
      <c r="F1" s="1057">
        <f ca="1">J53</f>
        <v>50.7</v>
      </c>
      <c r="G1" s="1373">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59856</v>
      </c>
      <c r="C2" s="1382" t="s">
        <v>805</v>
      </c>
      <c r="D2" s="1382"/>
      <c r="E2" s="1383"/>
      <c r="F2" s="1384"/>
      <c r="G2" s="2701"/>
      <c r="H2" s="2690"/>
      <c r="I2" s="2690"/>
      <c r="J2" s="2690"/>
      <c r="K2" s="2691"/>
      <c r="L2" s="2690"/>
      <c r="M2" s="2690"/>
    </row>
    <row r="3" spans="1:37" ht="18" customHeight="1" thickBot="1">
      <c r="A3" s="1385" t="s">
        <v>806</v>
      </c>
      <c r="B3" s="1386">
        <f ca="1">IF(ISERROR(B2*10000/F43),0,ROUND(B2*10000/F43,0))</f>
        <v>46130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2988</v>
      </c>
      <c r="D5" s="1359" t="s">
        <v>693</v>
      </c>
      <c r="E5" s="1066"/>
      <c r="F5" s="1067"/>
      <c r="G5" s="1379"/>
      <c r="H5" s="297">
        <v>1</v>
      </c>
      <c r="I5" s="298" t="s">
        <v>692</v>
      </c>
      <c r="J5" s="1065">
        <f ca="1">J6+J10+J12</f>
        <v>0</v>
      </c>
      <c r="K5" s="1359" t="s">
        <v>693</v>
      </c>
      <c r="L5" s="1066"/>
      <c r="M5" s="1067"/>
    </row>
    <row r="6" spans="1:37" ht="18" customHeight="1">
      <c r="A6" s="1064" t="s">
        <v>398</v>
      </c>
      <c r="B6" s="4039" t="s">
        <v>694</v>
      </c>
      <c r="C6" s="1069">
        <f ca="1">ROUND(F6*F8*F7*(1-F9)/10000,0)</f>
        <v>2984</v>
      </c>
      <c r="D6" s="153" t="s">
        <v>2109</v>
      </c>
      <c r="E6" s="300" t="s">
        <v>696</v>
      </c>
      <c r="F6" s="301">
        <f ca="1">INDIRECT("'数据-取费表'!u"&amp;$G$1)</f>
        <v>7</v>
      </c>
      <c r="G6" s="1379"/>
      <c r="H6" s="1064" t="s">
        <v>398</v>
      </c>
      <c r="I6" s="4039" t="s">
        <v>694</v>
      </c>
      <c r="J6" s="299">
        <f ca="1">ROUND(M6*M8*M7*(1-M9)/10000,0)</f>
        <v>0</v>
      </c>
      <c r="K6" s="153" t="s">
        <v>2108</v>
      </c>
      <c r="L6" s="300" t="s">
        <v>696</v>
      </c>
      <c r="M6" s="301">
        <f ca="1">INDIRECT("'数据-取费表'!z"&amp;$G$1)</f>
        <v>0</v>
      </c>
    </row>
    <row r="7" spans="1:37" ht="18" customHeight="1">
      <c r="A7" s="1068"/>
      <c r="B7" s="4040"/>
      <c r="C7" s="1070"/>
      <c r="D7" s="305"/>
      <c r="E7" s="3486" t="s">
        <v>697</v>
      </c>
      <c r="F7" s="301">
        <f ca="1">IF(INDIRECT("'数据-取费表'!ah"&amp;$G$1)="",INDIRECT("'数据-取费表'!k"&amp;$G$1),INDIRECT("'数据-取费表'!ah"&amp;$G$1))</f>
        <v>12975.39</v>
      </c>
      <c r="G7" s="1379"/>
      <c r="H7" s="302"/>
      <c r="I7" s="4040"/>
      <c r="J7" s="304"/>
      <c r="K7" s="305"/>
      <c r="L7" s="300" t="s">
        <v>697</v>
      </c>
      <c r="M7" s="301">
        <f ca="1">F7</f>
        <v>12975.39</v>
      </c>
    </row>
    <row r="8" spans="1:37" ht="18" customHeight="1">
      <c r="A8" s="302"/>
      <c r="B8" s="4040"/>
      <c r="C8" s="304"/>
      <c r="D8" s="305"/>
      <c r="E8" s="300" t="s">
        <v>698</v>
      </c>
      <c r="F8" s="301">
        <f ca="1">INDIRECT("'数据-取费表'!ai"&amp;$G$1)</f>
        <v>365</v>
      </c>
      <c r="G8" s="1379"/>
      <c r="H8" s="302"/>
      <c r="I8" s="4040"/>
      <c r="J8" s="304"/>
      <c r="K8" s="305"/>
      <c r="L8" s="300" t="s">
        <v>698</v>
      </c>
      <c r="M8" s="301">
        <f ca="1">INDIRECT("'数据-取费表'!ai"&amp;$G$1)</f>
        <v>365</v>
      </c>
    </row>
    <row r="9" spans="1:37" ht="18" customHeight="1">
      <c r="A9" s="302"/>
      <c r="B9" s="4041"/>
      <c r="C9" s="304"/>
      <c r="D9" s="305"/>
      <c r="E9" s="300" t="s">
        <v>699</v>
      </c>
      <c r="F9" s="310">
        <f ca="1">INDIRECT("'数据-取费表'!w"&amp;$G$1)</f>
        <v>0.1</v>
      </c>
      <c r="G9" s="1379"/>
      <c r="H9" s="302"/>
      <c r="I9" s="4041"/>
      <c r="J9" s="304"/>
      <c r="K9" s="305"/>
      <c r="L9" s="311" t="s">
        <v>699</v>
      </c>
      <c r="M9" s="312">
        <f ca="1">INDIRECT("'数据-取费表'!ab"&amp;$G$1)</f>
        <v>0</v>
      </c>
    </row>
    <row r="10" spans="1:37" ht="18" customHeight="1">
      <c r="A10" s="1064" t="s">
        <v>402</v>
      </c>
      <c r="B10" s="1360" t="s">
        <v>700</v>
      </c>
      <c r="C10" s="314">
        <f ca="1">ROUND(IF(F10="押一",C6/12*F11,IF(F10="押二",C6/12*2*F11,IF(F10="押三",C6/12*3*F11,C11*F11))),0)</f>
        <v>4</v>
      </c>
      <c r="D10" s="1361" t="s">
        <v>2117</v>
      </c>
      <c r="E10" s="311" t="s">
        <v>701</v>
      </c>
      <c r="F10" s="1111" t="s">
        <v>3751</v>
      </c>
      <c r="G10" s="1379"/>
      <c r="H10" s="1064" t="s">
        <v>402</v>
      </c>
      <c r="I10" s="1360" t="s">
        <v>700</v>
      </c>
      <c r="J10" s="299">
        <f ca="1">ROUND(IF(M10="押一",J6/12*M11,IF(M10="押二",J6/12*2*M11,IF(M10="押三",J6/12*3*M11,J11*M11))),0)</f>
        <v>0</v>
      </c>
      <c r="K10" s="1361" t="s">
        <v>2116</v>
      </c>
      <c r="L10" s="311" t="s">
        <v>701</v>
      </c>
      <c r="M10" s="1111" t="s">
        <v>3751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8168</v>
      </c>
      <c r="D13" s="3478" t="s">
        <v>705</v>
      </c>
      <c r="E13" s="3478"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7136</v>
      </c>
      <c r="D14" s="3482" t="s">
        <v>708</v>
      </c>
      <c r="E14" s="3480"/>
      <c r="F14" s="317"/>
      <c r="G14" s="1379"/>
      <c r="H14" s="977" t="s">
        <v>398</v>
      </c>
      <c r="I14" s="300" t="s">
        <v>709</v>
      </c>
      <c r="J14" s="19">
        <f ca="1">C29</f>
        <v>10891</v>
      </c>
      <c r="K14" s="3485"/>
      <c r="L14" s="802"/>
      <c r="M14" s="803"/>
    </row>
    <row r="15" spans="1:37" s="1392" customFormat="1" ht="18" customHeight="1" thickBot="1">
      <c r="A15" s="977" t="s">
        <v>399</v>
      </c>
      <c r="B15" s="300" t="s">
        <v>710</v>
      </c>
      <c r="C15" s="19">
        <f ca="1">ROUND(C14*F15,0)</f>
        <v>357</v>
      </c>
      <c r="D15" s="3479" t="s">
        <v>711</v>
      </c>
      <c r="E15" s="3479"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113</v>
      </c>
      <c r="K16" s="1082" t="s">
        <v>715</v>
      </c>
      <c r="L16" s="3483"/>
      <c r="M16" s="1067"/>
    </row>
    <row r="17" spans="1:37" s="1392" customFormat="1" ht="18" customHeight="1">
      <c r="A17" s="977" t="s">
        <v>681</v>
      </c>
      <c r="B17" s="300" t="s">
        <v>716</v>
      </c>
      <c r="C17" s="19">
        <f ca="1">ROUND(F17*(F43+INDIRECT("'数据-取费表'!S"&amp;$G$1))/10000,0)</f>
        <v>260</v>
      </c>
      <c r="D17" s="300" t="s">
        <v>717</v>
      </c>
      <c r="E17" s="300" t="s">
        <v>718</v>
      </c>
      <c r="F17" s="21">
        <f>'数据-取费表'!B35</f>
        <v>200</v>
      </c>
      <c r="G17" s="1391"/>
      <c r="H17" s="977" t="s">
        <v>398</v>
      </c>
      <c r="I17" s="300" t="s">
        <v>719</v>
      </c>
      <c r="J17" s="2311">
        <f ca="1">ROUND(IF(AND(项目基本情况!B11="自然人",项目基本情况!B10="北京市"),J6*M17/(1+'数据-取费表'!C42),J18+J19+J20),2)</f>
        <v>3.98</v>
      </c>
      <c r="K17" s="3482" t="s">
        <v>720</v>
      </c>
      <c r="L17" s="3481"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107</v>
      </c>
      <c r="D18" s="300" t="s">
        <v>711</v>
      </c>
      <c r="E18" s="300" t="s">
        <v>712</v>
      </c>
      <c r="F18" s="320">
        <f>'数据-取费表'!B36</f>
        <v>1.4999999999999999E-2</v>
      </c>
      <c r="G18" s="1391"/>
      <c r="H18" s="977" t="s">
        <v>397</v>
      </c>
      <c r="I18" s="300" t="s">
        <v>723</v>
      </c>
      <c r="J18" s="19">
        <f ca="1">ROUND(J6*M18/(1+'数据-取费表'!C42),2)</f>
        <v>0</v>
      </c>
      <c r="K18" s="3481"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7860</v>
      </c>
      <c r="D19" s="129" t="s">
        <v>726</v>
      </c>
      <c r="E19" s="3488"/>
      <c r="F19" s="21"/>
      <c r="G19" s="1379"/>
      <c r="H19" s="977" t="s">
        <v>399</v>
      </c>
      <c r="I19" s="300" t="s">
        <v>727</v>
      </c>
      <c r="J19" s="19">
        <f ca="1">IF(K19="按租金收入计税",ROUND(J6*M19/(1+'数据-取费表'!C42),2),ROUND(C29*M19*0.7,2))</f>
        <v>0</v>
      </c>
      <c r="K19" s="1365" t="s">
        <v>3301</v>
      </c>
      <c r="L19" s="300" t="s">
        <v>712</v>
      </c>
      <c r="M19" s="320">
        <f>IF(K19="按租金收入计税",'数据-取费表'!B51,'数据-取费表'!B50)</f>
        <v>0.12</v>
      </c>
    </row>
    <row r="20" spans="1:37" s="1392" customFormat="1" ht="18" customHeight="1">
      <c r="A20" s="977" t="s">
        <v>402</v>
      </c>
      <c r="B20" s="300" t="s">
        <v>728</v>
      </c>
      <c r="C20" s="19">
        <f ca="1">ROUND(C19*F20,0)</f>
        <v>157</v>
      </c>
      <c r="D20" s="2423" t="s">
        <v>729</v>
      </c>
      <c r="E20" s="300" t="s">
        <v>712</v>
      </c>
      <c r="F20" s="320">
        <f>'数据-取费表'!B37</f>
        <v>0.02</v>
      </c>
      <c r="G20" s="1391"/>
      <c r="H20" s="977" t="s">
        <v>680</v>
      </c>
      <c r="I20" s="153" t="s">
        <v>730</v>
      </c>
      <c r="J20" s="20">
        <f ca="1">ROUND(M20*M21/10000,2)</f>
        <v>3.98</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1325.43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488"/>
      <c r="F22" s="21"/>
      <c r="G22" s="1379"/>
      <c r="H22" s="977" t="s">
        <v>402</v>
      </c>
      <c r="I22" s="300" t="s">
        <v>738</v>
      </c>
      <c r="J22" s="19">
        <f ca="1">ROUND(J14*M22,2)</f>
        <v>108.91</v>
      </c>
      <c r="K22" s="3481"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418</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481"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1E-3</v>
      </c>
      <c r="D24" s="327" t="str">
        <f>IF(F23&lt;=1,"销售费用×利率×(建设周期÷2)","销售费用×((1+利率)^(建设周期÷2)-1)")</f>
        <v>销售费用×((1+利率)^(建设周期÷2)-1)</v>
      </c>
      <c r="E24" s="300" t="s">
        <v>747</v>
      </c>
      <c r="F24" s="329">
        <f ca="1">'数据-取费表'!B40</f>
        <v>3.4500000000000003E-2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488"/>
      <c r="F25" s="21"/>
      <c r="G25" s="1379"/>
      <c r="H25" s="1074" t="s">
        <v>394</v>
      </c>
      <c r="I25" s="1089" t="s">
        <v>752</v>
      </c>
      <c r="J25" s="308">
        <f ca="1">J5-J16</f>
        <v>-113</v>
      </c>
      <c r="K25" s="1090" t="s">
        <v>753</v>
      </c>
      <c r="L25" s="1091"/>
      <c r="M25" s="1092"/>
    </row>
    <row r="26" spans="1:37">
      <c r="A26" s="977" t="s">
        <v>397</v>
      </c>
      <c r="B26" s="300" t="s">
        <v>754</v>
      </c>
      <c r="C26" s="19">
        <f ca="1">ROUND((C19+C20)*F26,0)</f>
        <v>1603</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479"/>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10891</v>
      </c>
      <c r="D29" s="1087"/>
      <c r="E29" s="1085"/>
      <c r="F29" s="1088"/>
      <c r="G29" s="1391"/>
      <c r="H29" s="332" t="s">
        <v>396</v>
      </c>
      <c r="I29" s="333" t="s">
        <v>768</v>
      </c>
      <c r="J29" s="334">
        <f ca="1">ROUND(J26/(1+F40)^F41,0)</f>
        <v>0</v>
      </c>
      <c r="K29" s="335" t="s">
        <v>769</v>
      </c>
      <c r="L29" s="336"/>
      <c r="M29" s="337">
        <f ca="1">INDIRECT("'数据-取费表'!k"&amp;$G$1)</f>
        <v>12975.39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651</v>
      </c>
      <c r="D30" s="1082" t="s">
        <v>715</v>
      </c>
      <c r="E30" s="34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504.16</v>
      </c>
      <c r="D31" s="3482" t="s">
        <v>720</v>
      </c>
      <c r="E31" s="3481"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159.15</v>
      </c>
      <c r="D32" s="3481"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341.03</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3.98</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1325.43</v>
      </c>
      <c r="G35" s="1379"/>
      <c r="H35" s="2692"/>
      <c r="I35" s="1393"/>
      <c r="J35" s="1394"/>
      <c r="K35" s="2696"/>
      <c r="L35" s="2695"/>
      <c r="M35" s="2695"/>
    </row>
    <row r="36" spans="1:18" ht="18" customHeight="1">
      <c r="A36" s="1097" t="s">
        <v>402</v>
      </c>
      <c r="B36" s="300" t="s">
        <v>738</v>
      </c>
      <c r="C36" s="19">
        <f ca="1">ROUND(C29*F36,2)</f>
        <v>108.91</v>
      </c>
      <c r="D36" s="3481"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8.17</v>
      </c>
      <c r="D37" s="3481"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29.88</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752</v>
      </c>
      <c r="C39" s="308">
        <f ca="1">C5-C30</f>
        <v>2337</v>
      </c>
      <c r="D39" s="1090" t="s">
        <v>773</v>
      </c>
      <c r="E39" s="1091"/>
      <c r="F39" s="1092"/>
      <c r="G39" s="1379"/>
      <c r="H39" s="2695"/>
      <c r="I39" s="1393">
        <f ca="1">C39/C5</f>
        <v>0.78212851405622486</v>
      </c>
      <c r="J39" s="1394"/>
      <c r="K39" s="2699"/>
      <c r="L39" s="2695"/>
      <c r="M39" s="2695"/>
    </row>
    <row r="40" spans="1:18" ht="18" customHeight="1">
      <c r="A40" s="297" t="s">
        <v>395</v>
      </c>
      <c r="B40" s="298" t="s">
        <v>774</v>
      </c>
      <c r="C40" s="299">
        <f ca="1">ROUND(C39*(1-((1+F42)/(1+F40))^F41)/(F40-F42),0)</f>
        <v>59856</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50.7</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46130</v>
      </c>
      <c r="D43" s="335" t="s">
        <v>777</v>
      </c>
      <c r="E43" s="336" t="s">
        <v>778</v>
      </c>
      <c r="F43" s="337">
        <f ca="1">INDIRECT("'数据-取费表'!k"&amp;$G$1)</f>
        <v>12975.39</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-61910</v>
      </c>
      <c r="D46" s="1401" t="str">
        <f>C2</f>
        <v>万元</v>
      </c>
      <c r="E46" s="1395"/>
      <c r="F46" s="1395"/>
      <c r="I46" s="1402" t="s">
        <v>810</v>
      </c>
      <c r="J46" s="1403"/>
      <c r="K46" s="1404"/>
      <c r="L46" s="1405">
        <f>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3749</v>
      </c>
      <c r="K47" s="1411" t="s">
        <v>816</v>
      </c>
      <c r="L47" s="1412">
        <f ca="1">INDIRECT("'数据-取费表'!d"&amp;$G$1)</f>
        <v>70</v>
      </c>
      <c r="M47" s="1375" t="str">
        <f>IF(ISNUMBER(FIND("住宅",C1)),"住宅","非住宅")</f>
        <v>住宅</v>
      </c>
      <c r="O47" s="1413" t="s">
        <v>403</v>
      </c>
      <c r="P47" s="1414" t="s">
        <v>817</v>
      </c>
      <c r="Q47" s="1415">
        <f ca="1">C40+J29</f>
        <v>59856</v>
      </c>
      <c r="R47" s="1415" t="s">
        <v>818</v>
      </c>
    </row>
    <row r="48" spans="1:18" s="1379" customFormat="1" ht="28.5" thickBot="1">
      <c r="A48" s="1105" t="s">
        <v>438</v>
      </c>
      <c r="B48" s="298" t="s">
        <v>692</v>
      </c>
      <c r="C48" s="3487">
        <f ca="1">C49+C53+C55</f>
        <v>0</v>
      </c>
      <c r="D48" s="1107"/>
      <c r="E48" s="1108"/>
      <c r="F48" s="957"/>
      <c r="G48" s="720"/>
      <c r="H48" s="721"/>
      <c r="I48" s="1416" t="s">
        <v>819</v>
      </c>
      <c r="J48" s="1417" t="s">
        <v>3750</v>
      </c>
      <c r="K48" s="1418" t="s">
        <v>820</v>
      </c>
      <c r="L48" s="1419">
        <f ca="1">INDIRECT("'数据-取费表'!f"&amp;$G$1)</f>
        <v>50.7</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10891</v>
      </c>
      <c r="R49" s="1415" t="s">
        <v>818</v>
      </c>
    </row>
    <row r="50" spans="1:18" s="1379" customFormat="1" ht="13.5" thickBot="1">
      <c r="A50" s="971"/>
      <c r="B50" s="974"/>
      <c r="C50" s="1113"/>
      <c r="D50" s="948"/>
      <c r="E50" s="1051" t="s">
        <v>697</v>
      </c>
      <c r="F50" s="1052">
        <f ca="1">F7</f>
        <v>12975.39</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45</v>
      </c>
      <c r="K51" s="1429" t="s">
        <v>830</v>
      </c>
      <c r="L51" s="1430">
        <f ca="1">ROUND(-PV(INDIRECT("'数据-取费表'!h"&amp;$G$1),J51,(C39-C13*C76),0),0)</f>
        <v>30650</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f>'基准地价修正-商业'!G24</f>
        <v>5.5E-2</v>
      </c>
      <c r="O52" s="1423" t="s">
        <v>408</v>
      </c>
      <c r="P52" s="1414" t="s">
        <v>834</v>
      </c>
      <c r="Q52" s="1415">
        <f ca="1">J53</f>
        <v>50.7</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50.7</v>
      </c>
      <c r="K53" s="4042" t="s">
        <v>837</v>
      </c>
      <c r="L53" s="4043"/>
      <c r="O53" s="1413" t="s">
        <v>409</v>
      </c>
      <c r="P53" s="1414" t="s">
        <v>838</v>
      </c>
      <c r="Q53" s="1415">
        <f ca="1">Q47+Q48</f>
        <v>59856</v>
      </c>
      <c r="R53" s="1415" t="s">
        <v>410</v>
      </c>
    </row>
    <row r="54" spans="1:18" s="1379" customFormat="1" ht="13.5" thickBot="1">
      <c r="A54" s="1148"/>
      <c r="B54" s="1362" t="s">
        <v>679</v>
      </c>
      <c r="C54" s="954"/>
      <c r="D54" s="1361"/>
      <c r="E54" s="3484"/>
      <c r="F54" s="1435"/>
      <c r="I54" s="14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7"/>
      <c r="K54" s="1437"/>
      <c r="L54" s="1437"/>
      <c r="M54" s="1420"/>
      <c r="O54" s="1398" t="s">
        <v>839</v>
      </c>
      <c r="P54" s="1376"/>
      <c r="Q54" s="1376"/>
      <c r="R54" s="1376"/>
    </row>
    <row r="55" spans="1:18" s="1379" customFormat="1" ht="13.5" thickBot="1">
      <c r="A55" s="1078" t="s">
        <v>437</v>
      </c>
      <c r="B55" s="1364" t="s">
        <v>703</v>
      </c>
      <c r="C55" s="1079"/>
      <c r="D55" s="1361"/>
      <c r="E55" s="3484"/>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8168</v>
      </c>
      <c r="D56" s="1442"/>
      <c r="E56" s="1443"/>
      <c r="F56" s="1435"/>
      <c r="I56" s="1444" t="s">
        <v>842</v>
      </c>
      <c r="J56" s="1445" t="s">
        <v>3450</v>
      </c>
      <c r="K56" s="1416" t="s">
        <v>843</v>
      </c>
      <c r="L56" s="1419">
        <f ca="1">IF(L48&lt;J51,"——",L48-J53)</f>
        <v>0</v>
      </c>
      <c r="O56" s="1413" t="s">
        <v>403</v>
      </c>
      <c r="P56" s="1414" t="s">
        <v>817</v>
      </c>
      <c r="Q56" s="1415">
        <f ca="1">C40+J29</f>
        <v>59856</v>
      </c>
      <c r="R56" s="1415" t="s">
        <v>818</v>
      </c>
    </row>
    <row r="57" spans="1:18" s="1379" customFormat="1" ht="24.75" thickBot="1">
      <c r="A57" s="1446"/>
      <c r="B57" s="945" t="s">
        <v>767</v>
      </c>
      <c r="C57" s="236">
        <f ca="1">C29</f>
        <v>10891</v>
      </c>
      <c r="D57" s="1447"/>
      <c r="E57" s="1448"/>
      <c r="F57" s="1449"/>
      <c r="I57" s="1450" t="s">
        <v>844</v>
      </c>
      <c r="J57" s="1451" t="str">
        <f ca="1">IF(OR(M47="住宅",J51&lt;L48,J56="是"),"——",J51-L48)</f>
        <v>——</v>
      </c>
      <c r="K57" s="1416" t="s">
        <v>845</v>
      </c>
      <c r="L57" s="1419">
        <f ca="1">IF(L48&lt;J51,"——",IF(L55="比较法",L49,IF(L55="基准地价",L50,L51)))</f>
        <v>30650</v>
      </c>
      <c r="O57" s="1413" t="s">
        <v>404</v>
      </c>
      <c r="P57" s="1414" t="s">
        <v>846</v>
      </c>
      <c r="Q57" s="1415">
        <f ca="1">L60</f>
        <v>0</v>
      </c>
      <c r="R57" s="1415" t="s">
        <v>847</v>
      </c>
    </row>
    <row r="58" spans="1:18" s="1379" customFormat="1" ht="24.75" thickBot="1">
      <c r="A58" s="313" t="s">
        <v>393</v>
      </c>
      <c r="B58" s="953" t="s">
        <v>714</v>
      </c>
      <c r="C58" s="314">
        <f ca="1">ROUND(C59+C64+C65+C66,0)</f>
        <v>121</v>
      </c>
      <c r="D58" s="955" t="s">
        <v>715</v>
      </c>
      <c r="E58" s="956"/>
      <c r="F58" s="957"/>
      <c r="I58" s="1450" t="s">
        <v>848</v>
      </c>
      <c r="J58" s="1452" t="e">
        <f ca="1">IF(J55&lt;0.4,0.4,J55)</f>
        <v>#VALUE!</v>
      </c>
      <c r="K58" s="1429" t="s">
        <v>849</v>
      </c>
      <c r="L58" s="1419">
        <f ca="1">ROUND(POWER(1+L52,L47-L48)*(POWER(1+L52,L48)-1)/(POWER(1+L52,L47)-1),4)</f>
        <v>0.95630000000000004</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4</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0.93210000000000004</v>
      </c>
      <c r="M59" s="1375">
        <f ca="1">ROUND(POWER(1+L52,L47-(J51+'数据-取费表'!B24))*(POWER(1+L52,(J51+'数据-取费表'!B24))-1)/(POWER(1+L52,L47)-1),4)</f>
        <v>0.93210000000000004</v>
      </c>
      <c r="N59" s="1375">
        <f ca="1">ROUND(POWER(1+L52,L47-(J51+'数据-取费表'!B20))*(POWER(1+L52,(J51+'数据-取费表'!B20))-1)/(POWER(1+L52,L47)-1),4)</f>
        <v>0.94579999999999997</v>
      </c>
      <c r="O59" s="1423" t="s">
        <v>406</v>
      </c>
      <c r="P59" s="1414" t="s">
        <v>852</v>
      </c>
      <c r="Q59" s="1426">
        <f>L52</f>
        <v>5.5E-2</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f ca="1">L58</f>
        <v>0.95630000000000004</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3301</v>
      </c>
      <c r="E61" s="945" t="s">
        <v>712</v>
      </c>
      <c r="F61" s="320">
        <f t="shared" si="0"/>
        <v>0.12</v>
      </c>
      <c r="I61" s="1456"/>
      <c r="J61" s="1456"/>
      <c r="K61" s="1456"/>
      <c r="L61" s="1456"/>
      <c r="O61" s="1423" t="s">
        <v>408</v>
      </c>
      <c r="P61" s="1414" t="str">
        <f>K59</f>
        <v>建筑物剩余耐用年限下的土地年期修正系数Kn</v>
      </c>
      <c r="Q61" s="1415">
        <f ca="1">L59</f>
        <v>0.93210000000000004</v>
      </c>
      <c r="R61" s="1415" t="s">
        <v>857</v>
      </c>
    </row>
    <row r="62" spans="1:18" s="1379" customFormat="1" ht="13.5" thickBot="1">
      <c r="A62" s="977" t="s">
        <v>784</v>
      </c>
      <c r="B62" s="944" t="s">
        <v>785</v>
      </c>
      <c r="C62" s="20">
        <f ca="1">IF(项目基本情况!B11="自然人","——",ROUND(F62*F63/10000,2))</f>
        <v>3.98</v>
      </c>
      <c r="D62" s="960" t="s">
        <v>731</v>
      </c>
      <c r="E62" s="945" t="s">
        <v>732</v>
      </c>
      <c r="F62" s="323">
        <f t="shared" si="0"/>
        <v>30</v>
      </c>
      <c r="I62" s="1457" t="s">
        <v>858</v>
      </c>
      <c r="J62" s="1458" t="s">
        <v>859</v>
      </c>
      <c r="K62" s="1458" t="s">
        <v>860</v>
      </c>
      <c r="L62" s="1458" t="s">
        <v>861</v>
      </c>
      <c r="M62" s="1459" t="s">
        <v>862</v>
      </c>
      <c r="O62" s="1413" t="s">
        <v>409</v>
      </c>
      <c r="P62" s="1414" t="s">
        <v>838</v>
      </c>
      <c r="Q62" s="1415">
        <f ca="1">Q56+Q57</f>
        <v>59856</v>
      </c>
      <c r="R62" s="1415" t="s">
        <v>410</v>
      </c>
    </row>
    <row r="63" spans="1:18" s="1379" customFormat="1" ht="13.5" thickBot="1">
      <c r="A63" s="324"/>
      <c r="B63" s="951"/>
      <c r="C63" s="24"/>
      <c r="D63" s="961"/>
      <c r="E63" s="945" t="s">
        <v>736</v>
      </c>
      <c r="F63" s="301">
        <f t="shared" ca="1" si="0"/>
        <v>1325.43</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108.91</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8.17</v>
      </c>
      <c r="D65" s="959" t="s">
        <v>743</v>
      </c>
      <c r="E65" s="945" t="s">
        <v>744</v>
      </c>
      <c r="F65" s="328">
        <f t="shared" ca="1" si="0"/>
        <v>1E-3</v>
      </c>
      <c r="I65" s="1457" t="s">
        <v>867</v>
      </c>
      <c r="J65" s="1458">
        <v>40</v>
      </c>
      <c r="K65" s="1458">
        <v>30</v>
      </c>
      <c r="L65" s="1458">
        <v>50</v>
      </c>
      <c r="M65" s="1460">
        <v>0.02</v>
      </c>
      <c r="O65" s="1413" t="s">
        <v>403</v>
      </c>
      <c r="P65" s="1414" t="s">
        <v>868</v>
      </c>
      <c r="Q65" s="1415">
        <f ca="1">C40+J29</f>
        <v>59856</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-121</v>
      </c>
      <c r="D67" s="958" t="s">
        <v>753</v>
      </c>
      <c r="E67" s="963"/>
      <c r="F67" s="964"/>
      <c r="O67" s="1423" t="s">
        <v>405</v>
      </c>
      <c r="P67" s="1414" t="s">
        <v>850</v>
      </c>
      <c r="Q67" s="1461">
        <f ca="1">L51</f>
        <v>30650</v>
      </c>
      <c r="R67" s="1415" t="s">
        <v>870</v>
      </c>
    </row>
    <row r="68" spans="1:18" s="1379" customFormat="1" ht="16.5" thickBot="1">
      <c r="A68" s="942" t="s">
        <v>395</v>
      </c>
      <c r="B68" s="943" t="s">
        <v>774</v>
      </c>
      <c r="C68" s="299">
        <f ca="1">ROUND(C67*(1-((1+F70)/(1+F68))^F69)/(F68-F70),0)</f>
        <v>-2054</v>
      </c>
      <c r="D68" s="960" t="s">
        <v>758</v>
      </c>
      <c r="E68" s="945" t="s">
        <v>759</v>
      </c>
      <c r="F68" s="310">
        <f ca="1">F40</f>
        <v>5.5E-2</v>
      </c>
      <c r="O68" s="1423" t="s">
        <v>406</v>
      </c>
      <c r="P68" s="1462" t="s">
        <v>871</v>
      </c>
      <c r="Q68" s="1415">
        <f ca="1">ROUND(Q69-Q70*Q71,0)</f>
        <v>1724</v>
      </c>
      <c r="R68" s="1415" t="s">
        <v>414</v>
      </c>
    </row>
    <row r="69" spans="1:18" s="1379" customFormat="1" ht="13.5" thickBot="1">
      <c r="A69" s="946"/>
      <c r="B69" s="947"/>
      <c r="C69" s="304"/>
      <c r="D69" s="965" t="s">
        <v>762</v>
      </c>
      <c r="E69" s="945" t="s">
        <v>763</v>
      </c>
      <c r="F69" s="331">
        <f ca="1">F41</f>
        <v>50.7</v>
      </c>
      <c r="O69" s="1423" t="s">
        <v>411</v>
      </c>
      <c r="P69" s="1462" t="s">
        <v>872</v>
      </c>
      <c r="Q69" s="1415">
        <f ca="1">C39</f>
        <v>2337</v>
      </c>
      <c r="R69" s="1415" t="s">
        <v>818</v>
      </c>
    </row>
    <row r="70" spans="1:18" s="1379" customFormat="1" ht="13.5" thickBot="1">
      <c r="A70" s="949"/>
      <c r="B70" s="950"/>
      <c r="C70" s="308"/>
      <c r="D70" s="961"/>
      <c r="E70" s="945" t="s">
        <v>766</v>
      </c>
      <c r="F70" s="1049"/>
      <c r="O70" s="1423" t="s">
        <v>412</v>
      </c>
      <c r="P70" s="1462" t="s">
        <v>873</v>
      </c>
      <c r="Q70" s="1415">
        <f ca="1">C13</f>
        <v>8168</v>
      </c>
      <c r="R70" s="1415" t="s">
        <v>818</v>
      </c>
    </row>
    <row r="71" spans="1:18" s="1379" customFormat="1" ht="13.5" thickBot="1">
      <c r="A71" s="966" t="s">
        <v>396</v>
      </c>
      <c r="B71" s="967" t="s">
        <v>776</v>
      </c>
      <c r="C71" s="334">
        <f ca="1">ROUND(C68*10000/F71,0)</f>
        <v>-1583</v>
      </c>
      <c r="D71" s="968" t="s">
        <v>777</v>
      </c>
      <c r="E71" s="969" t="s">
        <v>778</v>
      </c>
      <c r="F71" s="337">
        <f ca="1">F43</f>
        <v>12975.39</v>
      </c>
      <c r="O71" s="1423" t="s">
        <v>413</v>
      </c>
      <c r="P71" s="1462" t="s">
        <v>874</v>
      </c>
      <c r="Q71" s="1426">
        <f ca="1">C76</f>
        <v>7.4999999999999997E-2</v>
      </c>
      <c r="R71" s="1415"/>
    </row>
    <row r="72" spans="1:18" s="1379" customFormat="1" ht="13.5" thickBot="1">
      <c r="B72" s="724"/>
      <c r="C72" s="724"/>
      <c r="O72" s="1423" t="s">
        <v>407</v>
      </c>
      <c r="P72" s="1414" t="s">
        <v>852</v>
      </c>
      <c r="Q72" s="1426">
        <f>L52</f>
        <v>5.5E-2</v>
      </c>
      <c r="R72" s="1415"/>
    </row>
    <row r="73" spans="1:18" ht="16.5" thickBot="1">
      <c r="A73" s="1379"/>
      <c r="B73" s="724"/>
      <c r="C73" s="724"/>
      <c r="D73" s="1379"/>
      <c r="E73" s="1379"/>
      <c r="F73" s="1379"/>
      <c r="O73" s="1423" t="s">
        <v>408</v>
      </c>
      <c r="P73" s="1414" t="s">
        <v>855</v>
      </c>
      <c r="Q73" s="1415">
        <f ca="1">L58</f>
        <v>0.95630000000000004</v>
      </c>
      <c r="R73" s="1415" t="s">
        <v>856</v>
      </c>
    </row>
    <row r="74" spans="1:18" ht="13.5" thickBot="1">
      <c r="A74" s="1379"/>
      <c r="B74" s="271" t="s">
        <v>875</v>
      </c>
      <c r="C74" s="1464"/>
      <c r="D74" s="1379"/>
      <c r="E74" s="1379"/>
      <c r="F74" s="1379"/>
      <c r="O74" s="1423" t="s">
        <v>415</v>
      </c>
      <c r="P74" s="1414" t="str">
        <f>K59</f>
        <v>建筑物剩余耐用年限下的土地年期修正系数Kn</v>
      </c>
      <c r="Q74" s="1415">
        <f ca="1">L59</f>
        <v>0.93210000000000004</v>
      </c>
      <c r="R74" s="1415" t="s">
        <v>857</v>
      </c>
    </row>
    <row r="75" spans="1:18" ht="13.5" thickBot="1">
      <c r="A75" s="1379"/>
      <c r="B75" s="338" t="s">
        <v>795</v>
      </c>
      <c r="C75" s="339">
        <f ca="1">ROUND(C13*C76,0)</f>
        <v>613</v>
      </c>
      <c r="D75" s="1379"/>
      <c r="E75" s="1379"/>
      <c r="F75" s="1379"/>
      <c r="K75" s="1397"/>
      <c r="L75" s="1379"/>
      <c r="O75" s="1413" t="s">
        <v>409</v>
      </c>
      <c r="P75" s="1414" t="s">
        <v>838</v>
      </c>
      <c r="Q75" s="1415">
        <f ca="1">Q65+Q66</f>
        <v>59856</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0.73799999999999999</v>
      </c>
    </row>
    <row r="80" spans="1:18">
      <c r="B80" s="338" t="s">
        <v>800</v>
      </c>
      <c r="C80" s="272">
        <f ca="1">ROUND(C75/C39,3)</f>
        <v>0.26200000000000001</v>
      </c>
    </row>
    <row r="81" spans="2:3">
      <c r="B81" s="268" t="s">
        <v>801</v>
      </c>
      <c r="C81" s="236"/>
    </row>
    <row r="82" spans="2:3">
      <c r="B82" s="271" t="s">
        <v>802</v>
      </c>
      <c r="C82" s="273">
        <f ca="1">1-C83</f>
        <v>0.86399999999999999</v>
      </c>
    </row>
    <row r="83" spans="2:3">
      <c r="B83" s="271" t="s">
        <v>803</v>
      </c>
      <c r="C83" s="272">
        <f ca="1">ROUND(C13/C40,3)</f>
        <v>0.13600000000000001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3765</v>
      </c>
      <c r="D1" s="1357" t="s">
        <v>43</v>
      </c>
      <c r="E1" s="1358" t="s">
        <v>678</v>
      </c>
      <c r="F1" s="1057">
        <f ca="1">J53</f>
        <v>30.69</v>
      </c>
      <c r="G1" s="1373">
        <f>MATCH(C1,'数据-取费表'!A6:A16,0)+5</f>
        <v>9</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1826</v>
      </c>
      <c r="C2" s="1382" t="s">
        <v>805</v>
      </c>
      <c r="D2" s="1382"/>
      <c r="E2" s="1383"/>
      <c r="F2" s="1384"/>
      <c r="G2" s="2701"/>
      <c r="H2" s="2690"/>
      <c r="I2" s="2690"/>
      <c r="J2" s="2690"/>
      <c r="K2" s="2691"/>
      <c r="L2" s="2690"/>
      <c r="M2" s="2690"/>
    </row>
    <row r="3" spans="1:37" ht="18" customHeight="1" thickBot="1">
      <c r="A3" s="1385" t="s">
        <v>806</v>
      </c>
      <c r="B3" s="1386">
        <f ca="1">IF(ISERROR(B2*10000/F43),0,ROUND(B2*10000/F43,0))</f>
        <v>4282</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133</v>
      </c>
      <c r="D5" s="1359" t="s">
        <v>693</v>
      </c>
      <c r="E5" s="1066"/>
      <c r="F5" s="1067"/>
      <c r="G5" s="1379"/>
      <c r="H5" s="297">
        <v>1</v>
      </c>
      <c r="I5" s="298" t="s">
        <v>692</v>
      </c>
      <c r="J5" s="1065">
        <f ca="1">J6+J10+J12</f>
        <v>0</v>
      </c>
      <c r="K5" s="1359" t="s">
        <v>693</v>
      </c>
      <c r="L5" s="1066"/>
      <c r="M5" s="1067"/>
    </row>
    <row r="6" spans="1:37" ht="18" customHeight="1">
      <c r="A6" s="1064" t="s">
        <v>398</v>
      </c>
      <c r="B6" s="4039" t="s">
        <v>694</v>
      </c>
      <c r="C6" s="1069">
        <f ca="1">ROUND(F6*F8*F7*(1-F9)/10000,0)</f>
        <v>133</v>
      </c>
      <c r="D6" s="153" t="s">
        <v>2109</v>
      </c>
      <c r="E6" s="300" t="s">
        <v>696</v>
      </c>
      <c r="F6" s="301">
        <f ca="1">INDIRECT("'数据-取费表'!u"&amp;$G$1)</f>
        <v>1500</v>
      </c>
      <c r="G6" s="1379"/>
      <c r="H6" s="1064" t="s">
        <v>398</v>
      </c>
      <c r="I6" s="4039" t="s">
        <v>694</v>
      </c>
      <c r="J6" s="299">
        <f ca="1">ROUND(M6*M8*M7*(1-M9)/10000,0)</f>
        <v>0</v>
      </c>
      <c r="K6" s="153" t="s">
        <v>2108</v>
      </c>
      <c r="L6" s="300" t="s">
        <v>696</v>
      </c>
      <c r="M6" s="301">
        <f ca="1">INDIRECT("'数据-取费表'!z"&amp;$G$1)</f>
        <v>0</v>
      </c>
    </row>
    <row r="7" spans="1:37" ht="18" customHeight="1">
      <c r="A7" s="1068"/>
      <c r="B7" s="4040"/>
      <c r="C7" s="1070"/>
      <c r="D7" s="305"/>
      <c r="E7" s="3648" t="s">
        <v>697</v>
      </c>
      <c r="F7" s="301">
        <f ca="1">IF(INDIRECT("'数据-取费表'!ah"&amp;$G$1)="",INDIRECT("'数据-取费表'!k"&amp;$G$1),INDIRECT("'数据-取费表'!ah"&amp;$G$1))</f>
        <v>87</v>
      </c>
      <c r="G7" s="1379"/>
      <c r="H7" s="302"/>
      <c r="I7" s="4040"/>
      <c r="J7" s="304"/>
      <c r="K7" s="305"/>
      <c r="L7" s="300" t="s">
        <v>697</v>
      </c>
      <c r="M7" s="301">
        <f ca="1">F7</f>
        <v>87</v>
      </c>
    </row>
    <row r="8" spans="1:37" ht="18" customHeight="1">
      <c r="A8" s="302"/>
      <c r="B8" s="4040"/>
      <c r="C8" s="304"/>
      <c r="D8" s="305"/>
      <c r="E8" s="300" t="s">
        <v>698</v>
      </c>
      <c r="F8" s="301">
        <f ca="1">INDIRECT("'数据-取费表'!ai"&amp;$G$1)</f>
        <v>12</v>
      </c>
      <c r="G8" s="1379"/>
      <c r="H8" s="302"/>
      <c r="I8" s="4040"/>
      <c r="J8" s="304"/>
      <c r="K8" s="305"/>
      <c r="L8" s="300" t="s">
        <v>698</v>
      </c>
      <c r="M8" s="301">
        <f ca="1">INDIRECT("'数据-取费表'!ai"&amp;$G$1)</f>
        <v>12</v>
      </c>
    </row>
    <row r="9" spans="1:37" ht="18" customHeight="1">
      <c r="A9" s="302"/>
      <c r="B9" s="4041"/>
      <c r="C9" s="304"/>
      <c r="D9" s="305"/>
      <c r="E9" s="300" t="s">
        <v>699</v>
      </c>
      <c r="F9" s="310">
        <f ca="1">INDIRECT("'数据-取费表'!w"&amp;$G$1)</f>
        <v>0.15</v>
      </c>
      <c r="G9" s="1379"/>
      <c r="H9" s="302"/>
      <c r="I9" s="4041"/>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3780</v>
      </c>
      <c r="G10" s="1379"/>
      <c r="H10" s="1064" t="s">
        <v>402</v>
      </c>
      <c r="I10" s="1360" t="s">
        <v>700</v>
      </c>
      <c r="J10" s="299">
        <f ca="1">ROUND(IF(M10="押一",J6/12*M11,IF(M10="押二",J6/12*2*M11,IF(M10="押三",J6/12*3*M11,J11*M11))),0)</f>
        <v>0</v>
      </c>
      <c r="K10" s="1361" t="s">
        <v>2116</v>
      </c>
      <c r="L10" s="311" t="s">
        <v>701</v>
      </c>
      <c r="M10" s="1111" t="s">
        <v>3751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1942</v>
      </c>
      <c r="D13" s="3645" t="s">
        <v>705</v>
      </c>
      <c r="E13" s="3645"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1919</v>
      </c>
      <c r="D14" s="3651" t="s">
        <v>708</v>
      </c>
      <c r="E14" s="3650"/>
      <c r="F14" s="317"/>
      <c r="G14" s="1379"/>
      <c r="H14" s="977" t="s">
        <v>398</v>
      </c>
      <c r="I14" s="300" t="s">
        <v>709</v>
      </c>
      <c r="J14" s="19">
        <f ca="1">C29</f>
        <v>2589</v>
      </c>
      <c r="K14" s="3647"/>
      <c r="L14" s="802"/>
      <c r="M14" s="803"/>
    </row>
    <row r="15" spans="1:37" s="1392" customFormat="1" ht="18" customHeight="1" thickBot="1">
      <c r="A15" s="977" t="s">
        <v>399</v>
      </c>
      <c r="B15" s="300" t="s">
        <v>710</v>
      </c>
      <c r="C15" s="19">
        <f ca="1">ROUND(C14*F15,0)</f>
        <v>96</v>
      </c>
      <c r="D15" s="3646" t="s">
        <v>711</v>
      </c>
      <c r="E15" s="3646"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14</v>
      </c>
      <c r="K16" s="1082" t="s">
        <v>715</v>
      </c>
      <c r="L16" s="3653"/>
      <c r="M16" s="1067"/>
    </row>
    <row r="17" spans="1:37" s="1392" customFormat="1" ht="18" customHeight="1">
      <c r="A17" s="977" t="s">
        <v>681</v>
      </c>
      <c r="B17" s="300" t="s">
        <v>716</v>
      </c>
      <c r="C17" s="19">
        <f ca="1">ROUND(F17*(F43+INDIRECT("'数据-取费表'!S"&amp;$G$1))/10000,0)</f>
        <v>85</v>
      </c>
      <c r="D17" s="300" t="s">
        <v>717</v>
      </c>
      <c r="E17" s="300" t="s">
        <v>718</v>
      </c>
      <c r="F17" s="21">
        <f>'数据-取费表'!B35</f>
        <v>200</v>
      </c>
      <c r="G17" s="1391"/>
      <c r="H17" s="977" t="s">
        <v>398</v>
      </c>
      <c r="I17" s="300" t="s">
        <v>719</v>
      </c>
      <c r="J17" s="2311">
        <f ca="1">ROUND(IF(AND(项目基本情况!B11="自然人",项目基本情况!B10="北京市"),J6*M17/(1+'数据-取费表'!C42),J18+J19+J20),2)</f>
        <v>1.31</v>
      </c>
      <c r="K17" s="3651" t="s">
        <v>720</v>
      </c>
      <c r="L17" s="3652"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29</v>
      </c>
      <c r="D18" s="300" t="s">
        <v>711</v>
      </c>
      <c r="E18" s="300" t="s">
        <v>712</v>
      </c>
      <c r="F18" s="320">
        <f>'数据-取费表'!B36</f>
        <v>1.4999999999999999E-2</v>
      </c>
      <c r="G18" s="1391"/>
      <c r="H18" s="977" t="s">
        <v>397</v>
      </c>
      <c r="I18" s="300" t="s">
        <v>723</v>
      </c>
      <c r="J18" s="19">
        <f ca="1">ROUND(J6*M18/(1+'数据-取费表'!C42),2)</f>
        <v>0</v>
      </c>
      <c r="K18" s="3652"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2129</v>
      </c>
      <c r="D19" s="129" t="s">
        <v>726</v>
      </c>
      <c r="E19" s="3655"/>
      <c r="F19" s="21"/>
      <c r="G19" s="1379"/>
      <c r="H19" s="977" t="s">
        <v>399</v>
      </c>
      <c r="I19" s="300" t="s">
        <v>727</v>
      </c>
      <c r="J19" s="19">
        <f ca="1">IF(K19="按租金收入计税",ROUND(J6*M19/(1+'数据-取费表'!C42),2),ROUND(C29*M19*0.7,2))</f>
        <v>0</v>
      </c>
      <c r="K19" s="1365" t="s">
        <v>3301</v>
      </c>
      <c r="L19" s="300" t="s">
        <v>712</v>
      </c>
      <c r="M19" s="320">
        <f>IF(K19="按租金收入计税",'数据-取费表'!B51,'数据-取费表'!B50)</f>
        <v>0.12</v>
      </c>
    </row>
    <row r="20" spans="1:37" s="1392" customFormat="1" ht="18" customHeight="1">
      <c r="A20" s="977" t="s">
        <v>402</v>
      </c>
      <c r="B20" s="300" t="s">
        <v>728</v>
      </c>
      <c r="C20" s="19">
        <f ca="1">ROUND(C19*F20,0)</f>
        <v>43</v>
      </c>
      <c r="D20" s="2423" t="s">
        <v>729</v>
      </c>
      <c r="E20" s="300" t="s">
        <v>712</v>
      </c>
      <c r="F20" s="320">
        <f>'数据-取费表'!B37</f>
        <v>0.02</v>
      </c>
      <c r="G20" s="1391"/>
      <c r="H20" s="977" t="s">
        <v>680</v>
      </c>
      <c r="I20" s="153" t="s">
        <v>730</v>
      </c>
      <c r="J20" s="20">
        <f ca="1">ROUND(M20*M21/10000,2)</f>
        <v>1.31</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435.6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655"/>
      <c r="F22" s="21"/>
      <c r="G22" s="1379"/>
      <c r="H22" s="977" t="s">
        <v>402</v>
      </c>
      <c r="I22" s="300" t="s">
        <v>738</v>
      </c>
      <c r="J22" s="19">
        <f ca="1">ROUND(J14*M22,2)</f>
        <v>12.95</v>
      </c>
      <c r="K22" s="3652" t="s">
        <v>739</v>
      </c>
      <c r="L22" s="300" t="s">
        <v>712</v>
      </c>
      <c r="M22" s="326">
        <f ca="1">INDIRECT("'数据-取费表'!Ak"&amp;$G$1)</f>
        <v>5.0000000000000001E-3</v>
      </c>
    </row>
    <row r="23" spans="1:37" s="1392" customFormat="1" ht="18" customHeight="1">
      <c r="A23" s="977" t="s">
        <v>397</v>
      </c>
      <c r="B23" s="300" t="s">
        <v>740</v>
      </c>
      <c r="C23" s="19">
        <f ca="1">IF('数据-取费表'!B22&lt;=1,ROUND(C19*F24*F23/2,0)+ROUND(C20*F24*F23/2,0),ROUND(C19*(POWER((1+F24),F23/2)-1),0)+ROUND(C20*(POWER((1+F24),F23/2)-1),0))</f>
        <v>113</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652"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0" t="s">
        <v>746</v>
      </c>
      <c r="C24" s="19">
        <f ca="1">ROUND(IF('数据-取费表'!B22&lt;=1,F21*F24*F23/2,F21*(POWER((1+F24),F23/2)-1)),4)</f>
        <v>1E-3</v>
      </c>
      <c r="D24" s="327" t="str">
        <f>IF(F23&lt;=1,"销售费用×利率×(建设周期÷2)","销售费用×((1+利率)^(建设周期÷2)-1)")</f>
        <v>销售费用×((1+利率)^(建设周期÷2)-1)</v>
      </c>
      <c r="E24" s="300" t="s">
        <v>747</v>
      </c>
      <c r="F24" s="329">
        <f ca="1">'数据-取费表'!B40</f>
        <v>3.4500000000000003E-2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655"/>
      <c r="F25" s="21"/>
      <c r="G25" s="1379"/>
      <c r="H25" s="1074" t="s">
        <v>394</v>
      </c>
      <c r="I25" s="1089" t="s">
        <v>752</v>
      </c>
      <c r="J25" s="308">
        <f ca="1">J5-J16</f>
        <v>-14</v>
      </c>
      <c r="K25" s="1090" t="s">
        <v>753</v>
      </c>
      <c r="L25" s="1091"/>
      <c r="M25" s="1092"/>
    </row>
    <row r="26" spans="1:37">
      <c r="A26" s="977" t="s">
        <v>397</v>
      </c>
      <c r="B26" s="300" t="s">
        <v>754</v>
      </c>
      <c r="C26" s="19">
        <f ca="1">ROUND((C19+C20)*F26,0)</f>
        <v>109</v>
      </c>
      <c r="D26" s="2423" t="s">
        <v>755</v>
      </c>
      <c r="E26" s="311" t="s">
        <v>756</v>
      </c>
      <c r="F26" s="310">
        <f ca="1">INDIRECT("'数据-取费表'!q"&amp;$G$1)</f>
        <v>0.05</v>
      </c>
      <c r="G26" s="1379"/>
      <c r="H26" s="297" t="s">
        <v>395</v>
      </c>
      <c r="I26" s="298" t="s">
        <v>757</v>
      </c>
      <c r="J26" s="299">
        <f ca="1">IF(J5&lt;&gt;0,ROUND(J25*(1-((1+M28)/(1+M26))^M27)/(M26-M28),0),0)</f>
        <v>0</v>
      </c>
      <c r="K26" s="322" t="s">
        <v>758</v>
      </c>
      <c r="L26" s="300" t="s">
        <v>759</v>
      </c>
      <c r="M26" s="310">
        <f ca="1">INDIRECT("'数据-取费表'!I"&amp;$G$1)</f>
        <v>0.05</v>
      </c>
    </row>
    <row r="27" spans="1:37" ht="18" customHeight="1">
      <c r="A27" s="977" t="s">
        <v>399</v>
      </c>
      <c r="B27" s="300" t="s">
        <v>760</v>
      </c>
      <c r="C27" s="19">
        <f ca="1">ROUND(F21*F26,4)</f>
        <v>1E-3</v>
      </c>
      <c r="D27" s="2423" t="s">
        <v>761</v>
      </c>
      <c r="E27" s="3646"/>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2589</v>
      </c>
      <c r="D29" s="1087"/>
      <c r="E29" s="1085"/>
      <c r="F29" s="1088"/>
      <c r="G29" s="1391"/>
      <c r="H29" s="332" t="s">
        <v>396</v>
      </c>
      <c r="I29" s="333" t="s">
        <v>768</v>
      </c>
      <c r="J29" s="334">
        <f ca="1">ROUND(J26/(1+F40)^F41,0)</f>
        <v>0</v>
      </c>
      <c r="K29" s="335" t="s">
        <v>769</v>
      </c>
      <c r="L29" s="336"/>
      <c r="M29" s="337">
        <f ca="1">INDIRECT("'数据-取费表'!k"&amp;$G$1)</f>
        <v>4264.3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40</v>
      </c>
      <c r="D30" s="1082" t="s">
        <v>715</v>
      </c>
      <c r="E30" s="365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23.6</v>
      </c>
      <c r="D31" s="3651" t="s">
        <v>720</v>
      </c>
      <c r="E31" s="3652"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7.09</v>
      </c>
      <c r="D32" s="3652"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15.2</v>
      </c>
      <c r="D33" s="1365" t="s">
        <v>3301</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1.31</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435.6</v>
      </c>
      <c r="G35" s="1379"/>
      <c r="H35" s="2692"/>
      <c r="I35" s="1393"/>
      <c r="J35" s="1394"/>
      <c r="K35" s="2696"/>
      <c r="L35" s="2695"/>
      <c r="M35" s="2695"/>
    </row>
    <row r="36" spans="1:18" ht="18" customHeight="1">
      <c r="A36" s="1097" t="s">
        <v>402</v>
      </c>
      <c r="B36" s="300" t="s">
        <v>738</v>
      </c>
      <c r="C36" s="19">
        <f ca="1">ROUND(C29*F36,2)</f>
        <v>12.95</v>
      </c>
      <c r="D36" s="3652" t="s">
        <v>771</v>
      </c>
      <c r="E36" s="300" t="s">
        <v>712</v>
      </c>
      <c r="F36" s="326">
        <f ca="1">INDIRECT("'数据-取费表'!Ak"&amp;$G$1)</f>
        <v>5.0000000000000001E-3</v>
      </c>
      <c r="G36" s="1379"/>
      <c r="H36" s="2695"/>
      <c r="I36" s="1393"/>
      <c r="J36" s="1394"/>
      <c r="K36" s="2539"/>
      <c r="L36" s="2695"/>
      <c r="M36" s="2695"/>
    </row>
    <row r="37" spans="1:18" ht="18" customHeight="1">
      <c r="A37" s="977" t="s">
        <v>437</v>
      </c>
      <c r="B37" s="300" t="s">
        <v>742</v>
      </c>
      <c r="C37" s="19">
        <f ca="1">ROUND(C13*F37,2)</f>
        <v>1.94</v>
      </c>
      <c r="D37" s="3652"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1.33</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93</v>
      </c>
      <c r="D39" s="1090" t="s">
        <v>773</v>
      </c>
      <c r="E39" s="1091"/>
      <c r="F39" s="1092"/>
      <c r="G39" s="1379"/>
      <c r="H39" s="2695"/>
      <c r="I39" s="1393"/>
      <c r="J39" s="1394"/>
      <c r="K39" s="2699"/>
      <c r="L39" s="2695"/>
      <c r="M39" s="2695"/>
    </row>
    <row r="40" spans="1:18" ht="18" customHeight="1">
      <c r="A40" s="297" t="s">
        <v>395</v>
      </c>
      <c r="B40" s="298" t="s">
        <v>774</v>
      </c>
      <c r="C40" s="299">
        <f ca="1">ROUND(C39*(1-((1+F42)/(1+F40))^F41)/(F40-F42),0)</f>
        <v>1826</v>
      </c>
      <c r="D40" s="322" t="s">
        <v>758</v>
      </c>
      <c r="E40" s="300" t="s">
        <v>759</v>
      </c>
      <c r="F40" s="310">
        <f ca="1">INDIRECT("'数据-取费表'!I"&amp;$G$1)</f>
        <v>0.05</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30.69</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ROUND(C40*10000/F43,0)</f>
        <v>4282</v>
      </c>
      <c r="D43" s="335" t="s">
        <v>777</v>
      </c>
      <c r="E43" s="336" t="s">
        <v>778</v>
      </c>
      <c r="F43" s="337">
        <f ca="1">INDIRECT("'数据-取费表'!k"&amp;$G$1)</f>
        <v>4264.3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-2074</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3749</v>
      </c>
      <c r="K47" s="1411" t="s">
        <v>816</v>
      </c>
      <c r="L47" s="1412">
        <f ca="1">INDIRECT("'数据-取费表'!d"&amp;$G$1)</f>
        <v>50</v>
      </c>
      <c r="M47" s="1375" t="str">
        <f>IF(ISNUMBER(FIND("住宅",C1)),"住宅","非住宅")</f>
        <v>非住宅</v>
      </c>
      <c r="O47" s="1413" t="s">
        <v>403</v>
      </c>
      <c r="P47" s="1414" t="s">
        <v>817</v>
      </c>
      <c r="Q47" s="1415">
        <f ca="1">C40+J29</f>
        <v>1826</v>
      </c>
      <c r="R47" s="1415" t="s">
        <v>818</v>
      </c>
    </row>
    <row r="48" spans="1:18" s="1379" customFormat="1" ht="28.5" thickBot="1">
      <c r="A48" s="1105" t="s">
        <v>438</v>
      </c>
      <c r="B48" s="298" t="s">
        <v>692</v>
      </c>
      <c r="C48" s="3654">
        <f ca="1">C49+C53+C55</f>
        <v>0</v>
      </c>
      <c r="D48" s="1107"/>
      <c r="E48" s="1108"/>
      <c r="F48" s="957"/>
      <c r="G48" s="720"/>
      <c r="H48" s="721"/>
      <c r="I48" s="1416" t="s">
        <v>819</v>
      </c>
      <c r="J48" s="1417" t="s">
        <v>3750</v>
      </c>
      <c r="K48" s="1418" t="s">
        <v>820</v>
      </c>
      <c r="L48" s="1419">
        <f ca="1">INDIRECT("'数据-取费表'!f"&amp;$G$1)</f>
        <v>30.69</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2589</v>
      </c>
      <c r="R49" s="1415" t="s">
        <v>818</v>
      </c>
    </row>
    <row r="50" spans="1:18" s="1379" customFormat="1" ht="13.5" thickBot="1">
      <c r="A50" s="971"/>
      <c r="B50" s="974"/>
      <c r="C50" s="1113"/>
      <c r="D50" s="948"/>
      <c r="E50" s="1051" t="s">
        <v>697</v>
      </c>
      <c r="F50" s="1052">
        <f ca="1">F7</f>
        <v>87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12</v>
      </c>
      <c r="I51" s="1427" t="s">
        <v>829</v>
      </c>
      <c r="J51" s="1428">
        <f>IF(J49="",J50,J49+J50-YEAR('数据-取费表'!B2))</f>
        <v>45</v>
      </c>
      <c r="K51" s="1429" t="s">
        <v>830</v>
      </c>
      <c r="L51" s="1430">
        <f ca="1">ROUND(-PV(INDIRECT("'数据-取费表'!h"&amp;$G$1),J51,(C39-C13*C76),0),0)</f>
        <v>-1009</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30.69</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30.69</v>
      </c>
      <c r="K53" s="4042" t="s">
        <v>837</v>
      </c>
      <c r="L53" s="4043"/>
      <c r="O53" s="1413" t="s">
        <v>409</v>
      </c>
      <c r="P53" s="1414" t="s">
        <v>838</v>
      </c>
      <c r="Q53" s="1415">
        <f ca="1">Q47+Q48</f>
        <v>1826</v>
      </c>
      <c r="R53" s="1415" t="s">
        <v>410</v>
      </c>
    </row>
    <row r="54" spans="1:18" s="1379" customFormat="1" ht="13.5" thickBot="1">
      <c r="A54" s="1148"/>
      <c r="B54" s="1362" t="s">
        <v>679</v>
      </c>
      <c r="C54" s="954"/>
      <c r="D54" s="1361"/>
      <c r="E54" s="364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64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1942</v>
      </c>
      <c r="D56" s="1442"/>
      <c r="E56" s="1443"/>
      <c r="F56" s="1435"/>
      <c r="I56" s="1444" t="s">
        <v>842</v>
      </c>
      <c r="J56" s="1445" t="s">
        <v>3450</v>
      </c>
      <c r="K56" s="1416" t="s">
        <v>843</v>
      </c>
      <c r="L56" s="1419" t="str">
        <f ca="1">IF(L48&lt;J51,"——",L48-J53)</f>
        <v>——</v>
      </c>
      <c r="O56" s="1413" t="s">
        <v>403</v>
      </c>
      <c r="P56" s="1414" t="s">
        <v>817</v>
      </c>
      <c r="Q56" s="1415">
        <f ca="1">C40+J29</f>
        <v>1826</v>
      </c>
      <c r="R56" s="1415" t="s">
        <v>818</v>
      </c>
    </row>
    <row r="57" spans="1:18" s="1379" customFormat="1" ht="24.75" thickBot="1">
      <c r="A57" s="1446"/>
      <c r="B57" s="945" t="s">
        <v>767</v>
      </c>
      <c r="C57" s="236">
        <f ca="1">C29</f>
        <v>2589</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16</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1</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3301</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1.31</v>
      </c>
      <c r="D62" s="960" t="s">
        <v>731</v>
      </c>
      <c r="E62" s="945" t="s">
        <v>787</v>
      </c>
      <c r="F62" s="323">
        <f t="shared" si="0"/>
        <v>30</v>
      </c>
      <c r="I62" s="1457" t="s">
        <v>858</v>
      </c>
      <c r="J62" s="1458" t="s">
        <v>859</v>
      </c>
      <c r="K62" s="1458" t="s">
        <v>860</v>
      </c>
      <c r="L62" s="1458" t="s">
        <v>861</v>
      </c>
      <c r="M62" s="1459" t="s">
        <v>862</v>
      </c>
      <c r="O62" s="1413" t="s">
        <v>409</v>
      </c>
      <c r="P62" s="1414" t="s">
        <v>838</v>
      </c>
      <c r="Q62" s="1415">
        <f ca="1">Q56+Q57</f>
        <v>1826</v>
      </c>
      <c r="R62" s="1415" t="s">
        <v>410</v>
      </c>
    </row>
    <row r="63" spans="1:18" s="1379" customFormat="1" ht="13.5" thickBot="1">
      <c r="A63" s="324"/>
      <c r="B63" s="951"/>
      <c r="C63" s="24"/>
      <c r="D63" s="961"/>
      <c r="E63" s="945" t="s">
        <v>736</v>
      </c>
      <c r="F63" s="301">
        <f t="shared" ca="1" si="0"/>
        <v>435.6</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12.95</v>
      </c>
      <c r="D64" s="959" t="s">
        <v>771</v>
      </c>
      <c r="E64" s="945" t="s">
        <v>712</v>
      </c>
      <c r="F64" s="326">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1.94</v>
      </c>
      <c r="D65" s="959" t="s">
        <v>743</v>
      </c>
      <c r="E65" s="945" t="s">
        <v>712</v>
      </c>
      <c r="F65" s="328">
        <f t="shared" ca="1" si="0"/>
        <v>1E-3</v>
      </c>
      <c r="I65" s="1457" t="s">
        <v>867</v>
      </c>
      <c r="J65" s="1458">
        <v>40</v>
      </c>
      <c r="K65" s="1458">
        <v>30</v>
      </c>
      <c r="L65" s="1458">
        <v>50</v>
      </c>
      <c r="M65" s="1460">
        <v>0.02</v>
      </c>
      <c r="O65" s="1413" t="s">
        <v>403</v>
      </c>
      <c r="P65" s="1414" t="s">
        <v>817</v>
      </c>
      <c r="Q65" s="1415">
        <f ca="1">C40+J29</f>
        <v>1826</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-16</v>
      </c>
      <c r="D67" s="958" t="s">
        <v>753</v>
      </c>
      <c r="E67" s="963"/>
      <c r="F67" s="964"/>
      <c r="O67" s="1423" t="s">
        <v>405</v>
      </c>
      <c r="P67" s="1414" t="s">
        <v>850</v>
      </c>
      <c r="Q67" s="1461">
        <f ca="1">L51</f>
        <v>-1009</v>
      </c>
      <c r="R67" s="1415" t="s">
        <v>870</v>
      </c>
    </row>
    <row r="68" spans="1:18" s="1379" customFormat="1" ht="16.5" thickBot="1">
      <c r="A68" s="942" t="s">
        <v>395</v>
      </c>
      <c r="B68" s="943" t="s">
        <v>774</v>
      </c>
      <c r="C68" s="299">
        <f ca="1">ROUND(C67*(1-((1+F70)/(1+F68))^F69)/(F68-F70),0)</f>
        <v>-248</v>
      </c>
      <c r="D68" s="960" t="s">
        <v>758</v>
      </c>
      <c r="E68" s="945" t="s">
        <v>759</v>
      </c>
      <c r="F68" s="310">
        <f ca="1">F40</f>
        <v>0.05</v>
      </c>
      <c r="O68" s="1423" t="s">
        <v>406</v>
      </c>
      <c r="P68" s="1462" t="s">
        <v>871</v>
      </c>
      <c r="Q68" s="1415">
        <f ca="1">ROUND(Q69-Q70*Q71,0)</f>
        <v>-53</v>
      </c>
      <c r="R68" s="1415" t="s">
        <v>414</v>
      </c>
    </row>
    <row r="69" spans="1:18" s="1379" customFormat="1" ht="13.5" thickBot="1">
      <c r="A69" s="946"/>
      <c r="B69" s="947"/>
      <c r="C69" s="304"/>
      <c r="D69" s="965" t="s">
        <v>762</v>
      </c>
      <c r="E69" s="945" t="s">
        <v>763</v>
      </c>
      <c r="F69" s="331">
        <f ca="1">F41</f>
        <v>30.69</v>
      </c>
      <c r="O69" s="1423" t="s">
        <v>411</v>
      </c>
      <c r="P69" s="1462" t="s">
        <v>872</v>
      </c>
      <c r="Q69" s="1415">
        <f ca="1">C39</f>
        <v>93</v>
      </c>
      <c r="R69" s="1415" t="s">
        <v>818</v>
      </c>
    </row>
    <row r="70" spans="1:18" s="1379" customFormat="1" ht="13.5" thickBot="1">
      <c r="A70" s="949"/>
      <c r="B70" s="950"/>
      <c r="C70" s="308"/>
      <c r="D70" s="961"/>
      <c r="E70" s="945" t="s">
        <v>766</v>
      </c>
      <c r="F70" s="1049"/>
      <c r="O70" s="1423" t="s">
        <v>412</v>
      </c>
      <c r="P70" s="1462" t="s">
        <v>873</v>
      </c>
      <c r="Q70" s="1415">
        <f ca="1">C13</f>
        <v>1942</v>
      </c>
      <c r="R70" s="1415" t="s">
        <v>818</v>
      </c>
    </row>
    <row r="71" spans="1:18" s="1379" customFormat="1" ht="13.5" thickBot="1">
      <c r="A71" s="966" t="s">
        <v>396</v>
      </c>
      <c r="B71" s="967" t="s">
        <v>776</v>
      </c>
      <c r="C71" s="334">
        <f ca="1">ROUND(C68*10000/F71,0)</f>
        <v>-582</v>
      </c>
      <c r="D71" s="968" t="s">
        <v>777</v>
      </c>
      <c r="E71" s="969" t="s">
        <v>778</v>
      </c>
      <c r="F71" s="337">
        <f ca="1">F43</f>
        <v>4264.3</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146</v>
      </c>
      <c r="D75" s="1379"/>
      <c r="E75" s="1379"/>
      <c r="F75" s="1379"/>
      <c r="K75" s="1397"/>
      <c r="L75" s="1379"/>
      <c r="O75" s="1413" t="s">
        <v>409</v>
      </c>
      <c r="P75" s="1414" t="s">
        <v>838</v>
      </c>
      <c r="Q75" s="1415">
        <f ca="1">Q65+Q66</f>
        <v>1826</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-0.57000000000000006</v>
      </c>
    </row>
    <row r="80" spans="1:18">
      <c r="B80" s="338" t="s">
        <v>800</v>
      </c>
      <c r="C80" s="272">
        <f ca="1">ROUND(C75/C39,3)</f>
        <v>1.57</v>
      </c>
    </row>
    <row r="81" spans="2:3">
      <c r="B81" s="268" t="s">
        <v>801</v>
      </c>
      <c r="C81" s="236"/>
    </row>
    <row r="82" spans="2:3">
      <c r="B82" s="271" t="s">
        <v>802</v>
      </c>
      <c r="C82" s="273">
        <f ca="1">1-C83</f>
        <v>-6.4000000000000057E-2</v>
      </c>
    </row>
    <row r="83" spans="2:3">
      <c r="B83" s="271" t="s">
        <v>803</v>
      </c>
      <c r="C83" s="272">
        <f ca="1">ROUND(C13/C40,3)</f>
        <v>1.0640000000000001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77"/>
  <sheetViews>
    <sheetView topLeftCell="A37" zoomScaleNormal="100" workbookViewId="0">
      <selection activeCell="E71" sqref="E71"/>
    </sheetView>
  </sheetViews>
  <sheetFormatPr defaultRowHeight="13.15" customHeight="1"/>
  <cols>
    <col min="1" max="1" width="9.5" style="2837" customWidth="1"/>
    <col min="2" max="2" width="8.875" style="2837"/>
    <col min="3" max="5" width="12.875" style="2837" customWidth="1"/>
    <col min="6" max="6" width="47.5" style="2837" customWidth="1"/>
    <col min="7" max="7" width="18.625" style="2992" bestFit="1" customWidth="1"/>
    <col min="8" max="8" width="8.875" style="2831"/>
    <col min="9" max="9" width="8.875" style="2832"/>
    <col min="10" max="10" width="9"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2422</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f ca="1">IF(D2="——",C40,C40+E2)</f>
        <v>55431</v>
      </c>
      <c r="C2" s="2839" t="s">
        <v>2311</v>
      </c>
      <c r="D2" s="3368" t="s">
        <v>43</v>
      </c>
      <c r="E2" s="3369"/>
      <c r="F2" s="2841"/>
      <c r="G2" s="2842"/>
      <c r="H2" s="2843"/>
      <c r="I2" s="2844"/>
      <c r="J2" s="4050" t="s">
        <v>2312</v>
      </c>
      <c r="K2" s="4051"/>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f ca="1">ROUND(B2*10000/B4,0)</f>
        <v>31096</v>
      </c>
      <c r="C3" s="2839" t="s">
        <v>2321</v>
      </c>
      <c r="D3" s="2839"/>
      <c r="E3" s="2840"/>
      <c r="F3" s="2841"/>
      <c r="G3" s="2842"/>
      <c r="H3" s="2843"/>
      <c r="I3" s="2844"/>
      <c r="J3" s="4052" t="s">
        <v>2322</v>
      </c>
      <c r="K3" s="4053"/>
      <c r="L3" s="2851"/>
      <c r="M3" s="2851"/>
      <c r="N3" s="2851"/>
      <c r="O3" s="2851"/>
      <c r="P3" s="2851"/>
      <c r="Q3" s="2852"/>
      <c r="R3" s="2853">
        <f>SUM(L3:Q3)</f>
        <v>0</v>
      </c>
      <c r="S3" s="2836"/>
      <c r="T3" s="2836"/>
      <c r="U3" s="2836"/>
      <c r="V3" s="2844"/>
    </row>
    <row r="4" spans="1:22" s="2848" customFormat="1" ht="13.15" customHeight="1">
      <c r="A4" s="2854" t="s">
        <v>2323</v>
      </c>
      <c r="B4" s="2855">
        <f>'数据-汇总表'!E21</f>
        <v>17825.759999999998</v>
      </c>
      <c r="C4" s="2839"/>
      <c r="D4" s="2839"/>
      <c r="E4" s="2840"/>
      <c r="F4" s="2841"/>
      <c r="G4" s="2842"/>
      <c r="H4" s="2843"/>
      <c r="I4" s="2844"/>
      <c r="J4" s="4052" t="s">
        <v>2324</v>
      </c>
      <c r="K4" s="4053"/>
      <c r="L4" s="2856"/>
      <c r="M4" s="2856"/>
      <c r="N4" s="2856"/>
      <c r="O4" s="2856"/>
      <c r="P4" s="2856"/>
      <c r="Q4" s="2857"/>
      <c r="R4" s="2858">
        <f>SUM(L4:Q4)</f>
        <v>0</v>
      </c>
      <c r="S4" s="2836"/>
      <c r="T4" s="2836"/>
      <c r="U4" s="2836"/>
      <c r="V4" s="2844"/>
    </row>
    <row r="5" spans="1:22" s="2848" customFormat="1" ht="13.15" customHeight="1" thickBot="1">
      <c r="A5" s="2859" t="s">
        <v>2325</v>
      </c>
      <c r="B5" s="2860">
        <f>'数据-汇总表'!D21</f>
        <v>1820.89</v>
      </c>
      <c r="C5" s="2839"/>
      <c r="D5" s="2861"/>
      <c r="E5" s="2841"/>
      <c r="F5" s="2841"/>
      <c r="G5" s="2842"/>
      <c r="H5" s="2843"/>
      <c r="I5" s="2844"/>
      <c r="J5" s="2862" t="s">
        <v>2326</v>
      </c>
      <c r="K5" s="2863"/>
      <c r="L5" s="2863"/>
      <c r="M5" s="2864"/>
      <c r="N5" s="2864"/>
      <c r="O5" s="2864"/>
      <c r="P5" s="2864"/>
      <c r="Q5" s="2864"/>
      <c r="R5" s="2847">
        <f>SUM(R14,R19,R24,R25,R27,R28)</f>
        <v>13287</v>
      </c>
      <c r="S5" s="2836"/>
      <c r="T5" s="2836" t="s">
        <v>2327</v>
      </c>
      <c r="U5" s="2836" t="e">
        <f>ROUND(R5*10000/365/R3,1)</f>
        <v>#DIV/0!</v>
      </c>
      <c r="V5" s="2844"/>
    </row>
    <row r="6" spans="1:22" s="2848" customFormat="1" ht="13.15" customHeight="1" thickBot="1">
      <c r="A6" s="4058" t="s">
        <v>2328</v>
      </c>
      <c r="B6" s="4059"/>
      <c r="C6" s="4060"/>
      <c r="D6" s="2865">
        <f>ROUND(R5*(E44/E46),0)</f>
        <v>6550</v>
      </c>
      <c r="E6" s="2866"/>
      <c r="F6" s="2867"/>
      <c r="G6" s="2868"/>
      <c r="H6" s="2843"/>
      <c r="I6" s="2844"/>
      <c r="J6" s="4044">
        <v>1</v>
      </c>
      <c r="K6" s="4045"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 ca="1">SUM(D9,D10,D11,D17,0)</f>
        <v>3851</v>
      </c>
      <c r="E7" s="2875">
        <f ca="1">E9+E10+E11+E17</f>
        <v>0.58778625954198471</v>
      </c>
      <c r="F7" s="2876"/>
      <c r="G7" s="2877"/>
      <c r="H7" s="2843"/>
      <c r="I7" s="2844"/>
      <c r="J7" s="4044"/>
      <c r="K7" s="4046"/>
      <c r="L7" s="3396" t="s">
        <v>3452</v>
      </c>
      <c r="M7" s="2879">
        <f>75</f>
        <v>75</v>
      </c>
      <c r="N7" s="2855">
        <v>1800</v>
      </c>
      <c r="O7" s="2880">
        <v>0.75</v>
      </c>
      <c r="P7" s="2880">
        <v>0.65</v>
      </c>
      <c r="Q7" s="2881">
        <v>365</v>
      </c>
      <c r="R7" s="2882">
        <f>ROUND(M7*N7*O7*P7*Q7/10000,0)</f>
        <v>2402</v>
      </c>
      <c r="S7" s="2836"/>
      <c r="T7" s="2836" t="s">
        <v>2339</v>
      </c>
      <c r="U7" s="2836"/>
      <c r="V7" s="2844"/>
    </row>
    <row r="8" spans="1:22" s="2848" customFormat="1" ht="13.15" customHeight="1">
      <c r="A8" s="2883" t="s">
        <v>2340</v>
      </c>
      <c r="B8" s="4061" t="s">
        <v>2341</v>
      </c>
      <c r="C8" s="4062"/>
      <c r="D8" s="2884" t="s">
        <v>2342</v>
      </c>
      <c r="E8" s="2885" t="s">
        <v>2343</v>
      </c>
      <c r="F8" s="2886" t="s">
        <v>2344</v>
      </c>
      <c r="G8" s="2887"/>
      <c r="H8" s="2843"/>
      <c r="I8" s="2844"/>
      <c r="J8" s="4044"/>
      <c r="K8" s="4046"/>
      <c r="L8" s="3396" t="s">
        <v>3453</v>
      </c>
      <c r="M8" s="2879">
        <v>33</v>
      </c>
      <c r="N8" s="2855">
        <v>2000</v>
      </c>
      <c r="O8" s="2880">
        <f>O7</f>
        <v>0.75</v>
      </c>
      <c r="P8" s="2880">
        <f>P7</f>
        <v>0.65</v>
      </c>
      <c r="Q8" s="2881">
        <f>Q7</f>
        <v>365</v>
      </c>
      <c r="R8" s="2882">
        <f t="shared" ref="R8:R13" si="0">ROUND(M8*N8*O8*P8*Q8/10000,0)</f>
        <v>1174</v>
      </c>
      <c r="S8" s="2836"/>
      <c r="T8" s="2836" t="s">
        <v>2345</v>
      </c>
      <c r="U8" s="2836"/>
      <c r="V8" s="2844"/>
    </row>
    <row r="9" spans="1:22" s="2848" customFormat="1" ht="13.15" customHeight="1">
      <c r="A9" s="2883">
        <v>1</v>
      </c>
      <c r="B9" s="4061" t="s">
        <v>2346</v>
      </c>
      <c r="C9" s="4062"/>
      <c r="D9" s="2884">
        <f>ROUND(D6*E9,0)</f>
        <v>1638</v>
      </c>
      <c r="E9" s="2888">
        <v>0.25</v>
      </c>
      <c r="F9" s="2889" t="s">
        <v>2347</v>
      </c>
      <c r="G9" s="2868"/>
      <c r="H9" s="2843"/>
      <c r="I9" s="2844"/>
      <c r="J9" s="4044"/>
      <c r="K9" s="4046"/>
      <c r="L9" s="3396" t="s">
        <v>3454</v>
      </c>
      <c r="M9" s="2879">
        <v>40</v>
      </c>
      <c r="N9" s="2855">
        <v>2000</v>
      </c>
      <c r="O9" s="2880">
        <f t="shared" ref="O9:O13" si="1">O8</f>
        <v>0.75</v>
      </c>
      <c r="P9" s="2880">
        <f>P7</f>
        <v>0.65</v>
      </c>
      <c r="Q9" s="2881">
        <f>Q7</f>
        <v>365</v>
      </c>
      <c r="R9" s="2882">
        <f t="shared" si="0"/>
        <v>1424</v>
      </c>
      <c r="S9" s="2836"/>
      <c r="T9" s="2836"/>
      <c r="U9" s="2836"/>
      <c r="V9" s="2844"/>
    </row>
    <row r="10" spans="1:22" s="2848" customFormat="1" ht="13.15" customHeight="1">
      <c r="A10" s="2883">
        <v>2</v>
      </c>
      <c r="B10" s="4061" t="s">
        <v>2348</v>
      </c>
      <c r="C10" s="4062"/>
      <c r="D10" s="2884">
        <f>ROUND(D6*E10,0)</f>
        <v>983</v>
      </c>
      <c r="E10" s="2888">
        <v>0.15</v>
      </c>
      <c r="F10" s="2889" t="s">
        <v>2349</v>
      </c>
      <c r="G10" s="2868"/>
      <c r="H10" s="2843"/>
      <c r="I10" s="2844"/>
      <c r="J10" s="4044"/>
      <c r="K10" s="4046"/>
      <c r="L10" s="3396" t="s">
        <v>3455</v>
      </c>
      <c r="M10" s="2879">
        <v>2</v>
      </c>
      <c r="N10" s="2855">
        <v>2200</v>
      </c>
      <c r="O10" s="2880">
        <f t="shared" si="1"/>
        <v>0.75</v>
      </c>
      <c r="P10" s="2880">
        <f>P7</f>
        <v>0.65</v>
      </c>
      <c r="Q10" s="2881">
        <f>Q7</f>
        <v>365</v>
      </c>
      <c r="R10" s="2882">
        <f t="shared" si="0"/>
        <v>78</v>
      </c>
      <c r="S10" s="2836"/>
      <c r="T10" s="2836"/>
      <c r="U10" s="2836"/>
      <c r="V10" s="2844"/>
    </row>
    <row r="11" spans="1:22" s="2848" customFormat="1" ht="13.15" customHeight="1">
      <c r="A11" s="2883">
        <v>3</v>
      </c>
      <c r="B11" s="4061" t="s">
        <v>2350</v>
      </c>
      <c r="C11" s="4062"/>
      <c r="D11" s="2884">
        <f ca="1">D12+D14+D15+D16</f>
        <v>575</v>
      </c>
      <c r="E11" s="2890">
        <f ca="1">D11/D6</f>
        <v>8.7786259541984726E-2</v>
      </c>
      <c r="F11" s="2886"/>
      <c r="G11" s="2887"/>
      <c r="H11" s="2843"/>
      <c r="I11" s="2844"/>
      <c r="J11" s="4044"/>
      <c r="K11" s="4046"/>
      <c r="L11" s="3396" t="s">
        <v>3456</v>
      </c>
      <c r="M11" s="2879">
        <f>40+5+28+5+5+8</f>
        <v>91</v>
      </c>
      <c r="N11" s="2855">
        <v>2200</v>
      </c>
      <c r="O11" s="2880">
        <f>O10</f>
        <v>0.75</v>
      </c>
      <c r="P11" s="2880">
        <f>P7</f>
        <v>0.65</v>
      </c>
      <c r="Q11" s="2881">
        <f>Q7</f>
        <v>365</v>
      </c>
      <c r="R11" s="2882">
        <f t="shared" si="0"/>
        <v>3562</v>
      </c>
      <c r="S11" s="2836"/>
      <c r="T11" s="2836"/>
      <c r="U11" s="2836"/>
      <c r="V11" s="2844"/>
    </row>
    <row r="12" spans="1:22" s="2848" customFormat="1" ht="13.15" customHeight="1">
      <c r="A12" s="2891" t="s">
        <v>2351</v>
      </c>
      <c r="B12" s="4054" t="s">
        <v>2352</v>
      </c>
      <c r="C12" s="4055"/>
      <c r="D12" s="2892">
        <f ca="1">ROUND(D13*1.2%*(1-30%),0)</f>
        <v>203</v>
      </c>
      <c r="E12" s="2893">
        <v>1.2E-2</v>
      </c>
      <c r="F12" s="2886" t="s">
        <v>2353</v>
      </c>
      <c r="G12" s="2887"/>
      <c r="H12" s="2843"/>
      <c r="I12" s="2844"/>
      <c r="J12" s="4044"/>
      <c r="K12" s="4046"/>
      <c r="L12" s="3396" t="s">
        <v>3457</v>
      </c>
      <c r="M12" s="2879">
        <f>6+7</f>
        <v>13</v>
      </c>
      <c r="N12" s="2855">
        <v>2200</v>
      </c>
      <c r="O12" s="2880">
        <f t="shared" si="1"/>
        <v>0.75</v>
      </c>
      <c r="P12" s="2880">
        <f>P7</f>
        <v>0.65</v>
      </c>
      <c r="Q12" s="2881">
        <f>Q7</f>
        <v>365</v>
      </c>
      <c r="R12" s="2882">
        <f t="shared" si="0"/>
        <v>509</v>
      </c>
      <c r="S12" s="2836"/>
      <c r="T12" s="2836"/>
      <c r="U12" s="2836"/>
      <c r="V12" s="2844"/>
    </row>
    <row r="13" spans="1:22" s="2848" customFormat="1" ht="13.15" customHeight="1">
      <c r="A13" s="2891"/>
      <c r="B13" s="2894"/>
      <c r="C13" s="2895" t="s">
        <v>2354</v>
      </c>
      <c r="D13" s="2896">
        <f ca="1">酒店收益法!C29</f>
        <v>24171</v>
      </c>
      <c r="E13" s="2897"/>
      <c r="F13" s="2886"/>
      <c r="G13" s="2887"/>
      <c r="H13" s="2843"/>
      <c r="I13" s="2844"/>
      <c r="J13" s="4044"/>
      <c r="K13" s="4046"/>
      <c r="L13" s="3396" t="s">
        <v>3458</v>
      </c>
      <c r="M13" s="2879">
        <v>1</v>
      </c>
      <c r="N13" s="2855">
        <v>25000</v>
      </c>
      <c r="O13" s="2880">
        <f t="shared" si="1"/>
        <v>0.75</v>
      </c>
      <c r="P13" s="2880">
        <v>0.5</v>
      </c>
      <c r="Q13" s="2881">
        <f>Q7</f>
        <v>365</v>
      </c>
      <c r="R13" s="2882">
        <f t="shared" si="0"/>
        <v>342</v>
      </c>
      <c r="S13" s="2836"/>
      <c r="T13" s="2836"/>
      <c r="U13" s="2836"/>
      <c r="V13" s="2844"/>
    </row>
    <row r="14" spans="1:22" s="2848" customFormat="1" ht="13.15" customHeight="1">
      <c r="A14" s="2891" t="s">
        <v>2355</v>
      </c>
      <c r="B14" s="4054" t="s">
        <v>2356</v>
      </c>
      <c r="C14" s="4055"/>
      <c r="D14" s="2892">
        <f>ROUND(E14*B5/10000,0)</f>
        <v>5</v>
      </c>
      <c r="E14" s="2881">
        <f>'数据-取费表'!B54</f>
        <v>30</v>
      </c>
      <c r="F14" s="2886" t="s">
        <v>2357</v>
      </c>
      <c r="G14" s="2887"/>
      <c r="H14" s="2843"/>
      <c r="I14" s="2844"/>
      <c r="J14" s="4044"/>
      <c r="K14" s="4047"/>
      <c r="L14" s="2898" t="s">
        <v>2358</v>
      </c>
      <c r="M14" s="2899">
        <f>SUM(M7:M13)</f>
        <v>255</v>
      </c>
      <c r="N14" s="2899">
        <f>ROUND((N7*M7+N8*M8+N9*M9+N10*M10+N11*M11+N12*M12+N13*M13)/M14,0)</f>
        <v>2115</v>
      </c>
      <c r="O14" s="2900"/>
      <c r="P14" s="2900"/>
      <c r="Q14" s="2901"/>
      <c r="R14" s="2847">
        <f>SUM(R7:R13)</f>
        <v>9491</v>
      </c>
      <c r="S14" s="2836"/>
      <c r="T14" s="2836"/>
      <c r="U14" s="2836"/>
      <c r="V14" s="2844"/>
    </row>
    <row r="15" spans="1:22" s="2848" customFormat="1" ht="13.15" customHeight="1">
      <c r="A15" s="2891" t="s">
        <v>2359</v>
      </c>
      <c r="B15" s="4054" t="s">
        <v>2360</v>
      </c>
      <c r="C15" s="4055"/>
      <c r="D15" s="2892">
        <f>ROUND(D6*E15,0)</f>
        <v>367</v>
      </c>
      <c r="E15" s="2893">
        <v>5.6000000000000001E-2</v>
      </c>
      <c r="F15" s="2886" t="s">
        <v>2361</v>
      </c>
      <c r="G15" s="2868"/>
      <c r="H15" s="2843"/>
      <c r="I15" s="2844"/>
      <c r="J15" s="4044">
        <v>2</v>
      </c>
      <c r="K15" s="4045" t="s">
        <v>2362</v>
      </c>
      <c r="L15" s="2878" t="s">
        <v>2363</v>
      </c>
      <c r="M15" s="2879" t="s">
        <v>2364</v>
      </c>
      <c r="N15" s="2879" t="s">
        <v>2365</v>
      </c>
      <c r="O15" s="2880" t="s">
        <v>2366</v>
      </c>
      <c r="P15" s="2880" t="s">
        <v>2335</v>
      </c>
      <c r="Q15" s="2855" t="s">
        <v>2367</v>
      </c>
      <c r="R15" s="2902" t="s">
        <v>2336</v>
      </c>
      <c r="S15" s="2836"/>
      <c r="T15" s="2836"/>
      <c r="U15" s="2836"/>
      <c r="V15" s="2844"/>
    </row>
    <row r="16" spans="1:22" s="2848" customFormat="1" ht="13.15" customHeight="1">
      <c r="A16" s="2891" t="s">
        <v>2368</v>
      </c>
      <c r="B16" s="4054" t="s">
        <v>2369</v>
      </c>
      <c r="C16" s="4055"/>
      <c r="D16" s="2903">
        <f>D6*E16</f>
        <v>0</v>
      </c>
      <c r="E16" s="2904"/>
      <c r="F16" s="2889" t="s">
        <v>2370</v>
      </c>
      <c r="G16" s="2868"/>
      <c r="H16" s="2843"/>
      <c r="I16" s="2844"/>
      <c r="J16" s="4044"/>
      <c r="K16" s="4046"/>
      <c r="L16" s="2878" t="s">
        <v>2371</v>
      </c>
      <c r="M16" s="2879"/>
      <c r="N16" s="2879"/>
      <c r="O16" s="2880"/>
      <c r="P16" s="2881">
        <v>365</v>
      </c>
      <c r="Q16" s="2855"/>
      <c r="R16" s="2902">
        <f>ROUND(M16*N16*O16*P16/10000,0)</f>
        <v>0</v>
      </c>
      <c r="S16" s="2836"/>
      <c r="T16" s="2836"/>
      <c r="U16" s="2836"/>
      <c r="V16" s="2844"/>
    </row>
    <row r="17" spans="1:22" s="2848" customFormat="1" ht="13.15" customHeight="1" thickBot="1">
      <c r="A17" s="2905">
        <v>4</v>
      </c>
      <c r="B17" s="4056" t="s">
        <v>2372</v>
      </c>
      <c r="C17" s="4057"/>
      <c r="D17" s="2906">
        <f>ROUND(D6*E17,0)</f>
        <v>655</v>
      </c>
      <c r="E17" s="2907">
        <v>0.1</v>
      </c>
      <c r="F17" s="2908" t="s">
        <v>2373</v>
      </c>
      <c r="G17" s="2868"/>
      <c r="H17" s="2843"/>
      <c r="I17" s="2844"/>
      <c r="J17" s="4044"/>
      <c r="K17" s="4046"/>
      <c r="L17" s="2878" t="s">
        <v>2374</v>
      </c>
      <c r="M17" s="2879"/>
      <c r="N17" s="2879"/>
      <c r="O17" s="2880"/>
      <c r="P17" s="2881">
        <v>365</v>
      </c>
      <c r="Q17" s="2855"/>
      <c r="R17" s="2902">
        <f>ROUND(M17*N17*O17*P17/10000,0)</f>
        <v>0</v>
      </c>
      <c r="S17" s="2836"/>
      <c r="T17" s="2836"/>
      <c r="U17" s="2836"/>
      <c r="V17" s="2844"/>
    </row>
    <row r="18" spans="1:22" s="2848" customFormat="1" ht="13.15" customHeight="1" thickBot="1">
      <c r="A18" s="2871" t="s">
        <v>2375</v>
      </c>
      <c r="B18" s="2872"/>
      <c r="C18" s="2872"/>
      <c r="D18" s="2909">
        <f>ROUND(D6*E18,0)</f>
        <v>328</v>
      </c>
      <c r="E18" s="2910">
        <v>0.05</v>
      </c>
      <c r="F18" s="2911" t="s">
        <v>2376</v>
      </c>
      <c r="G18" s="2868"/>
      <c r="H18" s="2843"/>
      <c r="I18" s="2844"/>
      <c r="J18" s="4044"/>
      <c r="K18" s="4046"/>
      <c r="L18" s="2878" t="s">
        <v>2377</v>
      </c>
      <c r="M18" s="2879"/>
      <c r="N18" s="2879"/>
      <c r="O18" s="2880"/>
      <c r="P18" s="2881">
        <v>365</v>
      </c>
      <c r="Q18" s="2855"/>
      <c r="R18" s="2902">
        <f>R14*10%</f>
        <v>949.1</v>
      </c>
      <c r="S18" s="2836"/>
      <c r="T18" s="2836"/>
      <c r="U18" s="2836"/>
      <c r="V18" s="2844"/>
    </row>
    <row r="19" spans="1:22" s="2848" customFormat="1" ht="13.15" customHeight="1" thickBot="1">
      <c r="A19" s="2912" t="s">
        <v>2378</v>
      </c>
      <c r="B19" s="2866"/>
      <c r="C19" s="2866"/>
      <c r="D19" s="2866"/>
      <c r="E19" s="2866"/>
      <c r="F19" s="2867"/>
      <c r="G19" s="2887"/>
      <c r="H19" s="2843"/>
      <c r="I19" s="2844"/>
      <c r="J19" s="4044"/>
      <c r="K19" s="4047"/>
      <c r="L19" s="2898" t="s">
        <v>2358</v>
      </c>
      <c r="M19" s="2899"/>
      <c r="N19" s="2899">
        <f>SUM(N16:N18)</f>
        <v>0</v>
      </c>
      <c r="O19" s="2900"/>
      <c r="P19" s="2913" t="s">
        <v>3459</v>
      </c>
      <c r="Q19" s="2880">
        <v>0.3</v>
      </c>
      <c r="R19" s="2914">
        <f>ROUND(IF(P19="按比例",R14*Q19,SUM(R16:R18)),0)</f>
        <v>2847</v>
      </c>
      <c r="S19" s="2836"/>
      <c r="T19" s="2836"/>
      <c r="U19" s="2836"/>
      <c r="V19" s="2844"/>
    </row>
    <row r="20" spans="1:22" s="2848" customFormat="1" ht="13.15" customHeight="1">
      <c r="A20" s="2871"/>
      <c r="B20" s="2872"/>
      <c r="C20" s="2872"/>
      <c r="D20" s="2872"/>
      <c r="E20" s="2872"/>
      <c r="F20" s="2915"/>
      <c r="G20" s="2887"/>
      <c r="H20" s="2843"/>
      <c r="I20" s="2844"/>
      <c r="J20" s="4044">
        <v>3</v>
      </c>
      <c r="K20" s="4045" t="s">
        <v>2379</v>
      </c>
      <c r="L20" s="2878" t="s">
        <v>2380</v>
      </c>
      <c r="M20" s="2879" t="s">
        <v>2381</v>
      </c>
      <c r="N20" s="2916" t="s">
        <v>2382</v>
      </c>
      <c r="O20" s="2880" t="s">
        <v>2383</v>
      </c>
      <c r="P20" s="2881" t="s">
        <v>2384</v>
      </c>
      <c r="Q20" s="2855" t="s">
        <v>2385</v>
      </c>
      <c r="R20" s="2902" t="s">
        <v>2386</v>
      </c>
      <c r="S20" s="2917"/>
      <c r="T20" s="2917"/>
      <c r="U20" s="2917"/>
      <c r="V20" s="2844"/>
    </row>
    <row r="21" spans="1:22" s="2848" customFormat="1" ht="13.15" customHeight="1">
      <c r="A21" s="2871"/>
      <c r="B21" s="2872"/>
      <c r="C21" s="2918" t="s">
        <v>2387</v>
      </c>
      <c r="D21" s="2919" t="s">
        <v>2388</v>
      </c>
      <c r="E21" s="2920" t="s">
        <v>2389</v>
      </c>
      <c r="F21" s="2915"/>
      <c r="G21" s="2887"/>
      <c r="H21" s="2843"/>
      <c r="I21" s="2844"/>
      <c r="J21" s="4044"/>
      <c r="K21" s="4046"/>
      <c r="L21" s="2878" t="s">
        <v>2390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2391</v>
      </c>
      <c r="D22" s="2923" t="s">
        <v>2392</v>
      </c>
      <c r="E22" s="2924" t="s">
        <v>2393</v>
      </c>
      <c r="F22" s="2915"/>
      <c r="G22" s="2925"/>
      <c r="H22" s="2843"/>
      <c r="I22" s="2844"/>
      <c r="J22" s="4044"/>
      <c r="K22" s="4046"/>
      <c r="L22" s="2878" t="s">
        <v>2394</v>
      </c>
      <c r="M22" s="2879"/>
      <c r="N22" s="2879"/>
      <c r="O22" s="2880"/>
      <c r="P22" s="2881">
        <v>365</v>
      </c>
      <c r="Q22" s="2855"/>
      <c r="R22" s="2921">
        <f>ROUND(M22*N22*O22*P22/10000,0)</f>
        <v>0</v>
      </c>
      <c r="S22" s="2917"/>
      <c r="T22" s="2917"/>
      <c r="U22" s="2917"/>
      <c r="V22" s="2844"/>
    </row>
    <row r="23" spans="1:22" s="2848" customFormat="1" ht="13.15" customHeight="1">
      <c r="A23" s="2926">
        <v>1</v>
      </c>
      <c r="B23" s="2927" t="s">
        <v>2395</v>
      </c>
      <c r="C23" s="3729">
        <f>D6</f>
        <v>6550</v>
      </c>
      <c r="D23" s="3730">
        <f>D6</f>
        <v>6550</v>
      </c>
      <c r="E23" s="2930">
        <f>D23*(1+E24)</f>
        <v>6550</v>
      </c>
      <c r="F23" s="2931"/>
      <c r="G23" s="2932"/>
      <c r="H23" s="2843"/>
      <c r="I23" s="2844"/>
      <c r="J23" s="4044"/>
      <c r="K23" s="4046"/>
      <c r="L23" s="2878" t="s">
        <v>2396</v>
      </c>
      <c r="M23" s="2879"/>
      <c r="N23" s="2879"/>
      <c r="O23" s="2880"/>
      <c r="P23" s="2881">
        <v>365</v>
      </c>
      <c r="Q23" s="2855"/>
      <c r="R23" s="2921">
        <f>ROUND(M23*N23*O23*P23/10000,0)</f>
        <v>0</v>
      </c>
      <c r="S23" s="2836"/>
      <c r="T23" s="2836"/>
      <c r="U23" s="2836"/>
      <c r="V23" s="2844"/>
    </row>
    <row r="24" spans="1:22" s="2848" customFormat="1" ht="13.15" customHeight="1">
      <c r="A24" s="2933"/>
      <c r="B24" s="2934" t="s">
        <v>2397</v>
      </c>
      <c r="C24" s="2935"/>
      <c r="D24" s="2936"/>
      <c r="E24" s="2937"/>
      <c r="F24" s="2938"/>
      <c r="G24" s="2932"/>
      <c r="H24" s="2843"/>
      <c r="I24" s="2844"/>
      <c r="J24" s="4044"/>
      <c r="K24" s="4047"/>
      <c r="L24" s="2898" t="s">
        <v>2358</v>
      </c>
      <c r="M24" s="2899">
        <f>SUM(M21:M23)</f>
        <v>0</v>
      </c>
      <c r="N24" s="2899"/>
      <c r="O24" s="2900"/>
      <c r="P24" s="2913" t="s">
        <v>3459</v>
      </c>
      <c r="Q24" s="2880">
        <v>0.1</v>
      </c>
      <c r="R24" s="2914">
        <f>ROUND(IF(P24="按比例",R14*Q24,SUM(R21:R23)),0)</f>
        <v>949</v>
      </c>
      <c r="S24" s="2836"/>
      <c r="T24" s="2836"/>
      <c r="U24" s="2836"/>
      <c r="V24" s="2844"/>
    </row>
    <row r="25" spans="1:22" s="2945" customFormat="1" ht="13.15" customHeight="1">
      <c r="A25" s="2933"/>
      <c r="B25" s="2934"/>
      <c r="C25" s="2935"/>
      <c r="D25" s="2936"/>
      <c r="E25" s="2937"/>
      <c r="F25" s="2938"/>
      <c r="G25" s="2925"/>
      <c r="H25" s="2843"/>
      <c r="I25" s="2844"/>
      <c r="J25" s="2939">
        <v>4</v>
      </c>
      <c r="K25" s="2940" t="s">
        <v>2398</v>
      </c>
      <c r="L25" s="2941"/>
      <c r="M25" s="2941"/>
      <c r="N25" s="2941"/>
      <c r="O25" s="2941"/>
      <c r="P25" s="2942"/>
      <c r="Q25" s="2943">
        <v>0</v>
      </c>
      <c r="R25" s="2914">
        <f>ROUND(R14*Q25,0)</f>
        <v>0</v>
      </c>
      <c r="S25" s="2836"/>
      <c r="T25" s="2836"/>
      <c r="U25" s="2836"/>
      <c r="V25" s="2944"/>
    </row>
    <row r="26" spans="1:22" s="2945" customFormat="1" ht="13.15" customHeight="1">
      <c r="A26" s="2926">
        <v>2</v>
      </c>
      <c r="B26" s="2927" t="s">
        <v>2399</v>
      </c>
      <c r="C26" s="3730">
        <f ca="1">C23*C27</f>
        <v>3850</v>
      </c>
      <c r="D26" s="2929">
        <f ca="1">D23*D27</f>
        <v>3850</v>
      </c>
      <c r="E26" s="2930">
        <f ca="1">E23*E27</f>
        <v>3850</v>
      </c>
      <c r="F26" s="2931"/>
      <c r="G26" s="2932"/>
      <c r="H26" s="2843"/>
      <c r="I26" s="2844"/>
      <c r="J26" s="4048">
        <v>5</v>
      </c>
      <c r="K26" s="2946" t="s">
        <v>2400</v>
      </c>
      <c r="L26" s="2947"/>
      <c r="M26" s="2948"/>
      <c r="N26" s="2949" t="s">
        <v>2401</v>
      </c>
      <c r="O26" s="2949" t="s">
        <v>2402</v>
      </c>
      <c r="P26" s="2950" t="s">
        <v>2403</v>
      </c>
      <c r="Q26" s="2950" t="s">
        <v>2404</v>
      </c>
      <c r="R26" s="2853" t="s">
        <v>2336</v>
      </c>
      <c r="S26" s="2951"/>
      <c r="T26" s="2951"/>
      <c r="U26" s="2951"/>
      <c r="V26" s="2944"/>
    </row>
    <row r="27" spans="1:22" s="2848" customFormat="1" ht="13.15" customHeight="1">
      <c r="A27" s="2933"/>
      <c r="B27" s="2934" t="s">
        <v>2405</v>
      </c>
      <c r="C27" s="3731">
        <f ca="1">E7</f>
        <v>0.58778625954198471</v>
      </c>
      <c r="D27" s="2936">
        <f ca="1">E7</f>
        <v>0.58778625954198471</v>
      </c>
      <c r="E27" s="2937">
        <f ca="1">C27</f>
        <v>0.58778625954198471</v>
      </c>
      <c r="F27" s="2938"/>
      <c r="G27" s="2932"/>
      <c r="H27" s="2953"/>
      <c r="I27" s="2944"/>
      <c r="J27" s="4049"/>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c r="R28" s="2965"/>
      <c r="S28" s="2917"/>
      <c r="T28" s="2917"/>
      <c r="U28" s="2917"/>
      <c r="V28" s="2944"/>
    </row>
    <row r="29" spans="1:22" s="2945" customFormat="1" ht="13.15" customHeight="1">
      <c r="A29" s="2926">
        <v>3</v>
      </c>
      <c r="B29" s="2927" t="s">
        <v>2411</v>
      </c>
      <c r="C29" s="2928">
        <f>C23*C30</f>
        <v>327.5</v>
      </c>
      <c r="D29" s="2929">
        <f>D23*C30</f>
        <v>327.5</v>
      </c>
      <c r="E29" s="2930">
        <f>E23*C30</f>
        <v>327.5</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2405</v>
      </c>
      <c r="C30" s="2952">
        <f>E18</f>
        <v>0.05</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2412</v>
      </c>
      <c r="K31" s="2834"/>
      <c r="L31" s="2834"/>
      <c r="M31" s="2834"/>
      <c r="N31" s="2834"/>
      <c r="O31" s="2834"/>
      <c r="P31" s="2834"/>
      <c r="Q31" s="2834"/>
      <c r="R31" s="2835"/>
      <c r="S31" s="2917"/>
      <c r="T31" s="2836"/>
      <c r="U31" s="2836"/>
      <c r="V31" s="2944"/>
    </row>
    <row r="32" spans="1:22" s="2945" customFormat="1" ht="13.15" customHeight="1">
      <c r="A32" s="2926">
        <v>4</v>
      </c>
      <c r="B32" s="2927" t="s">
        <v>2413</v>
      </c>
      <c r="C32" s="2928">
        <f ca="1">C23-C26-C29</f>
        <v>2372.5</v>
      </c>
      <c r="D32" s="2929">
        <f ca="1">D23-D26-D29</f>
        <v>2372.5</v>
      </c>
      <c r="E32" s="2930">
        <f ca="1">E23-E26-E29</f>
        <v>2372.5</v>
      </c>
      <c r="F32" s="2931"/>
      <c r="G32" s="2925"/>
      <c r="H32" s="2843"/>
      <c r="I32" s="2844"/>
      <c r="J32" s="4050" t="s">
        <v>2312</v>
      </c>
      <c r="K32" s="4051"/>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4052" t="s">
        <v>2322</v>
      </c>
      <c r="K33" s="4053"/>
      <c r="L33" s="2851"/>
      <c r="M33" s="2851"/>
      <c r="N33" s="2851"/>
      <c r="O33" s="2851"/>
      <c r="P33" s="2851"/>
      <c r="Q33" s="2852"/>
      <c r="R33" s="2971">
        <f>SUM(L33:Q33)</f>
        <v>0</v>
      </c>
      <c r="S33" s="2917"/>
      <c r="T33" s="2836"/>
      <c r="U33" s="2836"/>
      <c r="V33" s="2844"/>
    </row>
    <row r="34" spans="1:23" s="2848" customFormat="1" ht="13.15" customHeight="1">
      <c r="A34" s="2926">
        <v>5</v>
      </c>
      <c r="B34" s="2927" t="s">
        <v>2414</v>
      </c>
      <c r="C34" s="2972">
        <v>0.06</v>
      </c>
      <c r="D34" s="2972">
        <f>C34</f>
        <v>0.06</v>
      </c>
      <c r="E34" s="2972">
        <f>C34</f>
        <v>0.06</v>
      </c>
      <c r="F34" s="2931"/>
      <c r="G34" s="2925"/>
      <c r="H34" s="2953"/>
      <c r="I34" s="2944"/>
      <c r="J34" s="4052" t="s">
        <v>2324</v>
      </c>
      <c r="K34" s="4053"/>
      <c r="L34" s="2856"/>
      <c r="M34" s="2856"/>
      <c r="N34" s="2856"/>
      <c r="O34" s="2856"/>
      <c r="P34" s="2856"/>
      <c r="Q34" s="2857"/>
      <c r="R34" s="2973">
        <f>SUM(L34:Q34)</f>
        <v>0</v>
      </c>
      <c r="S34" s="2917"/>
      <c r="T34" s="2836"/>
      <c r="U34" s="2836" t="e">
        <f>ROUND(R35*10000/365/R33,1)</f>
        <v>#DIV/0!</v>
      </c>
      <c r="V34" s="2844"/>
    </row>
    <row r="35" spans="1:23" s="2848" customFormat="1" ht="13.15" customHeight="1">
      <c r="A35" s="2926">
        <v>6</v>
      </c>
      <c r="B35" s="2927" t="s">
        <v>2415</v>
      </c>
      <c r="C35" s="2974">
        <v>2.5000000000000001E-2</v>
      </c>
      <c r="D35" s="2974">
        <v>0.02</v>
      </c>
      <c r="E35" s="2974">
        <v>0.02</v>
      </c>
      <c r="F35" s="2931"/>
      <c r="G35" s="2975"/>
      <c r="H35" s="2843"/>
      <c r="I35" s="2944"/>
      <c r="J35" s="2862" t="s">
        <v>2326</v>
      </c>
      <c r="K35" s="2863"/>
      <c r="L35" s="2863"/>
      <c r="M35" s="2864"/>
      <c r="N35" s="2864"/>
      <c r="O35" s="2864"/>
      <c r="P35" s="2864"/>
      <c r="Q35" s="2864"/>
      <c r="R35" s="2976">
        <f>R40+R41+R43</f>
        <v>0</v>
      </c>
      <c r="S35" s="2917"/>
      <c r="T35" s="2836" t="s">
        <v>2327</v>
      </c>
      <c r="U35" s="2836"/>
      <c r="V35" s="2844"/>
    </row>
    <row r="36" spans="1:23" s="2848" customFormat="1" ht="13.15" customHeight="1" thickBot="1">
      <c r="A36" s="2926">
        <v>7</v>
      </c>
      <c r="B36" s="2977" t="s">
        <v>2416</v>
      </c>
      <c r="C36" s="2978">
        <f>项目基本情况!C15</f>
        <v>50.7</v>
      </c>
      <c r="D36" s="2979"/>
      <c r="E36" s="2980"/>
      <c r="F36" s="2981">
        <f>C36+D36+E36</f>
        <v>50.7</v>
      </c>
      <c r="G36" s="2925"/>
      <c r="H36" s="2843"/>
      <c r="I36" s="2844"/>
      <c r="J36" s="4044">
        <v>1</v>
      </c>
      <c r="K36" s="4045" t="s">
        <v>2417</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4044"/>
      <c r="K37" s="4046"/>
      <c r="L37" s="2878"/>
      <c r="M37" s="2879"/>
      <c r="N37" s="2855"/>
      <c r="O37" s="2880"/>
      <c r="P37" s="2880"/>
      <c r="Q37" s="2881"/>
      <c r="R37" s="2882"/>
      <c r="S37" s="2917"/>
      <c r="T37" s="2836" t="s">
        <v>2339</v>
      </c>
      <c r="U37" s="2836"/>
      <c r="V37" s="2844"/>
    </row>
    <row r="38" spans="1:23" s="2848" customFormat="1" ht="13.15" customHeight="1">
      <c r="A38" s="2926">
        <v>8</v>
      </c>
      <c r="B38" s="2927"/>
      <c r="C38" s="2884">
        <f ca="1">ROUND(C32*(1-((1+C35)/(1+C34))^C36)/(C34-C35),0)</f>
        <v>55431</v>
      </c>
      <c r="D38" s="2884">
        <f ca="1">IF(D23=0,0,ROUND(D32*(1-((1+D35)/(1+D34))^D36)/(D34-D35),0))</f>
        <v>0</v>
      </c>
      <c r="E38" s="2884">
        <f ca="1">IF(E23=0,0,ROUND(E32*(1-((1+E35)/(1+E34))^E36)/(E34-E35),0))</f>
        <v>0</v>
      </c>
      <c r="F38" s="2931"/>
      <c r="G38" s="2925"/>
      <c r="H38" s="2843"/>
      <c r="I38" s="2844"/>
      <c r="J38" s="4044"/>
      <c r="K38" s="4046"/>
      <c r="L38" s="2878"/>
      <c r="M38" s="2879"/>
      <c r="N38" s="2855"/>
      <c r="O38" s="2880"/>
      <c r="P38" s="2880"/>
      <c r="Q38" s="2881"/>
      <c r="R38" s="2882"/>
      <c r="S38" s="2917"/>
      <c r="T38" s="2836" t="s">
        <v>2345</v>
      </c>
      <c r="U38" s="2836"/>
      <c r="V38" s="2844"/>
    </row>
    <row r="39" spans="1:23" s="2848" customFormat="1" ht="13.15" customHeight="1">
      <c r="A39" s="2926">
        <v>9</v>
      </c>
      <c r="B39" s="2927" t="s">
        <v>2418</v>
      </c>
      <c r="C39" s="2892">
        <f ca="1">C38</f>
        <v>55431</v>
      </c>
      <c r="D39" s="2927">
        <f ca="1">ROUND(D38/(1+D34)^C36,0)</f>
        <v>0</v>
      </c>
      <c r="E39" s="2927">
        <f ca="1">E38/(1+E34)^(C36+D36)</f>
        <v>0</v>
      </c>
      <c r="F39" s="2931"/>
      <c r="G39" s="2982"/>
      <c r="H39" s="2843"/>
      <c r="I39" s="2844"/>
      <c r="J39" s="4044"/>
      <c r="K39" s="4046"/>
      <c r="L39" s="2878"/>
      <c r="M39" s="2879"/>
      <c r="N39" s="2855"/>
      <c r="O39" s="2880"/>
      <c r="P39" s="2880"/>
      <c r="Q39" s="2881"/>
      <c r="R39" s="2882"/>
      <c r="S39" s="2917"/>
      <c r="T39" s="2836"/>
      <c r="U39" s="2836"/>
      <c r="V39" s="2844"/>
    </row>
    <row r="40" spans="1:23" s="2848" customFormat="1" ht="13.15" customHeight="1">
      <c r="A40" s="2983">
        <v>10</v>
      </c>
      <c r="B40" s="2927" t="s">
        <v>2419</v>
      </c>
      <c r="C40" s="2984">
        <f ca="1">C39+D39+E39</f>
        <v>55431</v>
      </c>
      <c r="D40" s="2985"/>
      <c r="E40" s="2985"/>
      <c r="F40" s="2986"/>
      <c r="G40" s="2925"/>
      <c r="H40" s="2843"/>
      <c r="I40" s="2844"/>
      <c r="J40" s="4044"/>
      <c r="K40" s="4047"/>
      <c r="L40" s="2898" t="s">
        <v>2358</v>
      </c>
      <c r="M40" s="2899"/>
      <c r="N40" s="2899"/>
      <c r="O40" s="2900"/>
      <c r="P40" s="2900"/>
      <c r="Q40" s="2901"/>
      <c r="R40" s="2847">
        <f>SUM(R37:R39)</f>
        <v>0</v>
      </c>
      <c r="S40" s="2917"/>
      <c r="T40" s="2836"/>
      <c r="U40" s="2836"/>
      <c r="V40" s="2844"/>
    </row>
    <row r="41" spans="1:23" s="2848" customFormat="1" ht="13.15" customHeight="1" thickBot="1">
      <c r="A41" s="2987">
        <v>11</v>
      </c>
      <c r="B41" s="2988" t="s">
        <v>2420</v>
      </c>
      <c r="C41" s="2988">
        <f ca="1">ROUND(C40*10000/B4,0)</f>
        <v>31096</v>
      </c>
      <c r="D41" s="2989"/>
      <c r="E41" s="2989"/>
      <c r="F41" s="2990"/>
      <c r="G41" s="2991"/>
      <c r="H41" s="2843"/>
      <c r="I41" s="2844"/>
      <c r="J41" s="2939">
        <v>2</v>
      </c>
      <c r="K41" s="2940" t="s">
        <v>2398</v>
      </c>
      <c r="L41" s="2941"/>
      <c r="M41" s="2941"/>
      <c r="N41" s="2941"/>
      <c r="O41" s="2941"/>
      <c r="P41" s="2942"/>
      <c r="Q41" s="2943"/>
      <c r="R41" s="2914">
        <f>ROUND(R40*Q41,0)</f>
        <v>0</v>
      </c>
      <c r="S41" s="2917"/>
      <c r="T41" s="2836"/>
      <c r="U41" s="2951"/>
      <c r="V41" s="2844"/>
    </row>
    <row r="42" spans="1:23" s="2848" customFormat="1" ht="13.15" customHeight="1">
      <c r="G42" s="2991"/>
      <c r="H42" s="2843"/>
      <c r="I42" s="2844"/>
      <c r="J42" s="4048">
        <v>3</v>
      </c>
      <c r="K42" s="2946" t="s">
        <v>2400</v>
      </c>
      <c r="L42" s="2947"/>
      <c r="M42" s="2948"/>
      <c r="N42" s="2949" t="s">
        <v>2401</v>
      </c>
      <c r="O42" s="2949" t="s">
        <v>2402</v>
      </c>
      <c r="P42" s="2950" t="s">
        <v>2403</v>
      </c>
      <c r="Q42" s="2950" t="s">
        <v>2404</v>
      </c>
      <c r="R42" s="2853" t="s">
        <v>2336</v>
      </c>
      <c r="S42" s="2951"/>
      <c r="T42" s="2951"/>
      <c r="U42" s="2836"/>
      <c r="V42" s="2844"/>
    </row>
    <row r="43" spans="1:23" ht="12.75" customHeight="1">
      <c r="A43" s="2848"/>
      <c r="B43" s="2848"/>
      <c r="C43" s="2848" t="s">
        <v>3919</v>
      </c>
      <c r="D43" s="2848" t="s">
        <v>3920</v>
      </c>
      <c r="E43" s="2848" t="s">
        <v>3910</v>
      </c>
      <c r="F43" s="2848"/>
      <c r="I43" s="2831"/>
      <c r="J43" s="4049"/>
      <c r="K43" s="2954"/>
      <c r="L43" s="2955"/>
      <c r="M43" s="2956"/>
      <c r="N43" s="2879"/>
      <c r="O43" s="2879"/>
      <c r="P43" s="2879"/>
      <c r="Q43" s="2943"/>
      <c r="R43" s="2914">
        <f>ROUND(O43*N43*P43*(1-Q43)/10000,0)</f>
        <v>0</v>
      </c>
      <c r="S43" s="2917"/>
      <c r="T43" s="2836"/>
      <c r="V43" s="2993"/>
      <c r="W43" s="2994"/>
    </row>
    <row r="44" spans="1:23" ht="13.15" customHeight="1" thickBot="1">
      <c r="B44" s="2837" t="s">
        <v>3918</v>
      </c>
      <c r="C44" s="2837">
        <f>区域分配表!S46</f>
        <v>16340.339999999998</v>
      </c>
      <c r="D44" s="2837">
        <f>区域分配表!T46</f>
        <v>1485.42</v>
      </c>
      <c r="E44" s="2837">
        <f>D44+C44</f>
        <v>17825.759999999998</v>
      </c>
      <c r="J44" s="2959">
        <v>6</v>
      </c>
      <c r="K44" s="2960" t="s">
        <v>2407</v>
      </c>
      <c r="L44" s="2995" t="s">
        <v>2408</v>
      </c>
      <c r="M44" s="2962"/>
      <c r="N44" s="2995" t="s">
        <v>2409</v>
      </c>
      <c r="O44" s="2962"/>
      <c r="P44" s="2995" t="s">
        <v>2410</v>
      </c>
      <c r="Q44" s="2964">
        <v>1.4999999999999999E-2</v>
      </c>
      <c r="R44" s="2965"/>
    </row>
    <row r="45" spans="1:23" ht="13.15" customHeight="1">
      <c r="B45" s="2837" t="str">
        <f>区域分配表!R51</f>
        <v>军队酒店</v>
      </c>
      <c r="C45" s="2837">
        <f>区域分配表!S51</f>
        <v>17284.25</v>
      </c>
      <c r="D45" s="2837">
        <f>区域分配表!T51</f>
        <v>1048.43</v>
      </c>
      <c r="E45" s="2837">
        <f t="shared" ref="E45:E46" si="2">D45+C45</f>
        <v>18332.68</v>
      </c>
    </row>
    <row r="46" spans="1:23" ht="13.15" customHeight="1">
      <c r="B46" s="2837" t="s">
        <v>3921</v>
      </c>
      <c r="C46" s="2837">
        <f>C44+C45</f>
        <v>33624.589999999997</v>
      </c>
      <c r="D46" s="2837">
        <f>D44+D45</f>
        <v>2533.8500000000004</v>
      </c>
      <c r="E46" s="2837">
        <f t="shared" si="2"/>
        <v>36158.439999999995</v>
      </c>
    </row>
    <row r="49" spans="7:21" ht="13.15" customHeight="1">
      <c r="L49" s="3710" t="s">
        <v>3906</v>
      </c>
    </row>
    <row r="50" spans="7:21" ht="13.15" customHeight="1">
      <c r="L50" s="2993">
        <v>2019</v>
      </c>
      <c r="M50" s="2993">
        <v>2020</v>
      </c>
      <c r="N50" s="2993">
        <v>2021</v>
      </c>
      <c r="O50" s="2993">
        <v>2022</v>
      </c>
      <c r="P50" s="2993" t="s">
        <v>3911</v>
      </c>
    </row>
    <row r="51" spans="7:21" ht="13.15" customHeight="1">
      <c r="K51" s="3710" t="s">
        <v>3907</v>
      </c>
      <c r="L51" s="2993">
        <v>11321.7533</v>
      </c>
      <c r="M51" s="2993">
        <v>4032.6463739999999</v>
      </c>
      <c r="N51" s="2993">
        <v>6619.1722909999999</v>
      </c>
      <c r="O51" s="2993">
        <v>4319.2709999999997</v>
      </c>
      <c r="P51" s="2993">
        <v>5188.6207000000004</v>
      </c>
    </row>
    <row r="52" spans="7:21" ht="13.15" customHeight="1">
      <c r="K52" s="3710" t="s">
        <v>3908</v>
      </c>
      <c r="L52" s="2993">
        <v>3756.3589000000002</v>
      </c>
      <c r="M52" s="2993">
        <v>1522.90912</v>
      </c>
      <c r="N52" s="2993">
        <v>1958.9553619999999</v>
      </c>
      <c r="O52" s="2993">
        <v>1095.451</v>
      </c>
      <c r="P52" s="2993">
        <v>1114.7834</v>
      </c>
      <c r="Q52" s="2993">
        <f>L52/L51</f>
        <v>0.33178243691284104</v>
      </c>
      <c r="R52" s="2993">
        <f>M52/M51</f>
        <v>0.37764509425343429</v>
      </c>
      <c r="S52" s="2993">
        <f>N52/N51</f>
        <v>0.29595171055806557</v>
      </c>
      <c r="T52" s="2993">
        <f>O52/O51</f>
        <v>0.25361941864726711</v>
      </c>
      <c r="U52" s="2993">
        <f>P52/P51</f>
        <v>0.21485158859270634</v>
      </c>
    </row>
    <row r="53" spans="7:21" ht="13.15" customHeight="1">
      <c r="K53" s="3710" t="s">
        <v>3909</v>
      </c>
      <c r="L53" s="2993">
        <v>437.6103</v>
      </c>
      <c r="M53" s="2993">
        <v>174.45150000000001</v>
      </c>
      <c r="N53" s="2993">
        <v>296.64030000000002</v>
      </c>
      <c r="O53" s="2993">
        <v>265.11130000000003</v>
      </c>
      <c r="P53" s="2993">
        <v>63.424199999999999</v>
      </c>
      <c r="Q53" s="2993">
        <f>L53/L51</f>
        <v>3.8652167063205657E-2</v>
      </c>
      <c r="R53" s="2993">
        <f>M53/M51</f>
        <v>4.3259806048146193E-2</v>
      </c>
      <c r="S53" s="2993">
        <f>N53/N51</f>
        <v>4.4815316320340817E-2</v>
      </c>
      <c r="T53" s="2993">
        <f>O53/O51</f>
        <v>6.137871413949253E-2</v>
      </c>
      <c r="U53" s="2993">
        <f>P53/P51</f>
        <v>1.2223711014374205E-2</v>
      </c>
    </row>
    <row r="54" spans="7:21" ht="13.15" customHeight="1">
      <c r="K54" s="3710" t="s">
        <v>3910</v>
      </c>
      <c r="L54" s="2993">
        <f>SUM(L51:L53)</f>
        <v>15515.7225</v>
      </c>
      <c r="M54" s="2993">
        <f t="shared" ref="M54:P54" si="3">SUM(M51:M53)</f>
        <v>5730.0069940000003</v>
      </c>
      <c r="N54" s="2993">
        <f t="shared" si="3"/>
        <v>8874.7679529999987</v>
      </c>
      <c r="O54" s="2993">
        <f t="shared" si="3"/>
        <v>5679.8333000000002</v>
      </c>
      <c r="P54" s="2993">
        <f t="shared" si="3"/>
        <v>6366.828300000001</v>
      </c>
      <c r="Q54" s="2993">
        <f>Q52+Q53</f>
        <v>0.37043460397604672</v>
      </c>
      <c r="R54" s="2993">
        <f t="shared" ref="R54:U54" si="4">R52+R53</f>
        <v>0.42090490030158045</v>
      </c>
      <c r="S54" s="2993">
        <f t="shared" si="4"/>
        <v>0.34076702687840638</v>
      </c>
      <c r="T54" s="2993">
        <f t="shared" si="4"/>
        <v>0.31499813278675964</v>
      </c>
      <c r="U54" s="2993">
        <f t="shared" si="4"/>
        <v>0.22707529960708053</v>
      </c>
    </row>
    <row r="55" spans="7:21" ht="13.15" customHeight="1">
      <c r="J55" s="3710"/>
    </row>
    <row r="58" spans="7:21" ht="13.15" customHeight="1">
      <c r="G58" s="2991"/>
      <c r="H58" s="2843"/>
      <c r="I58" s="2843"/>
      <c r="J58" s="2844"/>
      <c r="K58" s="3712" t="s">
        <v>3942</v>
      </c>
      <c r="L58" s="3712" t="s">
        <v>3943</v>
      </c>
      <c r="M58" s="2836"/>
      <c r="N58" s="2836"/>
      <c r="O58" s="2836"/>
      <c r="P58" s="2836"/>
    </row>
    <row r="59" spans="7:21" ht="13.15" customHeight="1">
      <c r="G59" s="3712" t="s">
        <v>3926</v>
      </c>
      <c r="H59" s="2844">
        <v>2015</v>
      </c>
      <c r="I59" s="2844">
        <v>2016</v>
      </c>
      <c r="J59" s="2844">
        <v>2017</v>
      </c>
      <c r="K59" s="2836">
        <v>2018</v>
      </c>
      <c r="L59" s="2836">
        <v>2019</v>
      </c>
      <c r="M59" s="2836">
        <v>2020</v>
      </c>
      <c r="N59" s="2836">
        <v>2021</v>
      </c>
      <c r="O59" s="2836">
        <v>2022</v>
      </c>
      <c r="P59" s="2836" t="s">
        <v>3945</v>
      </c>
    </row>
    <row r="60" spans="7:21" ht="13.15" customHeight="1">
      <c r="G60" s="3716" t="s">
        <v>3924</v>
      </c>
      <c r="H60" s="3722">
        <v>821.4</v>
      </c>
      <c r="I60" s="3722">
        <v>784.8</v>
      </c>
      <c r="J60" s="3722">
        <v>834.7</v>
      </c>
      <c r="K60" s="3717">
        <v>880.5</v>
      </c>
      <c r="L60" s="3717">
        <v>909.5</v>
      </c>
      <c r="M60" s="3717">
        <v>850.3</v>
      </c>
      <c r="N60" s="3717">
        <v>761.4</v>
      </c>
      <c r="O60" s="3717">
        <v>711.7</v>
      </c>
      <c r="P60" s="3717">
        <v>825.69</v>
      </c>
    </row>
    <row r="61" spans="7:21" ht="13.15" customHeight="1">
      <c r="G61" s="3712" t="s">
        <v>3927</v>
      </c>
      <c r="H61" s="3723">
        <v>1.7000000000000001E-2</v>
      </c>
      <c r="I61" s="3723">
        <v>-4.4999999999999998E-2</v>
      </c>
      <c r="J61" s="3723">
        <v>6.4000000000000001E-2</v>
      </c>
      <c r="K61" s="3713">
        <v>5.5E-2</v>
      </c>
      <c r="L61" s="3713">
        <v>3.3000000000000002E-2</v>
      </c>
      <c r="M61" s="3713">
        <v>-6.5000000000000002E-2</v>
      </c>
      <c r="N61" s="3713">
        <v>-5.0999999999999997E-2</v>
      </c>
      <c r="O61" s="3713">
        <v>-2.3E-2</v>
      </c>
      <c r="P61" s="3713">
        <v>7.4999999999999997E-3</v>
      </c>
    </row>
    <row r="62" spans="7:21" ht="13.15" customHeight="1">
      <c r="G62" s="3716" t="s">
        <v>3925</v>
      </c>
      <c r="H62" s="3724">
        <v>0.64</v>
      </c>
      <c r="I62" s="3724">
        <v>0.67300000000000004</v>
      </c>
      <c r="J62" s="3724">
        <v>0.68700000000000006</v>
      </c>
      <c r="K62" s="3715">
        <v>0.69699999999999995</v>
      </c>
      <c r="L62" s="3715">
        <v>0.71</v>
      </c>
      <c r="M62" s="3715">
        <v>0.29899999999999999</v>
      </c>
      <c r="N62" s="3715">
        <v>0.44800000000000001</v>
      </c>
      <c r="O62" s="3715">
        <v>0.28899999999999998</v>
      </c>
      <c r="P62" s="3715">
        <v>0.64729999999999999</v>
      </c>
    </row>
    <row r="63" spans="7:21" ht="13.15" customHeight="1">
      <c r="G63" s="3712" t="s">
        <v>3927</v>
      </c>
      <c r="H63" s="3723">
        <v>0.01</v>
      </c>
      <c r="I63" s="3723">
        <v>3.3000000000000002E-2</v>
      </c>
      <c r="J63" s="3723">
        <v>1.4E-2</v>
      </c>
      <c r="K63" s="3713">
        <v>1.4999999999999999E-2</v>
      </c>
      <c r="L63" s="3713">
        <v>1.2999999999999999E-2</v>
      </c>
      <c r="M63" s="2836">
        <v>-41.1</v>
      </c>
      <c r="N63" s="3713">
        <v>0.14899999999999999</v>
      </c>
      <c r="O63" s="3713">
        <v>-0.159</v>
      </c>
      <c r="P63" s="3713">
        <v>0.34300000000000003</v>
      </c>
    </row>
    <row r="64" spans="7:21" ht="13.15" customHeight="1">
      <c r="G64" s="3712" t="s">
        <v>3928</v>
      </c>
      <c r="H64" s="2844">
        <v>1160531</v>
      </c>
      <c r="I64" s="2844">
        <v>1214492</v>
      </c>
      <c r="J64" s="2844">
        <v>1244732</v>
      </c>
      <c r="K64" s="2836">
        <v>1284180</v>
      </c>
      <c r="L64" s="2836">
        <v>1194870</v>
      </c>
      <c r="M64" s="2836">
        <v>666643</v>
      </c>
      <c r="N64" s="2836">
        <v>732398</v>
      </c>
      <c r="O64" s="2836">
        <v>502326</v>
      </c>
      <c r="P64" s="2836">
        <v>735968</v>
      </c>
    </row>
    <row r="65" spans="7:16" ht="13.15" customHeight="1">
      <c r="G65" s="3716" t="s">
        <v>3927</v>
      </c>
      <c r="H65" s="3724">
        <v>0.04</v>
      </c>
      <c r="I65" s="3724">
        <v>4.5999999999999999E-2</v>
      </c>
      <c r="J65" s="3724">
        <v>2.5000000000000001E-2</v>
      </c>
      <c r="K65" s="3715">
        <v>3.2000000000000001E-2</v>
      </c>
      <c r="L65" s="3726">
        <v>-7.0000000000000007E-2</v>
      </c>
      <c r="M65" s="3715">
        <v>-0.442</v>
      </c>
      <c r="N65" s="3715">
        <v>0.34899999999999998</v>
      </c>
      <c r="O65" s="3715">
        <v>-0.29099999999999998</v>
      </c>
      <c r="P65" s="3715">
        <v>0.78380000000000005</v>
      </c>
    </row>
    <row r="66" spans="7:16" ht="13.15" customHeight="1">
      <c r="G66" s="2991" t="s">
        <v>3944</v>
      </c>
      <c r="H66" s="3725" t="s">
        <v>3946</v>
      </c>
      <c r="I66" s="2844">
        <v>6396663</v>
      </c>
      <c r="J66" s="2844">
        <v>6193213</v>
      </c>
      <c r="K66" s="2836">
        <v>6263153</v>
      </c>
      <c r="L66" s="2836">
        <v>5527799</v>
      </c>
      <c r="M66" s="2836">
        <v>2347403</v>
      </c>
      <c r="N66" s="2836">
        <v>3249258</v>
      </c>
      <c r="O66" s="2836">
        <v>1887155</v>
      </c>
      <c r="P66" s="2836">
        <v>3824258</v>
      </c>
    </row>
    <row r="67" spans="7:16" ht="13.15" customHeight="1">
      <c r="G67" s="3712" t="s">
        <v>3927</v>
      </c>
      <c r="H67" s="3723">
        <v>5.5E-2</v>
      </c>
      <c r="I67" s="3723">
        <v>0.161</v>
      </c>
      <c r="J67" s="3723">
        <v>-3.2000000000000001E-2</v>
      </c>
      <c r="K67" s="3713">
        <v>1.0999999999999999E-2</v>
      </c>
      <c r="L67" s="3713">
        <v>-0.11700000000000001</v>
      </c>
      <c r="M67" s="3713">
        <v>-0.57499999999999996</v>
      </c>
      <c r="N67" s="3713">
        <v>0.51600000000000001</v>
      </c>
      <c r="O67" s="3713">
        <v>-0.41899999999999998</v>
      </c>
      <c r="P67" s="3713">
        <v>1.5389999999999999</v>
      </c>
    </row>
    <row r="70" spans="7:16" ht="13.15" customHeight="1">
      <c r="L70" s="3710" t="s">
        <v>3947</v>
      </c>
      <c r="M70" s="2993">
        <v>2020</v>
      </c>
      <c r="N70" s="2993">
        <v>2021</v>
      </c>
      <c r="O70" s="2993">
        <v>2022</v>
      </c>
    </row>
    <row r="71" spans="7:16" ht="13.15" customHeight="1">
      <c r="L71" s="3710" t="s">
        <v>3948</v>
      </c>
      <c r="M71" s="2993">
        <v>11998.059674</v>
      </c>
      <c r="N71" s="2993">
        <v>15081.898517</v>
      </c>
      <c r="O71" s="2993">
        <v>10407.597311</v>
      </c>
    </row>
    <row r="73" spans="7:16" ht="13.15" customHeight="1">
      <c r="K73" s="3710" t="s">
        <v>3949</v>
      </c>
      <c r="L73" s="3710" t="s">
        <v>3950</v>
      </c>
      <c r="M73" s="2993">
        <f>区域分配表!Q55</f>
        <v>2820.1610000000001</v>
      </c>
      <c r="N73" s="2993">
        <f>区域分配表!R55</f>
        <v>3075.4207000000001</v>
      </c>
      <c r="O73" s="2993">
        <f>区域分配表!S55</f>
        <v>2042.5959</v>
      </c>
    </row>
    <row r="74" spans="7:16" ht="13.15" customHeight="1">
      <c r="L74" s="3710" t="s">
        <v>3951</v>
      </c>
      <c r="M74" s="2993">
        <f>区域分配表!Q59</f>
        <v>2920.2901000000002</v>
      </c>
      <c r="N74" s="2993">
        <f>区域分配表!R59</f>
        <v>2895.9638</v>
      </c>
      <c r="O74" s="2993">
        <f>区域分配表!S59</f>
        <v>2191.3991000000001</v>
      </c>
    </row>
    <row r="75" spans="7:16" ht="13.15" customHeight="1">
      <c r="L75" s="3710" t="s">
        <v>3952</v>
      </c>
      <c r="M75" s="2993">
        <f>M54</f>
        <v>5730.0069940000003</v>
      </c>
      <c r="N75" s="2993">
        <f t="shared" ref="N75:O75" si="5">N54</f>
        <v>8874.7679529999987</v>
      </c>
      <c r="O75" s="2993">
        <f t="shared" si="5"/>
        <v>5679.8333000000002</v>
      </c>
    </row>
    <row r="76" spans="7:16" ht="13.15" customHeight="1">
      <c r="L76" s="3710" t="s">
        <v>3953</v>
      </c>
      <c r="M76" s="2993">
        <f>SUM(M73:M75)</f>
        <v>11470.458094000001</v>
      </c>
      <c r="N76" s="2993">
        <f t="shared" ref="N76:O76" si="6">SUM(N73:N75)</f>
        <v>14846.152452999999</v>
      </c>
      <c r="O76" s="2993">
        <f t="shared" si="6"/>
        <v>9913.828300000001</v>
      </c>
    </row>
    <row r="77" spans="7:16" ht="13.15" customHeight="1">
      <c r="L77" s="3727" t="s">
        <v>3954</v>
      </c>
      <c r="M77" s="3721">
        <f>M71-M76</f>
        <v>527.60157999999865</v>
      </c>
      <c r="N77" s="3721">
        <f t="shared" ref="N77:O77" si="7">N71-N76</f>
        <v>235.74606400000084</v>
      </c>
      <c r="O77" s="3721">
        <f t="shared" si="7"/>
        <v>493.7690109999985</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8" sqref="I2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155724</v>
      </c>
      <c r="C2" s="1867" t="s">
        <v>1651</v>
      </c>
      <c r="D2" s="1868" t="s">
        <v>1652</v>
      </c>
      <c r="E2" s="2602">
        <f>SUM(E6:E13)</f>
        <v>61136.619999999995</v>
      </c>
      <c r="F2" s="2702"/>
      <c r="G2" s="1484"/>
      <c r="H2" s="1484"/>
      <c r="I2" s="1484"/>
      <c r="J2" s="1484"/>
      <c r="K2" s="1484"/>
      <c r="L2" s="1484"/>
      <c r="M2" s="1484"/>
      <c r="N2" s="1484"/>
      <c r="O2" s="1484"/>
      <c r="P2" s="1484"/>
      <c r="Q2" s="1484"/>
      <c r="R2" s="1484"/>
      <c r="S2" s="1484"/>
    </row>
    <row r="3" spans="1:22" ht="15.75">
      <c r="A3" s="1865" t="s">
        <v>686</v>
      </c>
      <c r="B3" s="2596">
        <f ca="1">ROUND(B2*10000/E2,0)</f>
        <v>25471</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4063" t="s">
        <v>1654</v>
      </c>
      <c r="C5" s="4064"/>
      <c r="D5" s="2703"/>
      <c r="E5" s="1869" t="s">
        <v>1655</v>
      </c>
      <c r="F5" s="1870" t="s">
        <v>1656</v>
      </c>
      <c r="G5" s="1484"/>
      <c r="H5" s="1484"/>
      <c r="I5" s="1484"/>
      <c r="J5" s="1484"/>
      <c r="K5" s="1484"/>
      <c r="L5" s="1484"/>
      <c r="M5" s="1484"/>
      <c r="N5" s="1484"/>
      <c r="O5" s="1484"/>
      <c r="P5" s="1484"/>
      <c r="Q5" s="1484"/>
      <c r="R5" s="1484"/>
      <c r="S5" s="1484"/>
    </row>
    <row r="6" spans="1:22">
      <c r="A6" s="2599" t="str">
        <f>'数据-取费表'!AN6</f>
        <v>商业收益法</v>
      </c>
      <c r="B6" s="2597">
        <f ca="1">IF(F6="是",'数据-取费表'!AO6,0)</f>
        <v>38611</v>
      </c>
      <c r="C6" s="1867" t="s">
        <v>1651</v>
      </c>
      <c r="D6" s="2704"/>
      <c r="E6" s="2601">
        <f>IF(OR(A6=0,F6="否"),0,'数据-取费表'!K6+'数据-取费表'!S6)</f>
        <v>26071.17</v>
      </c>
      <c r="F6" s="1871" t="s">
        <v>1657</v>
      </c>
      <c r="G6" s="1484"/>
      <c r="H6" s="1484"/>
      <c r="I6" s="1484"/>
      <c r="J6" s="1484"/>
      <c r="K6" s="1484"/>
      <c r="L6" s="1484"/>
      <c r="M6" s="1484"/>
      <c r="N6" s="1484"/>
      <c r="O6" s="1484"/>
      <c r="P6" s="1484"/>
      <c r="Q6" s="1484"/>
      <c r="R6" s="1484"/>
      <c r="S6" s="1484"/>
    </row>
    <row r="7" spans="1:22">
      <c r="A7" s="2599" t="str">
        <f>'数据-取费表'!AN7</f>
        <v>办公收益法</v>
      </c>
      <c r="B7" s="2597">
        <f ca="1">IF(F7="是",'数据-取费表'!AO7,0)</f>
        <v>59856</v>
      </c>
      <c r="C7" s="1867" t="s">
        <v>1651</v>
      </c>
      <c r="D7" s="2704"/>
      <c r="E7" s="2601">
        <f>IF(OR(A7=0,F7="否"),0,'数据-取费表'!K7+'数据-取费表'!S7)</f>
        <v>12975.39</v>
      </c>
      <c r="F7" s="1871" t="s">
        <v>1657</v>
      </c>
      <c r="G7" s="1484"/>
      <c r="H7" s="1484"/>
      <c r="I7" s="1484"/>
      <c r="J7" s="1484"/>
      <c r="K7" s="1484"/>
      <c r="L7" s="1484"/>
      <c r="M7" s="1484"/>
      <c r="N7" s="1484"/>
      <c r="O7" s="1484"/>
      <c r="P7" s="1484"/>
      <c r="Q7" s="1484"/>
      <c r="R7" s="1484"/>
      <c r="S7" s="1484"/>
    </row>
    <row r="8" spans="1:22">
      <c r="A8" s="2599" t="str">
        <f>'数据-取费表'!AN8</f>
        <v>酒店收益法</v>
      </c>
      <c r="B8" s="3719">
        <f ca="1">'收益法-酒店模型'!B2</f>
        <v>55431</v>
      </c>
      <c r="C8" s="1867" t="s">
        <v>1651</v>
      </c>
      <c r="D8" s="2704"/>
      <c r="E8" s="2601">
        <f>IF(OR(A8=0,F8="否"),0,'数据-取费表'!K8+'数据-取费表'!S8)</f>
        <v>17825.759999999998</v>
      </c>
      <c r="F8" s="1871" t="s">
        <v>1657</v>
      </c>
      <c r="G8" s="1484"/>
      <c r="H8" s="1484"/>
      <c r="I8" s="1484"/>
      <c r="J8" s="1484"/>
      <c r="K8" s="1484"/>
      <c r="L8" s="1484"/>
      <c r="M8" s="1484"/>
      <c r="N8" s="1484"/>
      <c r="O8" s="1484"/>
      <c r="P8" s="1484"/>
      <c r="Q8" s="1484"/>
      <c r="R8" s="1484"/>
      <c r="S8" s="1484"/>
    </row>
    <row r="9" spans="1:22">
      <c r="A9" s="2599" t="str">
        <f>'数据-取费表'!AN9</f>
        <v>地下车库收益法</v>
      </c>
      <c r="B9" s="2597">
        <f ca="1">IF(F9="是",'数据-取费表'!AO9,0)</f>
        <v>1826</v>
      </c>
      <c r="C9" s="1867" t="s">
        <v>1651</v>
      </c>
      <c r="D9" s="2704"/>
      <c r="E9" s="2601">
        <f>IF(OR(A9=0,F9="否"),0,'数据-取费表'!K9+'数据-取费表'!S9)</f>
        <v>4264.3</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估价对象为北京市房地产，为所有。根据《国有土地使用证》[]，估价对象（分摊）出让国有建设用地使用权面积为6245.083平方米，建筑面积为61136.62平方米。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估价对象为北京市房地产,为开发建设的，该项目尚在开发建设中。根据《国有土地使用证》[]，估价对象（分摊）出让国有建设用地使用权面积为6245.083平方米，规划建筑面积为61136.62平方米。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2023年10月27日（评估专业人员实地查勘之日）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27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1661</v>
      </c>
      <c r="C1" s="1233" t="s">
        <v>1662</v>
      </c>
      <c r="D1" s="1220"/>
      <c r="E1" s="3351"/>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5" customFormat="1" ht="28.5" customHeight="1" thickTop="1">
      <c r="A2" s="1216" t="s">
        <v>685</v>
      </c>
      <c r="B2" s="3352"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0</v>
      </c>
      <c r="C3" s="352" t="s">
        <v>1665</v>
      </c>
      <c r="D3" s="351">
        <f>IF(D1="",'数据-汇总表'!E3,SUMIF('数据-汇总表'!$C19:$C33,D1,'数据-汇总表'!$E19:$E33))</f>
        <v>61136.619999999995</v>
      </c>
      <c r="E3" s="902"/>
      <c r="F3" s="1883"/>
      <c r="G3" s="902"/>
      <c r="H3" s="902"/>
      <c r="I3" s="902"/>
      <c r="J3" s="902"/>
      <c r="K3" s="1879"/>
      <c r="L3" s="2708"/>
      <c r="M3" s="2709"/>
      <c r="N3" s="2709"/>
      <c r="O3" s="2709"/>
      <c r="P3" s="1880"/>
      <c r="Q3" s="1881"/>
      <c r="R3" s="1881"/>
      <c r="S3" s="1881"/>
      <c r="T3" s="1881"/>
      <c r="U3" s="1881"/>
      <c r="V3" s="1881"/>
      <c r="W3" s="1881"/>
      <c r="X3" s="1881"/>
      <c r="Y3" s="1881"/>
      <c r="Z3" s="1881"/>
      <c r="AA3" s="1881"/>
      <c r="AB3" s="1881"/>
      <c r="AC3" s="1056"/>
    </row>
    <row r="4" spans="1:29" ht="15">
      <c r="A4" s="353" t="s">
        <v>1666</v>
      </c>
      <c r="B4" s="354"/>
      <c r="C4" s="4083" t="s">
        <v>1667</v>
      </c>
      <c r="D4" s="4084"/>
      <c r="E4" s="4085" t="s">
        <v>1668</v>
      </c>
      <c r="F4" s="4086"/>
      <c r="G4" s="4083" t="s">
        <v>1669</v>
      </c>
      <c r="H4" s="4084"/>
      <c r="I4" s="4083" t="s">
        <v>1670</v>
      </c>
      <c r="J4" s="4084"/>
      <c r="K4" s="1884" t="s">
        <v>1671</v>
      </c>
      <c r="L4" s="2710"/>
      <c r="M4" s="2711"/>
      <c r="N4" s="2711"/>
      <c r="O4" s="2711"/>
      <c r="P4" s="4087" t="s">
        <v>1672</v>
      </c>
      <c r="Q4" s="4088"/>
      <c r="R4" s="4093" t="s">
        <v>1668</v>
      </c>
      <c r="S4" s="4094"/>
      <c r="T4" s="4093" t="s">
        <v>1669</v>
      </c>
      <c r="U4" s="4094"/>
      <c r="V4" s="4099" t="s">
        <v>1670</v>
      </c>
      <c r="W4" s="4099"/>
      <c r="X4" s="1350"/>
      <c r="Y4" s="4093" t="s">
        <v>1672</v>
      </c>
      <c r="Z4" s="4094"/>
      <c r="AA4" s="4080" t="s">
        <v>1668</v>
      </c>
      <c r="AB4" s="4080" t="s">
        <v>1669</v>
      </c>
      <c r="AC4" s="4080" t="s">
        <v>1670</v>
      </c>
    </row>
    <row r="5" spans="1:29" ht="15">
      <c r="A5" s="356"/>
      <c r="B5" s="357"/>
      <c r="C5" s="4102" t="s">
        <v>1673</v>
      </c>
      <c r="D5" s="4103"/>
      <c r="E5" s="4109" t="s">
        <v>1674</v>
      </c>
      <c r="F5" s="4110"/>
      <c r="G5" s="4102" t="s">
        <v>1675</v>
      </c>
      <c r="H5" s="4103"/>
      <c r="I5" s="4102" t="s">
        <v>1676</v>
      </c>
      <c r="J5" s="4103"/>
      <c r="K5" s="1885"/>
      <c r="L5" s="2710"/>
      <c r="M5" s="2711"/>
      <c r="N5" s="2711"/>
      <c r="O5" s="2711"/>
      <c r="P5" s="4089"/>
      <c r="Q5" s="4090"/>
      <c r="R5" s="4095"/>
      <c r="S5" s="4096"/>
      <c r="T5" s="4095"/>
      <c r="U5" s="4096"/>
      <c r="V5" s="4099"/>
      <c r="W5" s="4099"/>
      <c r="X5" s="1350"/>
      <c r="Y5" s="4095"/>
      <c r="Z5" s="4096"/>
      <c r="AA5" s="4081"/>
      <c r="AB5" s="4081"/>
      <c r="AC5" s="4081"/>
    </row>
    <row r="6" spans="1:29" ht="15.75" thickBot="1">
      <c r="A6" s="358"/>
      <c r="B6" s="359"/>
      <c r="C6" s="4100" t="s">
        <v>1677</v>
      </c>
      <c r="D6" s="4101"/>
      <c r="E6" s="4107" t="s">
        <v>1677</v>
      </c>
      <c r="F6" s="4108"/>
      <c r="G6" s="4100" t="s">
        <v>1677</v>
      </c>
      <c r="H6" s="4101"/>
      <c r="I6" s="4100" t="s">
        <v>1677</v>
      </c>
      <c r="J6" s="4101"/>
      <c r="K6" s="1885" t="s">
        <v>1678</v>
      </c>
      <c r="L6" s="2710"/>
      <c r="M6" s="2711"/>
      <c r="N6" s="2711"/>
      <c r="O6" s="2711"/>
      <c r="P6" s="4091"/>
      <c r="Q6" s="4092"/>
      <c r="R6" s="4095"/>
      <c r="S6" s="4096"/>
      <c r="T6" s="4097"/>
      <c r="U6" s="4098"/>
      <c r="V6" s="4099"/>
      <c r="W6" s="4099"/>
      <c r="X6" s="1350"/>
      <c r="Y6" s="4097"/>
      <c r="Z6" s="4098"/>
      <c r="AA6" s="4082"/>
      <c r="AB6" s="4082"/>
      <c r="AC6" s="4082"/>
    </row>
    <row r="7" spans="1:29" s="106" customFormat="1" ht="15.75" thickBot="1">
      <c r="A7" s="360" t="s">
        <v>1679</v>
      </c>
      <c r="B7" s="361"/>
      <c r="C7" s="362">
        <f>'数据-取费表'!B2</f>
        <v>45226</v>
      </c>
      <c r="D7" s="363">
        <v>100</v>
      </c>
      <c r="E7" s="364"/>
      <c r="F7" s="365">
        <f>SUMIF(58:58,YEAR(E7)&amp;"-"&amp;MONTH(E7),59:59)</f>
        <v>0</v>
      </c>
      <c r="G7" s="364"/>
      <c r="H7" s="363">
        <f>SUMIF(58:58,YEAR(G7)&amp;"-"&amp;MONTH(G7),59:59)</f>
        <v>0</v>
      </c>
      <c r="I7" s="364"/>
      <c r="J7" s="363">
        <f>SUMIF(58:58,YEAR(I7)&amp;"-"&amp;MONTH(I7),59:59)</f>
        <v>0</v>
      </c>
      <c r="K7" s="1886"/>
      <c r="L7" s="2712"/>
      <c r="M7" s="2713"/>
      <c r="N7" s="2713"/>
      <c r="O7" s="2713"/>
      <c r="P7" s="4104" t="s">
        <v>1680</v>
      </c>
      <c r="Q7" s="4106"/>
      <c r="R7" s="699" t="s">
        <v>20</v>
      </c>
      <c r="S7" s="700">
        <f t="shared" ref="S7:S15" si="0">F7</f>
        <v>0</v>
      </c>
      <c r="T7" s="699" t="s">
        <v>20</v>
      </c>
      <c r="U7" s="700">
        <f t="shared" ref="U7:U15" si="1">H7</f>
        <v>0</v>
      </c>
      <c r="V7" s="699" t="s">
        <v>20</v>
      </c>
      <c r="W7" s="700">
        <f t="shared" ref="W7:W15" si="2">J7</f>
        <v>0</v>
      </c>
      <c r="X7" s="701"/>
      <c r="Y7" s="4104" t="s">
        <v>1680</v>
      </c>
      <c r="Z7" s="4105"/>
      <c r="AA7" s="702" t="e">
        <f>D7/F7</f>
        <v>#DIV/0!</v>
      </c>
      <c r="AB7" s="702" t="e">
        <f>D7/H7</f>
        <v>#DIV/0!</v>
      </c>
      <c r="AC7" s="702" t="e">
        <f>D7/J7</f>
        <v>#DIV/0!</v>
      </c>
    </row>
    <row r="8" spans="1:29" s="106" customFormat="1" ht="15.75" thickBot="1">
      <c r="A8" s="360" t="s">
        <v>1681</v>
      </c>
      <c r="B8" s="361"/>
      <c r="C8" s="366"/>
      <c r="D8" s="363">
        <v>100</v>
      </c>
      <c r="E8" s="1887"/>
      <c r="F8" s="365">
        <f>SUMIF(61:61,E8,62:62)-SUMIF(61:61,C8,62:62)+100</f>
        <v>100</v>
      </c>
      <c r="G8" s="366"/>
      <c r="H8" s="363">
        <f>SUMIF(61:61,G8,62:62)-SUMIF(61:61,C8,62:62)+100</f>
        <v>100</v>
      </c>
      <c r="I8" s="1887"/>
      <c r="J8" s="363">
        <f>SUMIF(61:61,I8,62:62)-SUMIF(61:61,C8,62:62)+100</f>
        <v>100</v>
      </c>
      <c r="K8" s="1886"/>
      <c r="L8" s="2712"/>
      <c r="M8" s="2713"/>
      <c r="N8" s="2713"/>
      <c r="O8" s="2713"/>
      <c r="P8" s="4104" t="s">
        <v>1683</v>
      </c>
      <c r="Q8" s="4105"/>
      <c r="R8" s="699" t="s">
        <v>20</v>
      </c>
      <c r="S8" s="700">
        <f t="shared" si="0"/>
        <v>100</v>
      </c>
      <c r="T8" s="699" t="s">
        <v>20</v>
      </c>
      <c r="U8" s="700">
        <f t="shared" si="1"/>
        <v>100</v>
      </c>
      <c r="V8" s="699" t="s">
        <v>20</v>
      </c>
      <c r="W8" s="700">
        <f t="shared" si="2"/>
        <v>100</v>
      </c>
      <c r="X8" s="701"/>
      <c r="Y8" s="4104" t="s">
        <v>1683</v>
      </c>
      <c r="Z8" s="4105"/>
      <c r="AA8" s="702">
        <f t="shared" ref="AA8:AA19" si="3">D8/F8</f>
        <v>1</v>
      </c>
      <c r="AB8" s="702">
        <f t="shared" ref="AB8:AB19" si="4">D8/H8</f>
        <v>1</v>
      </c>
      <c r="AC8" s="702">
        <f t="shared" ref="AC8:AC19" si="5">D8/J8</f>
        <v>1</v>
      </c>
    </row>
    <row r="9" spans="1:29" s="106" customFormat="1">
      <c r="A9" s="367" t="s">
        <v>1684</v>
      </c>
      <c r="B9" s="61" t="s">
        <v>1685</v>
      </c>
      <c r="C9" s="368"/>
      <c r="D9" s="124">
        <v>100</v>
      </c>
      <c r="E9" s="369"/>
      <c r="F9" s="370">
        <f>SUMIF(63:63,E9,64:64)-SUMIF(63:63,C9,64:64)+100</f>
        <v>100</v>
      </c>
      <c r="G9" s="371"/>
      <c r="H9" s="124">
        <f>SUMIF(63:63,G9,64:64)-SUMIF(63:63,C9,64:64)+100</f>
        <v>100</v>
      </c>
      <c r="I9" s="371"/>
      <c r="J9" s="124">
        <f>SUMIF(63:63,I9,64:64)-SUMIF(63:63,C9,64:64)+100</f>
        <v>100</v>
      </c>
      <c r="K9" s="1886"/>
      <c r="L9" s="2712"/>
      <c r="M9" s="2713"/>
      <c r="N9" s="2713"/>
      <c r="O9" s="2713"/>
      <c r="P9" s="4079" t="s">
        <v>1686</v>
      </c>
      <c r="Q9" s="1338" t="str">
        <f t="shared" ref="Q9:Q15" si="6">B9</f>
        <v>用途</v>
      </c>
      <c r="R9" s="699" t="s">
        <v>14</v>
      </c>
      <c r="S9" s="700">
        <f t="shared" si="0"/>
        <v>100</v>
      </c>
      <c r="T9" s="699" t="s">
        <v>14</v>
      </c>
      <c r="U9" s="700">
        <f t="shared" si="1"/>
        <v>100</v>
      </c>
      <c r="V9" s="699" t="s">
        <v>14</v>
      </c>
      <c r="W9" s="700">
        <f t="shared" si="2"/>
        <v>100</v>
      </c>
      <c r="X9" s="701"/>
      <c r="Y9" s="3943" t="s">
        <v>1687</v>
      </c>
      <c r="Z9" s="50" t="str">
        <f t="shared" ref="Z9:Z15" si="7">Q9</f>
        <v>用途</v>
      </c>
      <c r="AA9" s="702">
        <f t="shared" si="3"/>
        <v>1</v>
      </c>
      <c r="AB9" s="702">
        <f t="shared" si="4"/>
        <v>1</v>
      </c>
      <c r="AC9" s="702">
        <f t="shared" si="5"/>
        <v>1</v>
      </c>
    </row>
    <row r="10" spans="1:29" s="376" customFormat="1" ht="27">
      <c r="A10" s="372"/>
      <c r="B10" s="373" t="s">
        <v>1688</v>
      </c>
      <c r="C10" s="3359"/>
      <c r="D10" s="125">
        <v>100</v>
      </c>
      <c r="E10" s="3360"/>
      <c r="F10" s="374">
        <f>SUMIF(65:65,E10,66:66)-SUMIF(65:65,C10,66:66)+100</f>
        <v>100</v>
      </c>
      <c r="G10" s="3359"/>
      <c r="H10" s="125">
        <f>SUMIF(65:65,G10,66:66)-SUMIF(65:65,C10,66:66)+100</f>
        <v>100</v>
      </c>
      <c r="I10" s="3359"/>
      <c r="J10" s="125">
        <f>SUMIF(65:65,I10,66:66)-SUMIF(65:65,C10,66:66)+100</f>
        <v>100</v>
      </c>
      <c r="K10" s="1886"/>
      <c r="L10" s="2714"/>
      <c r="M10" s="2715"/>
      <c r="N10" s="2715"/>
      <c r="O10" s="2715"/>
      <c r="P10" s="4079"/>
      <c r="Q10" s="1338" t="str">
        <f t="shared" si="6"/>
        <v>土地使用年限（年）</v>
      </c>
      <c r="R10" s="699" t="s">
        <v>14</v>
      </c>
      <c r="S10" s="700">
        <f t="shared" si="0"/>
        <v>100</v>
      </c>
      <c r="T10" s="699" t="s">
        <v>14</v>
      </c>
      <c r="U10" s="700">
        <f t="shared" si="1"/>
        <v>100</v>
      </c>
      <c r="V10" s="699" t="s">
        <v>14</v>
      </c>
      <c r="W10" s="700">
        <f t="shared" si="2"/>
        <v>100</v>
      </c>
      <c r="X10" s="701"/>
      <c r="Y10" s="3943"/>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6"/>
      <c r="M11" s="2711"/>
      <c r="N11" s="2711"/>
      <c r="O11" s="2711"/>
      <c r="P11" s="4079"/>
      <c r="Q11" s="1338" t="str">
        <f t="shared" si="6"/>
        <v>容积率</v>
      </c>
      <c r="R11" s="699" t="s">
        <v>18</v>
      </c>
      <c r="S11" s="700" t="e">
        <f t="shared" si="0"/>
        <v>#N/A</v>
      </c>
      <c r="T11" s="699" t="s">
        <v>18</v>
      </c>
      <c r="U11" s="700" t="e">
        <f t="shared" si="1"/>
        <v>#N/A</v>
      </c>
      <c r="V11" s="699" t="s">
        <v>18</v>
      </c>
      <c r="W11" s="700" t="e">
        <f t="shared" si="2"/>
        <v>#N/A</v>
      </c>
      <c r="X11" s="701"/>
      <c r="Y11" s="3943"/>
      <c r="Z11" s="50" t="str">
        <f t="shared" si="7"/>
        <v>容积率</v>
      </c>
      <c r="AA11" s="702" t="e">
        <f t="shared" si="3"/>
        <v>#N/A</v>
      </c>
      <c r="AB11" s="702" t="e">
        <f t="shared" si="4"/>
        <v>#N/A</v>
      </c>
      <c r="AC11" s="702" t="e">
        <f t="shared" si="5"/>
        <v>#N/A</v>
      </c>
    </row>
    <row r="12" spans="1:29" s="106"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4079"/>
      <c r="Q12" s="1338">
        <f t="shared" si="6"/>
        <v>111</v>
      </c>
      <c r="R12" s="699" t="s">
        <v>18</v>
      </c>
      <c r="S12" s="700">
        <f t="shared" si="0"/>
        <v>100</v>
      </c>
      <c r="T12" s="699" t="s">
        <v>18</v>
      </c>
      <c r="U12" s="700">
        <f t="shared" si="1"/>
        <v>100</v>
      </c>
      <c r="V12" s="699" t="s">
        <v>18</v>
      </c>
      <c r="W12" s="700">
        <f t="shared" si="2"/>
        <v>100</v>
      </c>
      <c r="X12" s="701"/>
      <c r="Y12" s="3943"/>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4079"/>
      <c r="Q13" s="1338">
        <f t="shared" si="6"/>
        <v>111</v>
      </c>
      <c r="R13" s="699" t="s">
        <v>18</v>
      </c>
      <c r="S13" s="700">
        <f t="shared" si="0"/>
        <v>100</v>
      </c>
      <c r="T13" s="699" t="s">
        <v>18</v>
      </c>
      <c r="U13" s="700">
        <f t="shared" si="1"/>
        <v>100</v>
      </c>
      <c r="V13" s="699" t="s">
        <v>18</v>
      </c>
      <c r="W13" s="700">
        <f t="shared" si="2"/>
        <v>100</v>
      </c>
      <c r="X13" s="701"/>
      <c r="Y13" s="3943"/>
      <c r="Z13" s="50">
        <f t="shared" si="7"/>
        <v>111</v>
      </c>
      <c r="AA13" s="702">
        <f t="shared" si="3"/>
        <v>1</v>
      </c>
      <c r="AB13" s="702">
        <f t="shared" si="4"/>
        <v>1</v>
      </c>
      <c r="AC13" s="702">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4079"/>
      <c r="Q14" s="1338">
        <f t="shared" si="6"/>
        <v>111</v>
      </c>
      <c r="R14" s="699" t="s">
        <v>18</v>
      </c>
      <c r="S14" s="700">
        <f t="shared" si="0"/>
        <v>100</v>
      </c>
      <c r="T14" s="699" t="s">
        <v>18</v>
      </c>
      <c r="U14" s="700">
        <f t="shared" si="1"/>
        <v>100</v>
      </c>
      <c r="V14" s="699" t="s">
        <v>18</v>
      </c>
      <c r="W14" s="700">
        <f t="shared" si="2"/>
        <v>100</v>
      </c>
      <c r="X14" s="701"/>
      <c r="Y14" s="3943"/>
      <c r="Z14" s="50">
        <f t="shared" si="7"/>
        <v>111</v>
      </c>
      <c r="AA14" s="702">
        <f t="shared" si="3"/>
        <v>1</v>
      </c>
      <c r="AB14" s="702">
        <f t="shared" si="4"/>
        <v>1</v>
      </c>
      <c r="AC14" s="702">
        <f t="shared" si="5"/>
        <v>1</v>
      </c>
    </row>
    <row r="15" spans="1:29" ht="15">
      <c r="A15" s="389" t="s">
        <v>1690</v>
      </c>
      <c r="B15" s="59" t="s">
        <v>1257</v>
      </c>
      <c r="C15" s="1891">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7"/>
      <c r="M15" s="2711"/>
      <c r="N15" s="2711"/>
      <c r="O15" s="2711"/>
      <c r="P15" s="4077" t="s">
        <v>1691</v>
      </c>
      <c r="Q15" s="1347" t="str">
        <f t="shared" si="6"/>
        <v>居住社区成熟度</v>
      </c>
      <c r="R15" s="703" t="s">
        <v>18</v>
      </c>
      <c r="S15" s="704">
        <f t="shared" si="0"/>
        <v>100</v>
      </c>
      <c r="T15" s="703" t="s">
        <v>18</v>
      </c>
      <c r="U15" s="704">
        <f t="shared" si="1"/>
        <v>100</v>
      </c>
      <c r="V15" s="703" t="s">
        <v>18</v>
      </c>
      <c r="W15" s="704">
        <f t="shared" si="2"/>
        <v>100</v>
      </c>
      <c r="X15" s="1350"/>
      <c r="Y15" s="4070" t="s">
        <v>1691</v>
      </c>
      <c r="Z15" s="1351" t="str">
        <f t="shared" si="7"/>
        <v>居住社区成熟度</v>
      </c>
      <c r="AA15" s="1348">
        <f t="shared" si="3"/>
        <v>1</v>
      </c>
      <c r="AB15" s="1348">
        <f t="shared" si="4"/>
        <v>1</v>
      </c>
      <c r="AC15" s="1348">
        <f t="shared" si="5"/>
        <v>1</v>
      </c>
    </row>
    <row r="16" spans="1:29" ht="15">
      <c r="A16" s="377"/>
      <c r="B16" s="395"/>
      <c r="C16" s="396"/>
      <c r="D16" s="397"/>
      <c r="E16" s="1892"/>
      <c r="F16" s="397"/>
      <c r="G16" s="1893"/>
      <c r="H16" s="399"/>
      <c r="I16" s="1893"/>
      <c r="J16" s="397"/>
      <c r="K16" s="1894"/>
      <c r="L16" s="2717"/>
      <c r="M16" s="2711"/>
      <c r="N16" s="2711"/>
      <c r="O16" s="2711"/>
      <c r="P16" s="4078"/>
      <c r="Q16" s="1347"/>
      <c r="R16" s="703"/>
      <c r="S16" s="704"/>
      <c r="T16" s="703"/>
      <c r="U16" s="704"/>
      <c r="V16" s="703"/>
      <c r="W16" s="704"/>
      <c r="X16" s="1350"/>
      <c r="Y16" s="4071"/>
      <c r="Z16" s="1351"/>
      <c r="AA16" s="1348">
        <v>1</v>
      </c>
      <c r="AB16" s="1348">
        <v>1</v>
      </c>
      <c r="AC16" s="1348">
        <v>1</v>
      </c>
    </row>
    <row r="17" spans="1:29" ht="15">
      <c r="A17" s="377"/>
      <c r="B17" s="400" t="s">
        <v>1259</v>
      </c>
      <c r="C17" s="1895">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7"/>
      <c r="M17" s="2711"/>
      <c r="N17" s="2711"/>
      <c r="O17" s="2711"/>
      <c r="P17" s="4078"/>
      <c r="Q17" s="1347" t="str">
        <f>B17</f>
        <v>交通便捷度</v>
      </c>
      <c r="R17" s="703" t="s">
        <v>18</v>
      </c>
      <c r="S17" s="704">
        <f>F17</f>
        <v>100</v>
      </c>
      <c r="T17" s="703" t="s">
        <v>18</v>
      </c>
      <c r="U17" s="704">
        <f>H17</f>
        <v>100</v>
      </c>
      <c r="V17" s="703" t="s">
        <v>18</v>
      </c>
      <c r="W17" s="704">
        <f>J17</f>
        <v>100</v>
      </c>
      <c r="X17" s="1350"/>
      <c r="Y17" s="4071"/>
      <c r="Z17" s="1351" t="str">
        <f>Q17</f>
        <v>交通便捷度</v>
      </c>
      <c r="AA17" s="1348">
        <f t="shared" si="3"/>
        <v>1</v>
      </c>
      <c r="AB17" s="1348">
        <f t="shared" si="4"/>
        <v>1</v>
      </c>
      <c r="AC17" s="1348">
        <f t="shared" si="5"/>
        <v>1</v>
      </c>
    </row>
    <row r="18" spans="1:29" ht="15">
      <c r="A18" s="377"/>
      <c r="B18" s="405"/>
      <c r="C18" s="1896"/>
      <c r="D18" s="399"/>
      <c r="E18" s="1897"/>
      <c r="F18" s="399"/>
      <c r="G18" s="1898"/>
      <c r="H18" s="397"/>
      <c r="I18" s="1898"/>
      <c r="J18" s="397"/>
      <c r="K18" s="1894"/>
      <c r="L18" s="2717"/>
      <c r="M18" s="2711"/>
      <c r="N18" s="2711"/>
      <c r="O18" s="2711"/>
      <c r="P18" s="4078"/>
      <c r="Q18" s="1347"/>
      <c r="R18" s="703"/>
      <c r="S18" s="704"/>
      <c r="T18" s="703"/>
      <c r="U18" s="704"/>
      <c r="V18" s="703"/>
      <c r="W18" s="704"/>
      <c r="X18" s="1350"/>
      <c r="Y18" s="4071"/>
      <c r="Z18" s="1351"/>
      <c r="AA18" s="1348">
        <v>1</v>
      </c>
      <c r="AB18" s="1348">
        <v>1</v>
      </c>
      <c r="AC18" s="1348">
        <v>1</v>
      </c>
    </row>
    <row r="19" spans="1:29" ht="15">
      <c r="A19" s="377"/>
      <c r="B19" s="400" t="s">
        <v>1258</v>
      </c>
      <c r="C19" s="1895">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7"/>
      <c r="M19" s="2711"/>
      <c r="N19" s="2711"/>
      <c r="O19" s="2711"/>
      <c r="P19" s="4078"/>
      <c r="Q19" s="1347" t="str">
        <f>B19</f>
        <v>公共配套设施</v>
      </c>
      <c r="R19" s="703" t="s">
        <v>18</v>
      </c>
      <c r="S19" s="704">
        <f>F19</f>
        <v>100</v>
      </c>
      <c r="T19" s="703" t="s">
        <v>18</v>
      </c>
      <c r="U19" s="704">
        <f>H19</f>
        <v>100</v>
      </c>
      <c r="V19" s="703" t="s">
        <v>18</v>
      </c>
      <c r="W19" s="704">
        <f>J19</f>
        <v>100</v>
      </c>
      <c r="X19" s="1350"/>
      <c r="Y19" s="4071"/>
      <c r="Z19" s="1351" t="str">
        <f>Q19</f>
        <v>公共配套设施</v>
      </c>
      <c r="AA19" s="1348">
        <f t="shared" si="3"/>
        <v>1</v>
      </c>
      <c r="AB19" s="1348">
        <f t="shared" si="4"/>
        <v>1</v>
      </c>
      <c r="AC19" s="1348">
        <f t="shared" si="5"/>
        <v>1</v>
      </c>
    </row>
    <row r="20" spans="1:29" ht="15">
      <c r="A20" s="377"/>
      <c r="B20" s="405"/>
      <c r="C20" s="396"/>
      <c r="D20" s="397"/>
      <c r="E20" s="1892"/>
      <c r="F20" s="397"/>
      <c r="G20" s="1893"/>
      <c r="H20" s="397"/>
      <c r="I20" s="1893"/>
      <c r="J20" s="397"/>
      <c r="K20" s="1894"/>
      <c r="L20" s="2717"/>
      <c r="M20" s="2711"/>
      <c r="N20" s="2711"/>
      <c r="O20" s="2711"/>
      <c r="P20" s="4078"/>
      <c r="Q20" s="1347"/>
      <c r="R20" s="703"/>
      <c r="S20" s="704"/>
      <c r="T20" s="703"/>
      <c r="U20" s="704"/>
      <c r="V20" s="703"/>
      <c r="W20" s="704"/>
      <c r="X20" s="1350"/>
      <c r="Y20" s="4071"/>
      <c r="Z20" s="1351"/>
      <c r="AA20" s="1348">
        <v>1</v>
      </c>
      <c r="AB20" s="1348">
        <v>1</v>
      </c>
      <c r="AC20" s="1348">
        <v>1</v>
      </c>
    </row>
    <row r="21" spans="1:29" ht="15">
      <c r="A21" s="377"/>
      <c r="B21" s="1126" t="s">
        <v>1260</v>
      </c>
      <c r="C21" s="1895">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7"/>
      <c r="M21" s="2711"/>
      <c r="N21" s="2711"/>
      <c r="O21" s="2711"/>
      <c r="P21" s="4078"/>
      <c r="Q21" s="1347" t="str">
        <f>B21</f>
        <v>基础设施水平</v>
      </c>
      <c r="R21" s="703" t="s">
        <v>14</v>
      </c>
      <c r="S21" s="704">
        <f>F21</f>
        <v>100</v>
      </c>
      <c r="T21" s="703" t="s">
        <v>14</v>
      </c>
      <c r="U21" s="704">
        <f>H21</f>
        <v>100</v>
      </c>
      <c r="V21" s="703" t="s">
        <v>14</v>
      </c>
      <c r="W21" s="704">
        <f>J21</f>
        <v>100</v>
      </c>
      <c r="X21" s="1350"/>
      <c r="Y21" s="4071"/>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7"/>
      <c r="G22" s="1899"/>
      <c r="H22" s="397"/>
      <c r="I22" s="396"/>
      <c r="J22" s="397"/>
      <c r="K22" s="1900"/>
      <c r="L22" s="2717"/>
      <c r="M22" s="2711"/>
      <c r="N22" s="2711"/>
      <c r="O22" s="2711"/>
      <c r="P22" s="4078"/>
      <c r="Q22" s="1347"/>
      <c r="R22" s="703"/>
      <c r="S22" s="704"/>
      <c r="T22" s="703"/>
      <c r="U22" s="704"/>
      <c r="V22" s="703"/>
      <c r="W22" s="704"/>
      <c r="X22" s="1350"/>
      <c r="Y22" s="4071"/>
      <c r="Z22" s="1351"/>
      <c r="AA22" s="1348">
        <v>1</v>
      </c>
      <c r="AB22" s="1348">
        <v>1</v>
      </c>
      <c r="AC22" s="1348">
        <v>1</v>
      </c>
    </row>
    <row r="23" spans="1:29" ht="15">
      <c r="A23" s="377"/>
      <c r="B23" s="400" t="s">
        <v>1261</v>
      </c>
      <c r="C23" s="1895">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7"/>
      <c r="M23" s="2711"/>
      <c r="N23" s="2711"/>
      <c r="O23" s="2711"/>
      <c r="P23" s="4078"/>
      <c r="Q23" s="1347" t="str">
        <f>B23</f>
        <v>自然及人文环境</v>
      </c>
      <c r="R23" s="703" t="s">
        <v>18</v>
      </c>
      <c r="S23" s="704">
        <f>F23</f>
        <v>100</v>
      </c>
      <c r="T23" s="703" t="s">
        <v>18</v>
      </c>
      <c r="U23" s="704">
        <f>H23</f>
        <v>100</v>
      </c>
      <c r="V23" s="703" t="s">
        <v>18</v>
      </c>
      <c r="W23" s="704">
        <f>J23</f>
        <v>100</v>
      </c>
      <c r="X23" s="1350"/>
      <c r="Y23" s="4071"/>
      <c r="Z23" s="1351" t="str">
        <f>Q23</f>
        <v>自然及人文环境</v>
      </c>
      <c r="AA23" s="1348">
        <f>D23/F23</f>
        <v>1</v>
      </c>
      <c r="AB23" s="1348">
        <f>D23/H23</f>
        <v>1</v>
      </c>
      <c r="AC23" s="1348">
        <f>D23/J23</f>
        <v>1</v>
      </c>
    </row>
    <row r="24" spans="1:29" ht="15">
      <c r="A24" s="377"/>
      <c r="B24" s="405"/>
      <c r="C24" s="396"/>
      <c r="D24" s="397"/>
      <c r="E24" s="1892"/>
      <c r="F24" s="397"/>
      <c r="G24" s="1893"/>
      <c r="H24" s="397"/>
      <c r="I24" s="1893"/>
      <c r="J24" s="397"/>
      <c r="K24" s="1894"/>
      <c r="L24" s="2717"/>
      <c r="M24" s="2711"/>
      <c r="N24" s="2711"/>
      <c r="O24" s="2711"/>
      <c r="P24" s="4078"/>
      <c r="Q24" s="1347"/>
      <c r="R24" s="703"/>
      <c r="S24" s="704"/>
      <c r="T24" s="703"/>
      <c r="U24" s="704"/>
      <c r="V24" s="703"/>
      <c r="W24" s="704"/>
      <c r="X24" s="1350"/>
      <c r="Y24" s="4071"/>
      <c r="Z24" s="1351"/>
      <c r="AA24" s="1348">
        <v>1</v>
      </c>
      <c r="AB24" s="1348">
        <v>1</v>
      </c>
      <c r="AC24" s="1348">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4078"/>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4071"/>
      <c r="Z25" s="1351" t="str">
        <f>Q25</f>
        <v>楼层-1</v>
      </c>
      <c r="AA25" s="1348">
        <f t="shared" ref="AA25:AA46" si="15">D25/F25</f>
        <v>1</v>
      </c>
      <c r="AB25" s="1348">
        <f t="shared" ref="AB25:AB46" si="16">D25/H25</f>
        <v>1</v>
      </c>
      <c r="AC25" s="1348">
        <f t="shared" ref="AC25:AC46" si="17">D25/J25</f>
        <v>1</v>
      </c>
    </row>
    <row r="26" spans="1:29" ht="15">
      <c r="A26" s="377"/>
      <c r="B26" s="373" t="s">
        <v>1693</v>
      </c>
      <c r="C26" s="409"/>
      <c r="D26" s="384">
        <v>100</v>
      </c>
      <c r="E26" s="1901"/>
      <c r="F26" s="384">
        <f>SUMIF(88:88,E26,89:89)-SUMIF(88:88,C26,89:89)+100</f>
        <v>100</v>
      </c>
      <c r="G26" s="1902"/>
      <c r="H26" s="384">
        <f>SUMIF(88:88,G26,89:89)-SUMIF(88:88,C26,89:89)+100</f>
        <v>100</v>
      </c>
      <c r="I26" s="1902"/>
      <c r="J26" s="384">
        <f>SUMIF(88:88,I26,89:89)-SUMIF(88:88,C26,89:89)+100</f>
        <v>100</v>
      </c>
      <c r="K26" s="375"/>
      <c r="L26" s="2717"/>
      <c r="M26" s="2711"/>
      <c r="N26" s="2711"/>
      <c r="O26" s="2711"/>
      <c r="P26" s="4078"/>
      <c r="Q26" s="1347" t="str">
        <f t="shared" si="11"/>
        <v>朝向</v>
      </c>
      <c r="R26" s="703" t="s">
        <v>18</v>
      </c>
      <c r="S26" s="704">
        <f t="shared" si="12"/>
        <v>100</v>
      </c>
      <c r="T26" s="703" t="s">
        <v>18</v>
      </c>
      <c r="U26" s="704">
        <f t="shared" si="13"/>
        <v>100</v>
      </c>
      <c r="V26" s="703" t="s">
        <v>18</v>
      </c>
      <c r="W26" s="704">
        <f t="shared" si="14"/>
        <v>100</v>
      </c>
      <c r="X26" s="1350"/>
      <c r="Y26" s="4071"/>
      <c r="Z26" s="1351" t="str">
        <f>Q26</f>
        <v>朝向</v>
      </c>
      <c r="AA26" s="1348">
        <f t="shared" si="15"/>
        <v>1</v>
      </c>
      <c r="AB26" s="1348">
        <f t="shared" si="16"/>
        <v>1</v>
      </c>
      <c r="AC26" s="1348">
        <f t="shared" si="17"/>
        <v>1</v>
      </c>
    </row>
    <row r="27" spans="1:29" s="106" customFormat="1" ht="15">
      <c r="A27" s="380"/>
      <c r="B27" s="1128">
        <v>111</v>
      </c>
      <c r="C27" s="381"/>
      <c r="D27" s="411">
        <v>100</v>
      </c>
      <c r="E27" s="414"/>
      <c r="F27" s="411">
        <f>SUMIF(90:90,E27,91:91)-SUMIF(90:90,C27,91:91)+100</f>
        <v>100</v>
      </c>
      <c r="G27" s="412"/>
      <c r="H27" s="411">
        <f>SUMIF(90:90,G27,91:91)-SUMIF(90:90,C27,91:91)+100</f>
        <v>100</v>
      </c>
      <c r="I27" s="412"/>
      <c r="J27" s="411">
        <f>SUMIF(90:90,I27,91:91)-SUMIF(90:90,C27,91:91)+100</f>
        <v>100</v>
      </c>
      <c r="K27" s="1889"/>
      <c r="L27" s="2712"/>
      <c r="M27" s="2713"/>
      <c r="N27" s="2713"/>
      <c r="O27" s="2713"/>
      <c r="P27" s="4078"/>
      <c r="Q27" s="1338">
        <f t="shared" si="11"/>
        <v>111</v>
      </c>
      <c r="R27" s="699" t="s">
        <v>18</v>
      </c>
      <c r="S27" s="700">
        <f t="shared" si="12"/>
        <v>100</v>
      </c>
      <c r="T27" s="699" t="s">
        <v>18</v>
      </c>
      <c r="U27" s="700">
        <f t="shared" si="13"/>
        <v>100</v>
      </c>
      <c r="V27" s="699" t="s">
        <v>18</v>
      </c>
      <c r="W27" s="700">
        <f t="shared" si="14"/>
        <v>100</v>
      </c>
      <c r="X27" s="701"/>
      <c r="Y27" s="4071"/>
      <c r="Z27" s="50">
        <f>Q27</f>
        <v>111</v>
      </c>
      <c r="AA27" s="1348">
        <f t="shared" si="15"/>
        <v>1</v>
      </c>
      <c r="AB27" s="1348">
        <f t="shared" si="16"/>
        <v>1</v>
      </c>
      <c r="AC27" s="1348">
        <f t="shared" si="17"/>
        <v>1</v>
      </c>
    </row>
    <row r="28" spans="1:29" ht="15">
      <c r="A28" s="377"/>
      <c r="B28" s="1128">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4078"/>
      <c r="Q28" s="1347">
        <f t="shared" si="11"/>
        <v>111</v>
      </c>
      <c r="R28" s="703" t="s">
        <v>18</v>
      </c>
      <c r="S28" s="704">
        <f t="shared" si="12"/>
        <v>100</v>
      </c>
      <c r="T28" s="703" t="s">
        <v>18</v>
      </c>
      <c r="U28" s="704">
        <f t="shared" si="13"/>
        <v>100</v>
      </c>
      <c r="V28" s="703" t="s">
        <v>18</v>
      </c>
      <c r="W28" s="704">
        <f t="shared" si="14"/>
        <v>100</v>
      </c>
      <c r="X28" s="1350"/>
      <c r="Y28" s="4071"/>
      <c r="Z28" s="1351">
        <f t="shared" ref="Z28:Z46" si="18">Q28</f>
        <v>111</v>
      </c>
      <c r="AA28" s="1348">
        <f t="shared" si="15"/>
        <v>1</v>
      </c>
      <c r="AB28" s="1348">
        <f t="shared" si="16"/>
        <v>1</v>
      </c>
      <c r="AC28" s="1348">
        <f t="shared" si="17"/>
        <v>1</v>
      </c>
    </row>
    <row r="29" spans="1:29" ht="15">
      <c r="A29" s="377"/>
      <c r="B29" s="1128">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4078"/>
      <c r="Q29" s="1347">
        <f t="shared" si="11"/>
        <v>111</v>
      </c>
      <c r="R29" s="703" t="s">
        <v>18</v>
      </c>
      <c r="S29" s="704">
        <f t="shared" si="12"/>
        <v>100</v>
      </c>
      <c r="T29" s="703" t="s">
        <v>18</v>
      </c>
      <c r="U29" s="704">
        <f t="shared" si="13"/>
        <v>100</v>
      </c>
      <c r="V29" s="703" t="s">
        <v>18</v>
      </c>
      <c r="W29" s="704">
        <f t="shared" si="14"/>
        <v>100</v>
      </c>
      <c r="X29" s="1350"/>
      <c r="Y29" s="4071"/>
      <c r="Z29" s="1351">
        <f t="shared" si="18"/>
        <v>111</v>
      </c>
      <c r="AA29" s="1348">
        <f t="shared" si="15"/>
        <v>1</v>
      </c>
      <c r="AB29" s="1348">
        <f t="shared" si="16"/>
        <v>1</v>
      </c>
      <c r="AC29" s="1348">
        <f t="shared" si="17"/>
        <v>1</v>
      </c>
    </row>
    <row r="30" spans="1:29" ht="15">
      <c r="A30" s="377"/>
      <c r="B30" s="1128">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4078"/>
      <c r="Q30" s="1347">
        <f t="shared" si="11"/>
        <v>111</v>
      </c>
      <c r="R30" s="703" t="s">
        <v>18</v>
      </c>
      <c r="S30" s="704">
        <f t="shared" si="12"/>
        <v>100</v>
      </c>
      <c r="T30" s="703" t="s">
        <v>18</v>
      </c>
      <c r="U30" s="704">
        <f t="shared" si="13"/>
        <v>100</v>
      </c>
      <c r="V30" s="703" t="s">
        <v>18</v>
      </c>
      <c r="W30" s="704">
        <f t="shared" si="14"/>
        <v>100</v>
      </c>
      <c r="X30" s="1350"/>
      <c r="Y30" s="4071"/>
      <c r="Z30" s="1351">
        <f t="shared" si="18"/>
        <v>111</v>
      </c>
      <c r="AA30" s="1348">
        <f t="shared" si="15"/>
        <v>1</v>
      </c>
      <c r="AB30" s="1348">
        <f t="shared" si="16"/>
        <v>1</v>
      </c>
      <c r="AC30" s="1348">
        <f t="shared" si="17"/>
        <v>1</v>
      </c>
    </row>
    <row r="31" spans="1:29" ht="15.75" thickBot="1">
      <c r="A31" s="385"/>
      <c r="B31" s="1128">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4078"/>
      <c r="Q31" s="1347">
        <f t="shared" si="11"/>
        <v>111</v>
      </c>
      <c r="R31" s="703" t="s">
        <v>18</v>
      </c>
      <c r="S31" s="704">
        <f t="shared" si="12"/>
        <v>100</v>
      </c>
      <c r="T31" s="703" t="s">
        <v>18</v>
      </c>
      <c r="U31" s="704">
        <f t="shared" si="13"/>
        <v>100</v>
      </c>
      <c r="V31" s="703" t="s">
        <v>18</v>
      </c>
      <c r="W31" s="704">
        <f t="shared" si="14"/>
        <v>100</v>
      </c>
      <c r="X31" s="1350"/>
      <c r="Y31" s="4071"/>
      <c r="Z31" s="1351">
        <f t="shared" si="18"/>
        <v>111</v>
      </c>
      <c r="AA31" s="1348">
        <f t="shared" si="15"/>
        <v>1</v>
      </c>
      <c r="AB31" s="1348">
        <f t="shared" si="16"/>
        <v>1</v>
      </c>
      <c r="AC31" s="1348">
        <f t="shared" si="17"/>
        <v>1</v>
      </c>
    </row>
    <row r="32" spans="1:29" ht="15">
      <c r="A32" s="389" t="s">
        <v>1694</v>
      </c>
      <c r="B32" s="61" t="s">
        <v>1695</v>
      </c>
      <c r="C32" s="1905"/>
      <c r="D32" s="416">
        <v>100</v>
      </c>
      <c r="E32" s="1906"/>
      <c r="F32" s="410">
        <f>SUMIF(100:100,E32,101:101)-SUMIF(100:100,C32,101:101)+100</f>
        <v>100</v>
      </c>
      <c r="G32" s="1905"/>
      <c r="H32" s="416">
        <f>SUMIF(100:100,G32,101:101)-SUMIF(100:100,C32,101:101)+100</f>
        <v>100</v>
      </c>
      <c r="I32" s="1906"/>
      <c r="J32" s="384">
        <f>SUMIF(100:100,I32,101:101)-SUMIF(100:100,C32,101:101)+100</f>
        <v>100</v>
      </c>
      <c r="K32" s="375"/>
      <c r="L32" s="2717"/>
      <c r="M32" s="2711"/>
      <c r="N32" s="2711"/>
      <c r="O32" s="2711"/>
      <c r="P32" s="4072" t="s">
        <v>1696</v>
      </c>
      <c r="Q32" s="1347" t="str">
        <f t="shared" si="11"/>
        <v>建筑类型</v>
      </c>
      <c r="R32" s="703" t="s">
        <v>18</v>
      </c>
      <c r="S32" s="704">
        <f t="shared" si="12"/>
        <v>100</v>
      </c>
      <c r="T32" s="703" t="s">
        <v>18</v>
      </c>
      <c r="U32" s="704">
        <f t="shared" si="13"/>
        <v>100</v>
      </c>
      <c r="V32" s="703" t="s">
        <v>18</v>
      </c>
      <c r="W32" s="704">
        <f t="shared" si="14"/>
        <v>100</v>
      </c>
      <c r="X32" s="1350"/>
      <c r="Y32" s="4075" t="s">
        <v>1696</v>
      </c>
      <c r="Z32" s="1351" t="str">
        <f t="shared" si="18"/>
        <v>建筑类型</v>
      </c>
      <c r="AA32" s="1348">
        <f t="shared" si="15"/>
        <v>1</v>
      </c>
      <c r="AB32" s="1348">
        <f t="shared" si="16"/>
        <v>1</v>
      </c>
      <c r="AC32" s="1348">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9"/>
      <c r="L33" s="2716"/>
      <c r="M33" s="2718"/>
      <c r="N33" s="2718"/>
      <c r="O33" s="2718"/>
      <c r="P33" s="4073"/>
      <c r="Q33" s="705" t="str">
        <f t="shared" si="11"/>
        <v>项目建筑规模</v>
      </c>
      <c r="R33" s="706" t="s">
        <v>18</v>
      </c>
      <c r="S33" s="707" t="e">
        <f t="shared" si="12"/>
        <v>#N/A</v>
      </c>
      <c r="T33" s="706" t="s">
        <v>18</v>
      </c>
      <c r="U33" s="707" t="e">
        <f t="shared" si="13"/>
        <v>#N/A</v>
      </c>
      <c r="V33" s="706" t="s">
        <v>18</v>
      </c>
      <c r="W33" s="707" t="e">
        <f t="shared" si="14"/>
        <v>#N/A</v>
      </c>
      <c r="X33" s="708"/>
      <c r="Y33" s="4075"/>
      <c r="Z33" s="709" t="str">
        <f t="shared" si="18"/>
        <v>项目建筑规模</v>
      </c>
      <c r="AA33" s="1348" t="e">
        <f t="shared" si="15"/>
        <v>#N/A</v>
      </c>
      <c r="AB33" s="1348" t="e">
        <f t="shared" si="16"/>
        <v>#N/A</v>
      </c>
      <c r="AC33" s="1348" t="e">
        <f t="shared" si="17"/>
        <v>#N/A</v>
      </c>
    </row>
    <row r="34" spans="1:29" ht="15">
      <c r="A34" s="421"/>
      <c r="B34" s="373" t="s">
        <v>1698</v>
      </c>
      <c r="C34" s="1907"/>
      <c r="D34" s="384">
        <v>100</v>
      </c>
      <c r="E34" s="1908"/>
      <c r="F34" s="410">
        <f>SUMIF(105:105,E34,106:106)-SUMIF(105:105,C34,106:106)+100</f>
        <v>100</v>
      </c>
      <c r="G34" s="1907"/>
      <c r="H34" s="384">
        <f>SUMIF(105:105,G34,106:106)-SUMIF(105:105,C34,106:106)+100</f>
        <v>100</v>
      </c>
      <c r="I34" s="1908"/>
      <c r="J34" s="384">
        <f>SUMIF(105:105,I34,106:106)-SUMIF(105:105,C34,106:106)+100</f>
        <v>100</v>
      </c>
      <c r="K34" s="375"/>
      <c r="L34" s="2717"/>
      <c r="M34" s="2711"/>
      <c r="N34" s="2711"/>
      <c r="O34" s="2711"/>
      <c r="P34" s="4073"/>
      <c r="Q34" s="1347" t="str">
        <f t="shared" si="11"/>
        <v>建筑结构</v>
      </c>
      <c r="R34" s="703" t="s">
        <v>18</v>
      </c>
      <c r="S34" s="704">
        <f t="shared" si="12"/>
        <v>100</v>
      </c>
      <c r="T34" s="703" t="s">
        <v>18</v>
      </c>
      <c r="U34" s="704">
        <f t="shared" si="13"/>
        <v>100</v>
      </c>
      <c r="V34" s="703" t="s">
        <v>18</v>
      </c>
      <c r="W34" s="704">
        <f t="shared" si="14"/>
        <v>100</v>
      </c>
      <c r="X34" s="1350"/>
      <c r="Y34" s="4075"/>
      <c r="Z34" s="1351" t="str">
        <f t="shared" si="18"/>
        <v>建筑结构</v>
      </c>
      <c r="AA34" s="1348">
        <f t="shared" si="15"/>
        <v>1</v>
      </c>
      <c r="AB34" s="1348">
        <f t="shared" si="16"/>
        <v>1</v>
      </c>
      <c r="AC34" s="1348">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4073"/>
      <c r="Q35" s="1347" t="str">
        <f t="shared" si="11"/>
        <v>建筑品质</v>
      </c>
      <c r="R35" s="703" t="s">
        <v>18</v>
      </c>
      <c r="S35" s="704">
        <f t="shared" si="12"/>
        <v>100</v>
      </c>
      <c r="T35" s="703" t="s">
        <v>18</v>
      </c>
      <c r="U35" s="704">
        <f t="shared" si="13"/>
        <v>100</v>
      </c>
      <c r="V35" s="703" t="s">
        <v>18</v>
      </c>
      <c r="W35" s="704">
        <f t="shared" si="14"/>
        <v>100</v>
      </c>
      <c r="X35" s="1350"/>
      <c r="Y35" s="4075"/>
      <c r="Z35" s="1351" t="str">
        <f t="shared" si="18"/>
        <v>建筑品质</v>
      </c>
      <c r="AA35" s="1348">
        <f t="shared" si="15"/>
        <v>1</v>
      </c>
      <c r="AB35" s="1348">
        <f t="shared" si="16"/>
        <v>1</v>
      </c>
      <c r="AC35" s="1348">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c r="L36" s="2717"/>
      <c r="M36" s="2711"/>
      <c r="N36" s="2711"/>
      <c r="O36" s="2711"/>
      <c r="P36" s="4073"/>
      <c r="Q36" s="1347" t="str">
        <f t="shared" si="11"/>
        <v>公共部分装修</v>
      </c>
      <c r="R36" s="703" t="s">
        <v>18</v>
      </c>
      <c r="S36" s="704">
        <f t="shared" si="12"/>
        <v>100</v>
      </c>
      <c r="T36" s="703" t="s">
        <v>18</v>
      </c>
      <c r="U36" s="704">
        <f t="shared" si="13"/>
        <v>100</v>
      </c>
      <c r="V36" s="703" t="s">
        <v>18</v>
      </c>
      <c r="W36" s="704">
        <f t="shared" si="14"/>
        <v>100</v>
      </c>
      <c r="X36" s="1350"/>
      <c r="Y36" s="4075"/>
      <c r="Z36" s="1351" t="str">
        <f t="shared" si="18"/>
        <v>公共部分装修</v>
      </c>
      <c r="AA36" s="1348">
        <f t="shared" si="15"/>
        <v>1</v>
      </c>
      <c r="AB36" s="1348">
        <f t="shared" si="16"/>
        <v>1</v>
      </c>
      <c r="AC36" s="1348">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2"/>
      <c r="M37" s="2713"/>
      <c r="N37" s="2713"/>
      <c r="O37" s="2713"/>
      <c r="P37" s="4073"/>
      <c r="Q37" s="1338" t="str">
        <f t="shared" si="11"/>
        <v>成新度</v>
      </c>
      <c r="R37" s="699" t="s">
        <v>18</v>
      </c>
      <c r="S37" s="700" t="e">
        <f t="shared" si="12"/>
        <v>#N/A</v>
      </c>
      <c r="T37" s="699" t="s">
        <v>18</v>
      </c>
      <c r="U37" s="700" t="e">
        <f t="shared" si="13"/>
        <v>#N/A</v>
      </c>
      <c r="V37" s="699" t="s">
        <v>18</v>
      </c>
      <c r="W37" s="700" t="e">
        <f t="shared" si="14"/>
        <v>#N/A</v>
      </c>
      <c r="X37" s="701"/>
      <c r="Y37" s="4075"/>
      <c r="Z37" s="50" t="str">
        <f t="shared" si="18"/>
        <v>成新度</v>
      </c>
      <c r="AA37" s="702" t="e">
        <f t="shared" si="15"/>
        <v>#N/A</v>
      </c>
      <c r="AB37" s="702" t="e">
        <f t="shared" si="16"/>
        <v>#N/A</v>
      </c>
      <c r="AC37" s="702" t="e">
        <f t="shared" si="17"/>
        <v>#N/A</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c r="L38" s="2717"/>
      <c r="M38" s="2711"/>
      <c r="N38" s="2711"/>
      <c r="O38" s="2711"/>
      <c r="P38" s="4073" t="s">
        <v>1696</v>
      </c>
      <c r="Q38" s="1347" t="str">
        <f t="shared" si="11"/>
        <v>物业管理</v>
      </c>
      <c r="R38" s="703" t="s">
        <v>18</v>
      </c>
      <c r="S38" s="704">
        <f t="shared" si="12"/>
        <v>100</v>
      </c>
      <c r="T38" s="703" t="s">
        <v>18</v>
      </c>
      <c r="U38" s="704">
        <f t="shared" si="13"/>
        <v>100</v>
      </c>
      <c r="V38" s="703" t="s">
        <v>18</v>
      </c>
      <c r="W38" s="704">
        <f t="shared" si="14"/>
        <v>100</v>
      </c>
      <c r="X38" s="1350"/>
      <c r="Y38" s="4075" t="s">
        <v>1696</v>
      </c>
      <c r="Z38" s="1351" t="str">
        <f t="shared" si="18"/>
        <v>物业管理</v>
      </c>
      <c r="AA38" s="1348">
        <f t="shared" si="15"/>
        <v>1</v>
      </c>
      <c r="AB38" s="1348">
        <f t="shared" si="16"/>
        <v>1</v>
      </c>
      <c r="AC38" s="1348">
        <f t="shared" si="17"/>
        <v>1</v>
      </c>
    </row>
    <row r="39" spans="1:29" ht="15">
      <c r="A39" s="421"/>
      <c r="B39" s="373" t="s">
        <v>1703</v>
      </c>
      <c r="C39" s="1901"/>
      <c r="D39" s="384">
        <v>100</v>
      </c>
      <c r="E39" s="1902"/>
      <c r="F39" s="410">
        <f>SUMIF(116:116,E39,117:117)-SUMIF(116:116,C39,117:117)+100</f>
        <v>100</v>
      </c>
      <c r="G39" s="1901"/>
      <c r="H39" s="384">
        <f>SUMIF(116:116,G39,117:117)-SUMIF(116:116,C39,117:117)+100</f>
        <v>100</v>
      </c>
      <c r="I39" s="1902"/>
      <c r="J39" s="384">
        <f>SUMIF(116:116,I39,117:117)-SUMIF(116:116,C39,117:117)+100</f>
        <v>100</v>
      </c>
      <c r="K39" s="375"/>
      <c r="L39" s="2717"/>
      <c r="M39" s="2711"/>
      <c r="N39" s="2711"/>
      <c r="O39" s="2711"/>
      <c r="P39" s="4073"/>
      <c r="Q39" s="1347" t="str">
        <f t="shared" si="11"/>
        <v>市政基础设施</v>
      </c>
      <c r="R39" s="703" t="s">
        <v>18</v>
      </c>
      <c r="S39" s="704">
        <f t="shared" si="12"/>
        <v>100</v>
      </c>
      <c r="T39" s="703" t="s">
        <v>18</v>
      </c>
      <c r="U39" s="704">
        <f t="shared" si="13"/>
        <v>100</v>
      </c>
      <c r="V39" s="703" t="s">
        <v>18</v>
      </c>
      <c r="W39" s="704">
        <f t="shared" si="14"/>
        <v>100</v>
      </c>
      <c r="X39" s="1350"/>
      <c r="Y39" s="4075"/>
      <c r="Z39" s="1351" t="str">
        <f t="shared" si="18"/>
        <v>市政基础设施</v>
      </c>
      <c r="AA39" s="1348">
        <f t="shared" si="15"/>
        <v>1</v>
      </c>
      <c r="AB39" s="1348">
        <f t="shared" si="16"/>
        <v>1</v>
      </c>
      <c r="AC39" s="1348">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4073"/>
      <c r="Q40" s="1347" t="str">
        <f t="shared" si="11"/>
        <v>房型</v>
      </c>
      <c r="R40" s="703" t="s">
        <v>18</v>
      </c>
      <c r="S40" s="704">
        <f t="shared" si="12"/>
        <v>100</v>
      </c>
      <c r="T40" s="703" t="s">
        <v>18</v>
      </c>
      <c r="U40" s="704">
        <f t="shared" si="13"/>
        <v>100</v>
      </c>
      <c r="V40" s="703" t="s">
        <v>18</v>
      </c>
      <c r="W40" s="704">
        <f t="shared" si="14"/>
        <v>100</v>
      </c>
      <c r="X40" s="1350"/>
      <c r="Y40" s="4075"/>
      <c r="Z40" s="1351" t="str">
        <f t="shared" si="18"/>
        <v>房型</v>
      </c>
      <c r="AA40" s="1348">
        <f t="shared" si="15"/>
        <v>1</v>
      </c>
      <c r="AB40" s="1348">
        <f t="shared" si="16"/>
        <v>1</v>
      </c>
      <c r="AC40" s="1348">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4073"/>
      <c r="Q41" s="705" t="str">
        <f t="shared" si="11"/>
        <v>单套/主力户型建筑面积</v>
      </c>
      <c r="R41" s="706" t="s">
        <v>18</v>
      </c>
      <c r="S41" s="707">
        <f t="shared" si="12"/>
        <v>100</v>
      </c>
      <c r="T41" s="706" t="s">
        <v>18</v>
      </c>
      <c r="U41" s="707">
        <f t="shared" si="13"/>
        <v>100</v>
      </c>
      <c r="V41" s="706" t="s">
        <v>18</v>
      </c>
      <c r="W41" s="707">
        <f t="shared" si="14"/>
        <v>100</v>
      </c>
      <c r="X41" s="708"/>
      <c r="Y41" s="4075"/>
      <c r="Z41" s="709" t="str">
        <f t="shared" si="18"/>
        <v>单套/主力户型建筑面积</v>
      </c>
      <c r="AA41" s="1348">
        <f t="shared" si="15"/>
        <v>1</v>
      </c>
      <c r="AB41" s="1348">
        <f t="shared" si="16"/>
        <v>1</v>
      </c>
      <c r="AC41" s="1348">
        <f t="shared" si="17"/>
        <v>1</v>
      </c>
    </row>
    <row r="42" spans="1:29" ht="15">
      <c r="A42" s="421"/>
      <c r="B42" s="373" t="s">
        <v>1706</v>
      </c>
      <c r="C42" s="1901"/>
      <c r="D42" s="384">
        <v>100</v>
      </c>
      <c r="E42" s="1902"/>
      <c r="F42" s="410">
        <f>SUMIF(122:122,E42,123:123)-SUMIF(122:122,C42,123:123)+100</f>
        <v>100</v>
      </c>
      <c r="G42" s="1901"/>
      <c r="H42" s="384">
        <f>SUMIF(122:122,G42,123:123)-SUMIF(122:122,C42,123:123)+100</f>
        <v>100</v>
      </c>
      <c r="I42" s="1902"/>
      <c r="J42" s="384">
        <f>SUMIF(122:122,I42,123:123)-SUMIF(122:122,C42,123:123)+100</f>
        <v>100</v>
      </c>
      <c r="K42" s="375"/>
      <c r="L42" s="2717"/>
      <c r="M42" s="2711"/>
      <c r="N42" s="2711"/>
      <c r="O42" s="2711"/>
      <c r="P42" s="4073"/>
      <c r="Q42" s="1347" t="str">
        <f t="shared" si="11"/>
        <v>内部装修</v>
      </c>
      <c r="R42" s="703" t="s">
        <v>18</v>
      </c>
      <c r="S42" s="704">
        <f t="shared" si="12"/>
        <v>100</v>
      </c>
      <c r="T42" s="703" t="s">
        <v>18</v>
      </c>
      <c r="U42" s="704">
        <f t="shared" si="13"/>
        <v>100</v>
      </c>
      <c r="V42" s="703" t="s">
        <v>18</v>
      </c>
      <c r="W42" s="704">
        <f t="shared" si="14"/>
        <v>100</v>
      </c>
      <c r="X42" s="1350"/>
      <c r="Y42" s="4075"/>
      <c r="Z42" s="1351" t="str">
        <f t="shared" si="18"/>
        <v>内部装修</v>
      </c>
      <c r="AA42" s="1348">
        <f t="shared" si="15"/>
        <v>1</v>
      </c>
      <c r="AB42" s="1348">
        <f t="shared" si="16"/>
        <v>1</v>
      </c>
      <c r="AC42" s="1348">
        <f t="shared" si="17"/>
        <v>1</v>
      </c>
    </row>
    <row r="43" spans="1:29" ht="15">
      <c r="A43" s="421"/>
      <c r="B43" s="373" t="s">
        <v>1707</v>
      </c>
      <c r="C43" s="1901"/>
      <c r="D43" s="384">
        <v>100</v>
      </c>
      <c r="E43" s="1902"/>
      <c r="F43" s="410">
        <f>SUMIF(124:124,E43,125:125)-SUMIF(124:124,C43,125:125)+100</f>
        <v>100</v>
      </c>
      <c r="G43" s="1901"/>
      <c r="H43" s="384">
        <f>SUMIF(124:124,G43,125:125)-SUMIF(124:124,C43,125:125)+100</f>
        <v>100</v>
      </c>
      <c r="I43" s="1902"/>
      <c r="J43" s="384">
        <f>SUMIF(124:124,I43,125:125)-SUMIF(124:124,C43,125:125)+100</f>
        <v>100</v>
      </c>
      <c r="K43" s="375"/>
      <c r="L43" s="2717"/>
      <c r="M43" s="2711"/>
      <c r="N43" s="2711"/>
      <c r="O43" s="2711"/>
      <c r="P43" s="4073"/>
      <c r="Q43" s="1347" t="str">
        <f t="shared" si="11"/>
        <v>内部装修维护情况</v>
      </c>
      <c r="R43" s="703" t="s">
        <v>18</v>
      </c>
      <c r="S43" s="704">
        <f t="shared" si="12"/>
        <v>100</v>
      </c>
      <c r="T43" s="703" t="s">
        <v>18</v>
      </c>
      <c r="U43" s="704">
        <f t="shared" si="13"/>
        <v>100</v>
      </c>
      <c r="V43" s="703" t="s">
        <v>18</v>
      </c>
      <c r="W43" s="704">
        <f t="shared" si="14"/>
        <v>100</v>
      </c>
      <c r="X43" s="1350"/>
      <c r="Y43" s="4075"/>
      <c r="Z43" s="1351" t="str">
        <f t="shared" si="18"/>
        <v>内部装修维护情况</v>
      </c>
      <c r="AA43" s="1348">
        <f t="shared" si="15"/>
        <v>1</v>
      </c>
      <c r="AB43" s="1348">
        <f t="shared" si="16"/>
        <v>1</v>
      </c>
      <c r="AC43" s="1348">
        <f t="shared" si="17"/>
        <v>1</v>
      </c>
    </row>
    <row r="44" spans="1:29" s="106"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4073"/>
      <c r="Q44" s="1338">
        <f t="shared" si="11"/>
        <v>111</v>
      </c>
      <c r="R44" s="699" t="s">
        <v>18</v>
      </c>
      <c r="S44" s="700">
        <f t="shared" si="12"/>
        <v>100</v>
      </c>
      <c r="T44" s="699" t="s">
        <v>18</v>
      </c>
      <c r="U44" s="700">
        <f t="shared" si="13"/>
        <v>100</v>
      </c>
      <c r="V44" s="699" t="s">
        <v>18</v>
      </c>
      <c r="W44" s="700">
        <f t="shared" si="14"/>
        <v>100</v>
      </c>
      <c r="X44" s="701"/>
      <c r="Y44" s="4075"/>
      <c r="Z44" s="50">
        <f t="shared" si="18"/>
        <v>111</v>
      </c>
      <c r="AA44" s="702">
        <f t="shared" si="15"/>
        <v>1</v>
      </c>
      <c r="AB44" s="702">
        <f t="shared" si="16"/>
        <v>1</v>
      </c>
      <c r="AC44" s="702">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4073"/>
      <c r="Q45" s="1347">
        <f t="shared" si="11"/>
        <v>111</v>
      </c>
      <c r="R45" s="703" t="s">
        <v>18</v>
      </c>
      <c r="S45" s="704">
        <f t="shared" si="12"/>
        <v>100</v>
      </c>
      <c r="T45" s="703" t="s">
        <v>18</v>
      </c>
      <c r="U45" s="704">
        <f t="shared" si="13"/>
        <v>100</v>
      </c>
      <c r="V45" s="703" t="s">
        <v>18</v>
      </c>
      <c r="W45" s="704">
        <f t="shared" si="14"/>
        <v>100</v>
      </c>
      <c r="X45" s="1350"/>
      <c r="Y45" s="4075"/>
      <c r="Z45" s="1351">
        <f t="shared" si="18"/>
        <v>111</v>
      </c>
      <c r="AA45" s="1348">
        <f t="shared" si="15"/>
        <v>1</v>
      </c>
      <c r="AB45" s="1348">
        <f t="shared" si="16"/>
        <v>1</v>
      </c>
      <c r="AC45" s="1348">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4074"/>
      <c r="Q46" s="1347">
        <f t="shared" si="11"/>
        <v>111</v>
      </c>
      <c r="R46" s="703" t="s">
        <v>17</v>
      </c>
      <c r="S46" s="704">
        <f t="shared" si="12"/>
        <v>100</v>
      </c>
      <c r="T46" s="703" t="s">
        <v>17</v>
      </c>
      <c r="U46" s="704">
        <f t="shared" si="13"/>
        <v>100</v>
      </c>
      <c r="V46" s="703" t="s">
        <v>17</v>
      </c>
      <c r="W46" s="704">
        <f t="shared" si="14"/>
        <v>100</v>
      </c>
      <c r="X46" s="1350"/>
      <c r="Y46" s="4076"/>
      <c r="Z46" s="1351">
        <f t="shared" si="18"/>
        <v>111</v>
      </c>
      <c r="AA46" s="1348">
        <f t="shared" si="15"/>
        <v>1</v>
      </c>
      <c r="AB46" s="1348">
        <f t="shared" si="16"/>
        <v>1</v>
      </c>
      <c r="AC46" s="1348">
        <f t="shared" si="17"/>
        <v>1</v>
      </c>
    </row>
    <row r="47" spans="1:29" ht="15">
      <c r="A47" s="428" t="s">
        <v>1708</v>
      </c>
      <c r="B47" s="429"/>
      <c r="C47" s="1149" t="s">
        <v>16</v>
      </c>
      <c r="D47" s="1150"/>
      <c r="E47" s="1151"/>
      <c r="F47" s="1152"/>
      <c r="G47" s="1153"/>
      <c r="H47" s="1154"/>
      <c r="I47" s="1151"/>
      <c r="J47" s="1154"/>
      <c r="K47" s="1909"/>
      <c r="L47" s="2719"/>
      <c r="M47" s="2720"/>
      <c r="N47" s="2711"/>
      <c r="O47" s="2720"/>
      <c r="P47" s="4068" t="str">
        <f>A47</f>
        <v>成交单价（元/平方米）</v>
      </c>
      <c r="Q47" s="4068"/>
      <c r="R47" s="4069">
        <f>E47</f>
        <v>0</v>
      </c>
      <c r="S47" s="4069"/>
      <c r="T47" s="4069">
        <f>G47</f>
        <v>0</v>
      </c>
      <c r="U47" s="4069"/>
      <c r="V47" s="4069">
        <f>I47</f>
        <v>0</v>
      </c>
      <c r="W47" s="4069"/>
      <c r="X47" s="688"/>
      <c r="Y47" s="710"/>
      <c r="Z47" s="688"/>
      <c r="AA47" s="688"/>
      <c r="AB47" s="688"/>
      <c r="AC47" s="688"/>
    </row>
    <row r="48" spans="1:29" ht="15.75" thickBot="1">
      <c r="A48" s="435" t="s">
        <v>1709</v>
      </c>
      <c r="B48" s="436"/>
      <c r="C48" s="1155" t="e">
        <f>R49</f>
        <v>#DIV/0!</v>
      </c>
      <c r="D48" s="2312" t="s">
        <v>2138</v>
      </c>
      <c r="E48" s="1156" t="e">
        <f>R48</f>
        <v>#DIV/0!</v>
      </c>
      <c r="F48" s="2313"/>
      <c r="G48" s="1155" t="e">
        <f>T48</f>
        <v>#DIV/0!</v>
      </c>
      <c r="H48" s="2313"/>
      <c r="I48" s="1156" t="e">
        <f>V48</f>
        <v>#DIV/0!</v>
      </c>
      <c r="J48" s="2313"/>
      <c r="K48" s="2314">
        <f>F48+H48+J48</f>
        <v>0</v>
      </c>
      <c r="L48" s="2719"/>
      <c r="M48" s="2720"/>
      <c r="N48" s="2720"/>
      <c r="O48" s="2720"/>
      <c r="P48" s="4068" t="str">
        <f>A48</f>
        <v>比较价值（元/平方米）</v>
      </c>
      <c r="Q48" s="4068"/>
      <c r="R48" s="4069" t="e">
        <f>IF(F1="售价",ROUND(PRODUCT(R47,AA7:AA46),0),ROUND(PRODUCT(R47,AA7:AA46),1))</f>
        <v>#DIV/0!</v>
      </c>
      <c r="S48" s="4069"/>
      <c r="T48" s="4069" t="e">
        <f>IF(F1="售价",ROUND(PRODUCT(T47,AB7:AB46),0),ROUND(PRODUCT(T47,AB7:AB46),1))</f>
        <v>#DIV/0!</v>
      </c>
      <c r="U48" s="4069"/>
      <c r="V48" s="4069" t="e">
        <f>IF(F1="售价",ROUND(PRODUCT(V47,AC7:AC46),0),ROUND(PRODUCT(V47,AC7:AC46),1))</f>
        <v>#DIV/0!</v>
      </c>
      <c r="W48" s="4069"/>
      <c r="X48" s="688"/>
      <c r="Y48" s="688"/>
      <c r="Z48" s="688"/>
      <c r="AA48" s="688"/>
      <c r="AB48" s="688"/>
      <c r="AC48" s="688"/>
    </row>
    <row r="49" spans="1:29" ht="15.75" thickBot="1">
      <c r="A49" s="439" t="s">
        <v>1710</v>
      </c>
      <c r="B49" s="440"/>
      <c r="C49" s="1157" t="e">
        <f>R49</f>
        <v>#DIV/0!</v>
      </c>
      <c r="D49" s="1158"/>
      <c r="E49" s="1158"/>
      <c r="F49" s="1158"/>
      <c r="G49" s="1158"/>
      <c r="H49" s="1158"/>
      <c r="I49" s="1158"/>
      <c r="J49" s="1158"/>
      <c r="K49" s="1910"/>
      <c r="L49" s="2719"/>
      <c r="M49" s="2720"/>
      <c r="N49" s="2720"/>
      <c r="O49" s="2720"/>
      <c r="P49" s="4065" t="str">
        <f>A49</f>
        <v>估价对象XX用房的比较价值（楼面单价，元/平方米）</v>
      </c>
      <c r="Q49" s="4066"/>
      <c r="R49" s="4067" t="e">
        <f>IF(F1="售价",ROUND(IF(D48="简单平均",AVERAGE(R48:V48),R48*F48+T48*H48+V48*J48),0),ROUND(IF(D48="简单平均",AVERAGE(R48:V48),R48*F48+T48*H48+V48*J48),1))</f>
        <v>#DIV/0!</v>
      </c>
      <c r="S49" s="4067"/>
      <c r="T49" s="4067"/>
      <c r="U49" s="4067"/>
      <c r="V49" s="4067"/>
      <c r="W49" s="4067"/>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row>
    <row r="53" spans="1:29" ht="13.5" customHeight="1">
      <c r="A53" s="2720"/>
      <c r="B53" s="2720"/>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row>
    <row r="54" spans="1:29" s="449" customFormat="1" ht="13.5" customHeight="1">
      <c r="A54" s="2723"/>
      <c r="B54" s="2723"/>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2" t="s">
        <v>1714</v>
      </c>
      <c r="B57" s="688"/>
      <c r="C57" s="693"/>
      <c r="D57" s="693"/>
      <c r="E57" s="693"/>
      <c r="F57" s="694"/>
      <c r="G57" s="694"/>
      <c r="H57" s="693"/>
      <c r="I57" s="693"/>
      <c r="J57" s="693"/>
      <c r="K57" s="936"/>
      <c r="L57" s="937"/>
      <c r="M57" s="935"/>
      <c r="N57" s="935"/>
      <c r="O57" s="935"/>
      <c r="P57" s="1913"/>
      <c r="Q57" s="451"/>
    </row>
    <row r="58" spans="1:29" s="455" customFormat="1" ht="15">
      <c r="A58" s="452" t="s">
        <v>1715</v>
      </c>
      <c r="B58" s="453"/>
      <c r="C58" s="1181" t="str">
        <f>YEAR(C7)&amp;"-"&amp;MONTH(C7)</f>
        <v>2023-10</v>
      </c>
      <c r="D58" s="1180">
        <f>EDATE(C58,-1)</f>
        <v>45170</v>
      </c>
      <c r="E58" s="1180">
        <f>EDATE(D58,-1)</f>
        <v>45139</v>
      </c>
      <c r="F58" s="1180">
        <f t="shared" ref="F58:O58" si="19">EDATE(E58,-1)</f>
        <v>45108</v>
      </c>
      <c r="G58" s="1180">
        <f t="shared" si="19"/>
        <v>45078</v>
      </c>
      <c r="H58" s="1180">
        <f t="shared" si="19"/>
        <v>45047</v>
      </c>
      <c r="I58" s="1180">
        <f t="shared" si="19"/>
        <v>45017</v>
      </c>
      <c r="J58" s="1180">
        <f t="shared" si="19"/>
        <v>44986</v>
      </c>
      <c r="K58" s="1180">
        <f t="shared" si="19"/>
        <v>44958</v>
      </c>
      <c r="L58" s="1180">
        <f t="shared" si="19"/>
        <v>44927</v>
      </c>
      <c r="M58" s="1180">
        <f t="shared" si="19"/>
        <v>44896</v>
      </c>
      <c r="N58" s="1180">
        <f t="shared" si="19"/>
        <v>44866</v>
      </c>
      <c r="O58" s="1180">
        <f t="shared" si="19"/>
        <v>44835</v>
      </c>
      <c r="P58" s="1176"/>
    </row>
    <row r="59" spans="1:29" s="106" customFormat="1" ht="15">
      <c r="A59" s="456"/>
      <c r="B59" s="1914"/>
      <c r="C59" s="1178">
        <v>100</v>
      </c>
      <c r="D59" s="458"/>
      <c r="E59" s="459"/>
      <c r="F59" s="459"/>
      <c r="G59" s="459"/>
      <c r="H59" s="459"/>
      <c r="I59" s="459"/>
      <c r="J59" s="459"/>
      <c r="K59" s="459"/>
      <c r="L59" s="459"/>
      <c r="M59" s="460"/>
      <c r="N59" s="459"/>
      <c r="O59" s="460"/>
      <c r="P59" s="1915"/>
    </row>
    <row r="60" spans="1:29" s="106" customFormat="1" ht="15.75" thickBot="1">
      <c r="A60" s="462" t="s">
        <v>1716</v>
      </c>
      <c r="B60" s="463"/>
      <c r="C60" s="464"/>
      <c r="D60" s="465"/>
      <c r="E60" s="465"/>
      <c r="F60" s="465"/>
      <c r="G60" s="465"/>
      <c r="H60" s="465"/>
      <c r="I60" s="465"/>
      <c r="J60" s="465"/>
      <c r="K60" s="465"/>
      <c r="L60" s="465"/>
      <c r="M60" s="466"/>
      <c r="N60" s="465"/>
      <c r="O60" s="466"/>
      <c r="P60" s="1915"/>
      <c r="Q60" s="451"/>
    </row>
    <row r="61" spans="1:29" s="106" customFormat="1" ht="15">
      <c r="A61" s="468" t="s">
        <v>1717</v>
      </c>
      <c r="B61" s="457"/>
      <c r="C61" s="469" t="s">
        <v>1718</v>
      </c>
      <c r="D61" s="470"/>
      <c r="E61" s="470"/>
      <c r="F61" s="470"/>
      <c r="G61" s="470"/>
      <c r="H61" s="470"/>
      <c r="I61" s="470"/>
      <c r="J61" s="470"/>
      <c r="K61" s="470"/>
      <c r="L61" s="471"/>
      <c r="M61" s="472"/>
      <c r="N61" s="927"/>
      <c r="O61" s="927"/>
      <c r="P61" s="1916"/>
      <c r="Q61" s="451"/>
    </row>
    <row r="62" spans="1:29" s="106" customFormat="1" ht="15.75" thickBot="1">
      <c r="A62" s="468"/>
      <c r="B62" s="457"/>
      <c r="C62" s="458">
        <v>100</v>
      </c>
      <c r="D62" s="459"/>
      <c r="E62" s="459"/>
      <c r="F62" s="459"/>
      <c r="G62" s="459"/>
      <c r="H62" s="459"/>
      <c r="I62" s="459"/>
      <c r="J62" s="459"/>
      <c r="K62" s="459"/>
      <c r="L62" s="459"/>
      <c r="M62" s="461"/>
      <c r="N62" s="927"/>
      <c r="O62" s="927"/>
      <c r="P62" s="1915"/>
      <c r="Q62" s="451"/>
    </row>
    <row r="63" spans="1:29">
      <c r="A63" s="474" t="s">
        <v>1719</v>
      </c>
      <c r="B63" s="475" t="s">
        <v>1685</v>
      </c>
      <c r="C63" s="476">
        <f>C9</f>
        <v>0</v>
      </c>
      <c r="D63" s="477"/>
      <c r="E63" s="477"/>
      <c r="F63" s="477"/>
      <c r="G63" s="477"/>
      <c r="H63" s="477"/>
      <c r="I63" s="477"/>
      <c r="J63" s="477"/>
      <c r="K63" s="478"/>
      <c r="L63" s="479"/>
      <c r="M63" s="480"/>
      <c r="N63" s="928"/>
      <c r="O63" s="928"/>
      <c r="P63" s="1917"/>
      <c r="Q63" s="451"/>
    </row>
    <row r="64" spans="1:29" ht="15.75" thickBot="1">
      <c r="A64" s="481"/>
      <c r="B64" s="482"/>
      <c r="C64" s="483">
        <v>100</v>
      </c>
      <c r="D64" s="483"/>
      <c r="E64" s="483"/>
      <c r="F64" s="483"/>
      <c r="G64" s="483"/>
      <c r="H64" s="483"/>
      <c r="I64" s="483"/>
      <c r="J64" s="483"/>
      <c r="K64" s="483"/>
      <c r="L64" s="483"/>
      <c r="M64" s="484"/>
      <c r="N64" s="929"/>
      <c r="O64" s="929"/>
      <c r="P64" s="1917"/>
      <c r="Q64" s="451"/>
    </row>
    <row r="65" spans="1:17" ht="27.75" thickTop="1">
      <c r="A65" s="481"/>
      <c r="B65" s="485" t="s">
        <v>1688</v>
      </c>
      <c r="C65" s="530"/>
      <c r="D65" s="530"/>
      <c r="E65" s="530"/>
      <c r="F65" s="530"/>
      <c r="G65" s="530"/>
      <c r="H65" s="530"/>
      <c r="I65" s="530"/>
      <c r="J65" s="530"/>
      <c r="K65" s="530"/>
      <c r="L65" s="530"/>
      <c r="M65" s="530"/>
      <c r="N65" s="929"/>
      <c r="O65" s="929"/>
      <c r="P65" s="1917"/>
      <c r="Q65" s="451"/>
    </row>
    <row r="66" spans="1:17" ht="15.75" thickBot="1">
      <c r="A66" s="481"/>
      <c r="B66" s="490"/>
      <c r="C66" s="483"/>
      <c r="D66" s="483"/>
      <c r="E66" s="483"/>
      <c r="F66" s="483"/>
      <c r="G66" s="483"/>
      <c r="H66" s="483"/>
      <c r="I66" s="483"/>
      <c r="J66" s="483"/>
      <c r="K66" s="483"/>
      <c r="L66" s="483"/>
      <c r="M66" s="484"/>
      <c r="N66" s="929"/>
      <c r="O66" s="929"/>
      <c r="P66" s="1917"/>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7"/>
      <c r="Q67" s="451"/>
    </row>
    <row r="68" spans="1:17" ht="15">
      <c r="A68" s="481"/>
      <c r="B68" s="495"/>
      <c r="C68" s="496"/>
      <c r="D68" s="496"/>
      <c r="E68" s="496"/>
      <c r="F68" s="496"/>
      <c r="G68" s="496"/>
      <c r="H68" s="496"/>
      <c r="I68" s="496"/>
      <c r="J68" s="496"/>
      <c r="K68" s="497"/>
      <c r="L68" s="498"/>
      <c r="M68" s="499"/>
      <c r="N68" s="928"/>
      <c r="O68" s="928"/>
      <c r="P68" s="1917"/>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29"/>
      <c r="O69" s="929"/>
      <c r="P69" s="1917"/>
      <c r="Q69" s="451"/>
    </row>
    <row r="70" spans="1:17" s="420" customFormat="1" ht="15.75" thickTop="1">
      <c r="A70" s="500"/>
      <c r="B70" s="485">
        <f>B12</f>
        <v>111</v>
      </c>
      <c r="C70" s="501"/>
      <c r="D70" s="501"/>
      <c r="E70" s="501"/>
      <c r="F70" s="501"/>
      <c r="G70" s="501"/>
      <c r="H70" s="502"/>
      <c r="I70" s="502"/>
      <c r="J70" s="502"/>
      <c r="K70" s="502"/>
      <c r="L70" s="503"/>
      <c r="M70" s="504"/>
      <c r="N70" s="930"/>
      <c r="O70" s="930"/>
      <c r="P70" s="1918"/>
      <c r="Q70" s="506"/>
    </row>
    <row r="71" spans="1:17" s="420" customFormat="1" ht="15.75" thickBot="1">
      <c r="A71" s="500"/>
      <c r="B71" s="490"/>
      <c r="C71" s="507"/>
      <c r="D71" s="483"/>
      <c r="E71" s="483"/>
      <c r="F71" s="483"/>
      <c r="G71" s="483"/>
      <c r="H71" s="483"/>
      <c r="I71" s="483"/>
      <c r="J71" s="483"/>
      <c r="K71" s="483"/>
      <c r="L71" s="483"/>
      <c r="M71" s="484"/>
      <c r="N71" s="929"/>
      <c r="O71" s="929"/>
      <c r="P71" s="1918"/>
      <c r="Q71" s="506"/>
    </row>
    <row r="72" spans="1:17" s="420" customFormat="1" ht="15.75" thickTop="1">
      <c r="A72" s="500"/>
      <c r="B72" s="485">
        <f>B13</f>
        <v>111</v>
      </c>
      <c r="C72" s="501"/>
      <c r="D72" s="501"/>
      <c r="E72" s="501"/>
      <c r="F72" s="501"/>
      <c r="G72" s="501"/>
      <c r="H72" s="502"/>
      <c r="I72" s="502"/>
      <c r="J72" s="502"/>
      <c r="K72" s="502"/>
      <c r="L72" s="503"/>
      <c r="M72" s="504"/>
      <c r="N72" s="930"/>
      <c r="O72" s="930"/>
      <c r="P72" s="1919"/>
      <c r="Q72" s="508"/>
    </row>
    <row r="73" spans="1:17" s="420" customFormat="1" ht="15.75" thickBot="1">
      <c r="A73" s="500"/>
      <c r="B73" s="490"/>
      <c r="C73" s="507"/>
      <c r="D73" s="507"/>
      <c r="E73" s="507"/>
      <c r="F73" s="507"/>
      <c r="G73" s="507"/>
      <c r="H73" s="509"/>
      <c r="I73" s="509"/>
      <c r="J73" s="509"/>
      <c r="K73" s="509"/>
      <c r="L73" s="509"/>
      <c r="M73" s="510"/>
      <c r="N73" s="930"/>
      <c r="O73" s="930"/>
      <c r="P73" s="1918"/>
      <c r="Q73" s="506"/>
    </row>
    <row r="74" spans="1:17" s="420" customFormat="1" ht="15.75" thickTop="1">
      <c r="A74" s="500"/>
      <c r="B74" s="493">
        <f>B14</f>
        <v>111</v>
      </c>
      <c r="C74" s="501"/>
      <c r="D74" s="501"/>
      <c r="E74" s="501"/>
      <c r="F74" s="501"/>
      <c r="G74" s="470"/>
      <c r="H74" s="511"/>
      <c r="I74" s="511"/>
      <c r="J74" s="511"/>
      <c r="K74" s="511"/>
      <c r="L74" s="512"/>
      <c r="M74" s="513"/>
      <c r="N74" s="930"/>
      <c r="O74" s="930"/>
      <c r="P74" s="1920"/>
      <c r="Q74" s="506"/>
    </row>
    <row r="75" spans="1:17" s="420" customFormat="1" ht="15.75" thickBot="1">
      <c r="A75" s="515"/>
      <c r="B75" s="516"/>
      <c r="C75" s="517"/>
      <c r="D75" s="517"/>
      <c r="E75" s="517"/>
      <c r="F75" s="517"/>
      <c r="G75" s="517"/>
      <c r="H75" s="518"/>
      <c r="I75" s="518"/>
      <c r="J75" s="518"/>
      <c r="K75" s="518"/>
      <c r="L75" s="518"/>
      <c r="M75" s="519"/>
      <c r="N75" s="930"/>
      <c r="O75" s="930"/>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21"/>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29"/>
      <c r="O77" s="929"/>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7"/>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29"/>
      <c r="O79" s="929"/>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7"/>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29"/>
      <c r="O81" s="929"/>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7"/>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29"/>
      <c r="O83" s="929"/>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7"/>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29"/>
      <c r="O85" s="929"/>
      <c r="P85" s="1917"/>
      <c r="Q85" s="451"/>
    </row>
    <row r="86" spans="1:17" s="106" customFormat="1" ht="15.75" thickTop="1">
      <c r="A86" s="526"/>
      <c r="B86" s="485" t="s">
        <v>1734</v>
      </c>
      <c r="C86" s="501"/>
      <c r="D86" s="501"/>
      <c r="E86" s="501"/>
      <c r="F86" s="501"/>
      <c r="G86" s="501"/>
      <c r="H86" s="501"/>
      <c r="I86" s="501"/>
      <c r="J86" s="501"/>
      <c r="K86" s="501"/>
      <c r="L86" s="527"/>
      <c r="M86" s="528"/>
      <c r="N86" s="927"/>
      <c r="O86" s="927"/>
      <c r="P86" s="1917"/>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7"/>
      <c r="Q87" s="451"/>
    </row>
    <row r="88" spans="1:17" s="106" customFormat="1" ht="15.75" thickTop="1">
      <c r="A88" s="526"/>
      <c r="B88" s="485" t="s">
        <v>1735</v>
      </c>
      <c r="C88" s="501"/>
      <c r="D88" s="501"/>
      <c r="E88" s="501"/>
      <c r="F88" s="1922"/>
      <c r="G88" s="501"/>
      <c r="H88" s="501"/>
      <c r="I88" s="501"/>
      <c r="J88" s="501"/>
      <c r="K88" s="501"/>
      <c r="L88" s="501"/>
      <c r="M88" s="528"/>
      <c r="N88" s="927"/>
      <c r="O88" s="927"/>
      <c r="P88" s="1917"/>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9"/>
      <c r="O89" s="929"/>
      <c r="P89" s="1917"/>
      <c r="Q89" s="451"/>
    </row>
    <row r="90" spans="1:17" s="420" customFormat="1" ht="15.75" thickTop="1">
      <c r="A90" s="500"/>
      <c r="B90" s="485">
        <f>B27</f>
        <v>111</v>
      </c>
      <c r="C90" s="501"/>
      <c r="D90" s="501"/>
      <c r="E90" s="501"/>
      <c r="F90" s="501"/>
      <c r="G90" s="501"/>
      <c r="H90" s="502"/>
      <c r="I90" s="502"/>
      <c r="J90" s="502"/>
      <c r="K90" s="502"/>
      <c r="L90" s="503"/>
      <c r="M90" s="504"/>
      <c r="N90" s="930"/>
      <c r="O90" s="930"/>
      <c r="P90" s="1918"/>
      <c r="Q90" s="506"/>
    </row>
    <row r="91" spans="1:17" s="420" customFormat="1" ht="15.75" thickBot="1">
      <c r="A91" s="500"/>
      <c r="B91" s="490"/>
      <c r="C91" s="507"/>
      <c r="D91" s="507"/>
      <c r="E91" s="507"/>
      <c r="F91" s="507"/>
      <c r="G91" s="507"/>
      <c r="H91" s="509"/>
      <c r="I91" s="509"/>
      <c r="J91" s="509"/>
      <c r="K91" s="509"/>
      <c r="L91" s="509"/>
      <c r="M91" s="510"/>
      <c r="N91" s="930"/>
      <c r="O91" s="930"/>
      <c r="P91" s="1918"/>
      <c r="Q91" s="506"/>
    </row>
    <row r="92" spans="1:17" ht="15.75" thickTop="1">
      <c r="A92" s="481"/>
      <c r="B92" s="485">
        <f>B28</f>
        <v>111</v>
      </c>
      <c r="C92" s="501"/>
      <c r="D92" s="501"/>
      <c r="E92" s="501"/>
      <c r="F92" s="501"/>
      <c r="G92" s="530"/>
      <c r="H92" s="530"/>
      <c r="I92" s="530"/>
      <c r="J92" s="530"/>
      <c r="K92" s="531"/>
      <c r="L92" s="532"/>
      <c r="M92" s="533"/>
      <c r="N92" s="928"/>
      <c r="O92" s="928"/>
      <c r="P92" s="1917"/>
      <c r="Q92" s="451"/>
    </row>
    <row r="93" spans="1:17" ht="15.75" thickBot="1">
      <c r="A93" s="481"/>
      <c r="B93" s="490"/>
      <c r="C93" s="507"/>
      <c r="D93" s="483"/>
      <c r="E93" s="483"/>
      <c r="F93" s="483"/>
      <c r="G93" s="483"/>
      <c r="H93" s="483"/>
      <c r="I93" s="483"/>
      <c r="J93" s="483"/>
      <c r="K93" s="483"/>
      <c r="L93" s="483"/>
      <c r="M93" s="484"/>
      <c r="N93" s="929"/>
      <c r="O93" s="929"/>
      <c r="P93" s="1917"/>
      <c r="Q93" s="451"/>
    </row>
    <row r="94" spans="1:17" ht="15.75" thickTop="1">
      <c r="A94" s="481"/>
      <c r="B94" s="485">
        <f>B29</f>
        <v>111</v>
      </c>
      <c r="C94" s="501"/>
      <c r="D94" s="501"/>
      <c r="E94" s="501"/>
      <c r="F94" s="501"/>
      <c r="G94" s="530"/>
      <c r="H94" s="530"/>
      <c r="I94" s="530"/>
      <c r="J94" s="530"/>
      <c r="K94" s="531"/>
      <c r="L94" s="532"/>
      <c r="M94" s="533"/>
      <c r="N94" s="928"/>
      <c r="O94" s="928"/>
      <c r="P94" s="1917"/>
      <c r="Q94" s="451"/>
    </row>
    <row r="95" spans="1:17" ht="15.75" thickBot="1">
      <c r="A95" s="481"/>
      <c r="B95" s="490"/>
      <c r="C95" s="507"/>
      <c r="D95" s="507"/>
      <c r="E95" s="507"/>
      <c r="F95" s="507"/>
      <c r="G95" s="483"/>
      <c r="H95" s="483"/>
      <c r="I95" s="483"/>
      <c r="J95" s="483"/>
      <c r="K95" s="483"/>
      <c r="L95" s="483"/>
      <c r="M95" s="484"/>
      <c r="N95" s="929"/>
      <c r="O95" s="929"/>
      <c r="P95" s="1917"/>
      <c r="Q95" s="451"/>
    </row>
    <row r="96" spans="1:17" ht="15.75" thickTop="1">
      <c r="A96" s="481"/>
      <c r="B96" s="485">
        <f>B30</f>
        <v>111</v>
      </c>
      <c r="C96" s="501"/>
      <c r="D96" s="501"/>
      <c r="E96" s="501"/>
      <c r="F96" s="501"/>
      <c r="G96" s="530"/>
      <c r="H96" s="530"/>
      <c r="I96" s="530"/>
      <c r="J96" s="530"/>
      <c r="K96" s="531"/>
      <c r="L96" s="532"/>
      <c r="M96" s="533"/>
      <c r="N96" s="928"/>
      <c r="O96" s="928"/>
      <c r="P96" s="1917"/>
      <c r="Q96" s="451"/>
    </row>
    <row r="97" spans="1:17" ht="15.75" thickBot="1">
      <c r="A97" s="481"/>
      <c r="B97" s="490"/>
      <c r="C97" s="517"/>
      <c r="D97" s="517"/>
      <c r="E97" s="517"/>
      <c r="F97" s="517"/>
      <c r="G97" s="483"/>
      <c r="H97" s="483"/>
      <c r="I97" s="483"/>
      <c r="J97" s="483"/>
      <c r="K97" s="483"/>
      <c r="L97" s="483"/>
      <c r="M97" s="484"/>
      <c r="N97" s="929"/>
      <c r="O97" s="929"/>
      <c r="P97" s="1917"/>
      <c r="Q97" s="451"/>
    </row>
    <row r="98" spans="1:17" ht="15.75" thickTop="1">
      <c r="A98" s="481"/>
      <c r="B98" s="493">
        <f>B31</f>
        <v>111</v>
      </c>
      <c r="C98" s="534"/>
      <c r="D98" s="534"/>
      <c r="E98" s="534"/>
      <c r="F98" s="534"/>
      <c r="G98" s="534"/>
      <c r="H98" s="534"/>
      <c r="I98" s="534"/>
      <c r="J98" s="534"/>
      <c r="K98" s="535"/>
      <c r="L98" s="536"/>
      <c r="M98" s="537"/>
      <c r="N98" s="928"/>
      <c r="O98" s="928"/>
      <c r="P98" s="1917"/>
      <c r="Q98" s="451"/>
    </row>
    <row r="99" spans="1:17" ht="15.75" thickBot="1">
      <c r="A99" s="1923"/>
      <c r="B99" s="516"/>
      <c r="C99" s="538"/>
      <c r="D99" s="538"/>
      <c r="E99" s="538"/>
      <c r="F99" s="538"/>
      <c r="G99" s="538"/>
      <c r="H99" s="538"/>
      <c r="I99" s="538"/>
      <c r="J99" s="538"/>
      <c r="K99" s="538"/>
      <c r="L99" s="538"/>
      <c r="M99" s="539"/>
      <c r="N99" s="929"/>
      <c r="O99" s="929"/>
      <c r="P99" s="1917"/>
      <c r="Q99" s="451"/>
    </row>
    <row r="100" spans="1:17">
      <c r="A100" s="474" t="s">
        <v>1694</v>
      </c>
      <c r="B100" s="475" t="s">
        <v>1736</v>
      </c>
      <c r="C100" s="477"/>
      <c r="D100" s="477"/>
      <c r="E100" s="477"/>
      <c r="F100" s="477"/>
      <c r="G100" s="477"/>
      <c r="H100" s="477"/>
      <c r="I100" s="477"/>
      <c r="J100" s="477"/>
      <c r="K100" s="478"/>
      <c r="L100" s="479"/>
      <c r="M100" s="480"/>
      <c r="N100" s="928"/>
      <c r="O100" s="928"/>
      <c r="P100" s="1917"/>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29"/>
      <c r="O101" s="929"/>
      <c r="P101" s="1917"/>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7"/>
      <c r="O102" s="927"/>
      <c r="P102" s="1917"/>
      <c r="Q102" s="451"/>
    </row>
    <row r="103" spans="1:17" s="420" customFormat="1">
      <c r="A103" s="540"/>
      <c r="B103" s="541"/>
      <c r="C103" s="542"/>
      <c r="D103" s="542"/>
      <c r="E103" s="542"/>
      <c r="F103" s="542"/>
      <c r="G103" s="542"/>
      <c r="H103" s="542"/>
      <c r="I103" s="542"/>
      <c r="J103" s="543"/>
      <c r="K103" s="543"/>
      <c r="L103" s="544"/>
      <c r="M103" s="545"/>
      <c r="N103" s="930"/>
      <c r="O103" s="930"/>
      <c r="P103" s="1918"/>
      <c r="Q103" s="506"/>
    </row>
    <row r="104" spans="1:17" s="420" customFormat="1" ht="15.75" thickBot="1">
      <c r="A104" s="500"/>
      <c r="B104" s="490"/>
      <c r="C104" s="507"/>
      <c r="D104" s="483"/>
      <c r="E104" s="483"/>
      <c r="F104" s="483"/>
      <c r="G104" s="483"/>
      <c r="H104" s="483"/>
      <c r="I104" s="483"/>
      <c r="J104" s="483"/>
      <c r="K104" s="483"/>
      <c r="L104" s="483"/>
      <c r="M104" s="483"/>
      <c r="N104" s="929"/>
      <c r="O104" s="929"/>
      <c r="P104" s="1918"/>
      <c r="Q104" s="506"/>
    </row>
    <row r="105" spans="1:17" ht="15" thickTop="1">
      <c r="A105" s="546"/>
      <c r="B105" s="485" t="s">
        <v>1738</v>
      </c>
      <c r="C105" s="501"/>
      <c r="D105" s="501"/>
      <c r="E105" s="530"/>
      <c r="F105" s="530"/>
      <c r="G105" s="530"/>
      <c r="H105" s="530"/>
      <c r="I105" s="530"/>
      <c r="J105" s="530"/>
      <c r="K105" s="531"/>
      <c r="L105" s="532"/>
      <c r="M105" s="533"/>
      <c r="N105" s="928"/>
      <c r="O105" s="928"/>
      <c r="P105" s="1917"/>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29"/>
      <c r="O106" s="929"/>
      <c r="P106" s="1917"/>
      <c r="Q106" s="451"/>
    </row>
    <row r="107" spans="1:17" ht="15" thickTop="1">
      <c r="A107" s="546"/>
      <c r="B107" s="485" t="s">
        <v>1739</v>
      </c>
      <c r="C107" s="530"/>
      <c r="D107" s="530"/>
      <c r="E107" s="530"/>
      <c r="F107" s="530"/>
      <c r="G107" s="530"/>
      <c r="H107" s="530"/>
      <c r="I107" s="530"/>
      <c r="J107" s="530"/>
      <c r="K107" s="531"/>
      <c r="L107" s="532"/>
      <c r="M107" s="533"/>
      <c r="N107" s="928"/>
      <c r="O107" s="928"/>
      <c r="P107" s="1917"/>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9"/>
      <c r="O108" s="929"/>
      <c r="P108" s="1917"/>
      <c r="Q108" s="451"/>
    </row>
    <row r="109" spans="1:17" ht="15" thickTop="1">
      <c r="A109" s="546"/>
      <c r="B109" s="485" t="s">
        <v>1740</v>
      </c>
      <c r="C109" s="501"/>
      <c r="D109" s="501"/>
      <c r="E109" s="501"/>
      <c r="F109" s="530"/>
      <c r="G109" s="530"/>
      <c r="H109" s="530"/>
      <c r="I109" s="530"/>
      <c r="J109" s="530"/>
      <c r="K109" s="531"/>
      <c r="L109" s="532"/>
      <c r="M109" s="533"/>
      <c r="N109" s="928"/>
      <c r="O109" s="928"/>
      <c r="P109" s="1917"/>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29"/>
      <c r="O110" s="929"/>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8"/>
      <c r="Q113" s="506"/>
    </row>
    <row r="114" spans="1:17" ht="15" thickTop="1">
      <c r="A114" s="546"/>
      <c r="B114" s="485" t="s">
        <v>1741</v>
      </c>
      <c r="C114" s="501"/>
      <c r="D114" s="501"/>
      <c r="E114" s="530"/>
      <c r="F114" s="530"/>
      <c r="G114" s="530"/>
      <c r="H114" s="530"/>
      <c r="I114" s="530"/>
      <c r="J114" s="530"/>
      <c r="K114" s="531"/>
      <c r="L114" s="532"/>
      <c r="M114" s="533"/>
      <c r="N114" s="928"/>
      <c r="O114" s="928"/>
      <c r="P114" s="1917"/>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29"/>
      <c r="O115" s="929"/>
      <c r="P115" s="1917"/>
      <c r="Q115" s="451"/>
    </row>
    <row r="116" spans="1:17" ht="15" thickTop="1">
      <c r="A116" s="546"/>
      <c r="B116" s="485" t="s">
        <v>1742</v>
      </c>
      <c r="C116" s="501"/>
      <c r="D116" s="501"/>
      <c r="E116" s="501"/>
      <c r="F116" s="501"/>
      <c r="G116" s="501"/>
      <c r="H116" s="530"/>
      <c r="I116" s="530"/>
      <c r="J116" s="530"/>
      <c r="K116" s="531"/>
      <c r="L116" s="532"/>
      <c r="M116" s="533"/>
      <c r="N116" s="928"/>
      <c r="O116" s="928"/>
      <c r="P116" s="1917"/>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29"/>
      <c r="O117" s="929"/>
      <c r="P117" s="1917"/>
      <c r="Q117" s="451"/>
    </row>
    <row r="118" spans="1:17" ht="15" thickTop="1">
      <c r="A118" s="546"/>
      <c r="B118" s="485" t="s">
        <v>1743</v>
      </c>
      <c r="C118" s="530"/>
      <c r="D118" s="530"/>
      <c r="E118" s="530"/>
      <c r="F118" s="530"/>
      <c r="G118" s="530"/>
      <c r="H118" s="530"/>
      <c r="I118" s="530"/>
      <c r="J118" s="530"/>
      <c r="K118" s="531"/>
      <c r="L118" s="532"/>
      <c r="M118" s="533"/>
      <c r="N118" s="928"/>
      <c r="O118" s="928"/>
      <c r="P118" s="1917"/>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9"/>
      <c r="O119" s="929"/>
      <c r="P119" s="1917"/>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8"/>
      <c r="Q120" s="506"/>
    </row>
    <row r="121" spans="1:17" s="420" customFormat="1" ht="15.75" thickBot="1">
      <c r="A121" s="500"/>
      <c r="B121" s="482"/>
      <c r="C121" s="507"/>
      <c r="D121" s="483"/>
      <c r="E121" s="483"/>
      <c r="F121" s="483"/>
      <c r="G121" s="483"/>
      <c r="H121" s="483"/>
      <c r="I121" s="483"/>
      <c r="J121" s="483"/>
      <c r="K121" s="483"/>
      <c r="L121" s="483"/>
      <c r="M121" s="483"/>
      <c r="N121" s="930"/>
      <c r="O121" s="930"/>
      <c r="P121" s="1918"/>
      <c r="Q121" s="506"/>
    </row>
    <row r="122" spans="1:17" ht="15" thickTop="1">
      <c r="A122" s="546"/>
      <c r="B122" s="485" t="s">
        <v>1744</v>
      </c>
      <c r="C122" s="501"/>
      <c r="D122" s="501"/>
      <c r="E122" s="501"/>
      <c r="F122" s="530"/>
      <c r="G122" s="530"/>
      <c r="H122" s="530"/>
      <c r="I122" s="530"/>
      <c r="J122" s="530"/>
      <c r="K122" s="531"/>
      <c r="L122" s="532"/>
      <c r="M122" s="533"/>
      <c r="N122" s="928"/>
      <c r="O122" s="928"/>
      <c r="P122" s="1917"/>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29"/>
      <c r="O123" s="929"/>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8"/>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29"/>
      <c r="O125" s="929"/>
      <c r="P125" s="1917"/>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8"/>
      <c r="Q126" s="506"/>
    </row>
    <row r="127" spans="1:17" s="420" customFormat="1" ht="15.75" thickBot="1">
      <c r="A127" s="500"/>
      <c r="B127" s="490"/>
      <c r="C127" s="507"/>
      <c r="D127" s="483"/>
      <c r="E127" s="483"/>
      <c r="F127" s="483"/>
      <c r="G127" s="507"/>
      <c r="H127" s="509"/>
      <c r="I127" s="509"/>
      <c r="J127" s="509"/>
      <c r="K127" s="509"/>
      <c r="L127" s="509"/>
      <c r="M127" s="510"/>
      <c r="N127" s="930"/>
      <c r="O127" s="930"/>
      <c r="P127" s="1918"/>
      <c r="Q127" s="506"/>
    </row>
    <row r="128" spans="1:17" ht="15" thickTop="1">
      <c r="A128" s="546"/>
      <c r="B128" s="485">
        <f>B45</f>
        <v>111</v>
      </c>
      <c r="C128" s="501"/>
      <c r="D128" s="501"/>
      <c r="E128" s="501"/>
      <c r="F128" s="501"/>
      <c r="G128" s="530"/>
      <c r="H128" s="530"/>
      <c r="I128" s="530"/>
      <c r="J128" s="530"/>
      <c r="K128" s="531"/>
      <c r="L128" s="532"/>
      <c r="M128" s="533"/>
      <c r="N128" s="928"/>
      <c r="O128" s="928"/>
      <c r="P128" s="1917"/>
      <c r="Q128" s="451"/>
    </row>
    <row r="129" spans="1:17" ht="15.75" thickBot="1">
      <c r="A129" s="481"/>
      <c r="B129" s="490"/>
      <c r="C129" s="507"/>
      <c r="D129" s="507"/>
      <c r="E129" s="507"/>
      <c r="F129" s="507"/>
      <c r="G129" s="483"/>
      <c r="H129" s="483"/>
      <c r="I129" s="483"/>
      <c r="J129" s="483"/>
      <c r="K129" s="483"/>
      <c r="L129" s="483"/>
      <c r="M129" s="484"/>
      <c r="N129" s="929"/>
      <c r="O129" s="929"/>
      <c r="P129" s="1917"/>
      <c r="Q129" s="451"/>
    </row>
    <row r="130" spans="1:17" ht="15" thickTop="1">
      <c r="A130" s="546"/>
      <c r="B130" s="493">
        <f>B46</f>
        <v>111</v>
      </c>
      <c r="C130" s="501"/>
      <c r="D130" s="501"/>
      <c r="E130" s="501"/>
      <c r="F130" s="501"/>
      <c r="G130" s="534"/>
      <c r="H130" s="534"/>
      <c r="I130" s="534"/>
      <c r="J130" s="534"/>
      <c r="K130" s="470"/>
      <c r="L130" s="471"/>
      <c r="M130" s="537"/>
      <c r="N130" s="928"/>
      <c r="O130" s="928"/>
      <c r="P130" s="1917"/>
      <c r="Q130" s="451"/>
    </row>
    <row r="131" spans="1:17" ht="15.75" thickBot="1">
      <c r="A131" s="1923"/>
      <c r="B131" s="516"/>
      <c r="C131" s="517"/>
      <c r="D131" s="517"/>
      <c r="E131" s="517"/>
      <c r="F131" s="517"/>
      <c r="G131" s="538"/>
      <c r="H131" s="538"/>
      <c r="I131" s="538"/>
      <c r="J131" s="538"/>
      <c r="K131" s="538"/>
      <c r="L131" s="538"/>
      <c r="M131" s="539"/>
      <c r="N131" s="929"/>
      <c r="O131" s="929"/>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69">
        <f>ROUNDUP((J139-1)/2,0)</f>
        <v>10</v>
      </c>
      <c r="K140" s="873">
        <v>100</v>
      </c>
    </row>
    <row r="141" spans="1:17" ht="15">
      <c r="B141" s="868">
        <v>4</v>
      </c>
      <c r="C141" s="869">
        <v>102</v>
      </c>
      <c r="D141" s="869"/>
      <c r="E141" s="870"/>
      <c r="F141" s="871">
        <v>101.5</v>
      </c>
      <c r="G141" s="869"/>
      <c r="H141" s="872"/>
      <c r="I141" s="1937" t="s">
        <v>1758</v>
      </c>
      <c r="J141" s="269">
        <v>1</v>
      </c>
      <c r="K141" s="874">
        <f>ROUND(100+(J141-J140)*K139*100,1)</f>
        <v>96.4</v>
      </c>
    </row>
    <row r="142" spans="1:17" ht="15">
      <c r="B142" s="868">
        <v>3</v>
      </c>
      <c r="C142" s="869">
        <v>103</v>
      </c>
      <c r="D142" s="869"/>
      <c r="E142" s="870"/>
      <c r="F142" s="871">
        <v>101</v>
      </c>
      <c r="G142" s="869"/>
      <c r="H142" s="872"/>
      <c r="I142" s="1937" t="s">
        <v>1759</v>
      </c>
      <c r="J142" s="269">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1766</v>
      </c>
      <c r="C1" s="1233" t="s">
        <v>1662</v>
      </c>
      <c r="D1" s="1220"/>
      <c r="E1" s="3351"/>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0"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1947"/>
      <c r="Q2" s="907"/>
      <c r="R2" s="907"/>
      <c r="S2" s="907"/>
      <c r="T2" s="907"/>
      <c r="U2" s="907"/>
      <c r="V2" s="907"/>
      <c r="W2" s="907"/>
      <c r="X2" s="907"/>
      <c r="Y2" s="907"/>
      <c r="Z2" s="907"/>
      <c r="AA2" s="907"/>
      <c r="AB2" s="907"/>
      <c r="AC2" s="1948"/>
    </row>
    <row r="3" spans="1:29" s="350" customFormat="1" ht="28.5" customHeight="1" thickBot="1">
      <c r="A3" s="201" t="s">
        <v>1464</v>
      </c>
      <c r="B3" s="556">
        <f>IF(C2="——",C49,ROUND(B2*10000/D3,0))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1947"/>
      <c r="Q3" s="907"/>
      <c r="R3" s="907"/>
      <c r="S3" s="907"/>
      <c r="T3" s="907"/>
      <c r="U3" s="907"/>
      <c r="V3" s="907"/>
      <c r="W3" s="907"/>
      <c r="X3" s="907"/>
      <c r="Y3" s="907"/>
      <c r="Z3" s="907"/>
      <c r="AA3" s="907"/>
      <c r="AB3" s="907"/>
      <c r="AC3" s="1949"/>
    </row>
    <row r="4" spans="1:29" ht="15">
      <c r="A4" s="353" t="s">
        <v>1769</v>
      </c>
      <c r="B4" s="354"/>
      <c r="C4" s="4083" t="s">
        <v>1770</v>
      </c>
      <c r="D4" s="4084"/>
      <c r="E4" s="4085" t="s">
        <v>1771</v>
      </c>
      <c r="F4" s="4086"/>
      <c r="G4" s="4083" t="s">
        <v>1772</v>
      </c>
      <c r="H4" s="4084"/>
      <c r="I4" s="4083" t="s">
        <v>1773</v>
      </c>
      <c r="J4" s="4084"/>
      <c r="K4" s="557" t="s">
        <v>1774</v>
      </c>
      <c r="L4" s="2710"/>
      <c r="M4" s="2711"/>
      <c r="N4" s="2711"/>
      <c r="O4" s="2711"/>
      <c r="P4" s="4087" t="s">
        <v>1775</v>
      </c>
      <c r="Q4" s="4088"/>
      <c r="R4" s="4093" t="s">
        <v>1771</v>
      </c>
      <c r="S4" s="4094"/>
      <c r="T4" s="4093" t="s">
        <v>1772</v>
      </c>
      <c r="U4" s="4094"/>
      <c r="V4" s="4099" t="s">
        <v>1773</v>
      </c>
      <c r="W4" s="4099"/>
      <c r="X4" s="1350"/>
      <c r="Y4" s="4093" t="s">
        <v>1775</v>
      </c>
      <c r="Z4" s="4094"/>
      <c r="AA4" s="4080" t="s">
        <v>1771</v>
      </c>
      <c r="AB4" s="4099" t="s">
        <v>1772</v>
      </c>
      <c r="AC4" s="4080" t="s">
        <v>1773</v>
      </c>
    </row>
    <row r="5" spans="1:29" ht="15">
      <c r="A5" s="356"/>
      <c r="B5" s="357"/>
      <c r="C5" s="4102" t="s">
        <v>1673</v>
      </c>
      <c r="D5" s="4103"/>
      <c r="E5" s="4109" t="s">
        <v>1674</v>
      </c>
      <c r="F5" s="4110"/>
      <c r="G5" s="4102" t="s">
        <v>1675</v>
      </c>
      <c r="H5" s="4103"/>
      <c r="I5" s="4102" t="s">
        <v>1676</v>
      </c>
      <c r="J5" s="4103"/>
      <c r="K5" s="557"/>
      <c r="L5" s="2710"/>
      <c r="M5" s="2711"/>
      <c r="N5" s="2711"/>
      <c r="O5" s="2711"/>
      <c r="P5" s="4089"/>
      <c r="Q5" s="4090"/>
      <c r="R5" s="4095"/>
      <c r="S5" s="4096"/>
      <c r="T5" s="4095"/>
      <c r="U5" s="4096"/>
      <c r="V5" s="4099"/>
      <c r="W5" s="4099"/>
      <c r="X5" s="1350"/>
      <c r="Y5" s="4095"/>
      <c r="Z5" s="4096"/>
      <c r="AA5" s="4081"/>
      <c r="AB5" s="4099"/>
      <c r="AC5" s="4081"/>
    </row>
    <row r="6" spans="1:29" ht="15.75" thickBot="1">
      <c r="A6" s="358"/>
      <c r="B6" s="359"/>
      <c r="C6" s="4100" t="s">
        <v>1677</v>
      </c>
      <c r="D6" s="4101"/>
      <c r="E6" s="4107" t="s">
        <v>1677</v>
      </c>
      <c r="F6" s="4108"/>
      <c r="G6" s="4100" t="s">
        <v>1677</v>
      </c>
      <c r="H6" s="4101"/>
      <c r="I6" s="4100" t="s">
        <v>1677</v>
      </c>
      <c r="J6" s="4101"/>
      <c r="K6" s="557" t="s">
        <v>1678</v>
      </c>
      <c r="L6" s="2710"/>
      <c r="M6" s="2711"/>
      <c r="N6" s="2711"/>
      <c r="O6" s="2711"/>
      <c r="P6" s="4091"/>
      <c r="Q6" s="4092"/>
      <c r="R6" s="4095"/>
      <c r="S6" s="4096"/>
      <c r="T6" s="4097"/>
      <c r="U6" s="4098"/>
      <c r="V6" s="4099"/>
      <c r="W6" s="4099"/>
      <c r="X6" s="1350"/>
      <c r="Y6" s="4097"/>
      <c r="Z6" s="4098"/>
      <c r="AA6" s="4082"/>
      <c r="AB6" s="4099"/>
      <c r="AC6" s="4082"/>
    </row>
    <row r="7" spans="1:29" s="106" customFormat="1" ht="15.75" thickBot="1">
      <c r="A7" s="360" t="s">
        <v>1679</v>
      </c>
      <c r="B7" s="361"/>
      <c r="C7" s="362">
        <f>'数据-取费表'!B2</f>
        <v>45226</v>
      </c>
      <c r="D7" s="363">
        <v>100</v>
      </c>
      <c r="E7" s="364"/>
      <c r="F7" s="365">
        <f>SUMIF(58:58,YEAR(E7)&amp;"-"&amp;MONTH(E7),59:59)</f>
        <v>0</v>
      </c>
      <c r="G7" s="364"/>
      <c r="H7" s="363">
        <f>SUMIF(58:58,YEAR(G7)&amp;"-"&amp;MONTH(G7),59:59)</f>
        <v>0</v>
      </c>
      <c r="I7" s="364"/>
      <c r="J7" s="363">
        <f>SUMIF(58:58,YEAR(I7)&amp;"-"&amp;MONTH(I7),59:59)</f>
        <v>0</v>
      </c>
      <c r="K7" s="558"/>
      <c r="L7" s="2712"/>
      <c r="M7" s="2713"/>
      <c r="N7" s="2713"/>
      <c r="O7" s="2713"/>
      <c r="P7" s="4104" t="s">
        <v>1680</v>
      </c>
      <c r="Q7" s="4106"/>
      <c r="R7" s="699" t="s">
        <v>14</v>
      </c>
      <c r="S7" s="700">
        <f t="shared" ref="S7:S15" si="0">F7</f>
        <v>0</v>
      </c>
      <c r="T7" s="699" t="s">
        <v>14</v>
      </c>
      <c r="U7" s="700">
        <f t="shared" ref="U7:U15" si="1">H7</f>
        <v>0</v>
      </c>
      <c r="V7" s="699" t="s">
        <v>14</v>
      </c>
      <c r="W7" s="700">
        <f t="shared" ref="W7:W15" si="2">J7</f>
        <v>0</v>
      </c>
      <c r="X7" s="701"/>
      <c r="Y7" s="4104" t="s">
        <v>1680</v>
      </c>
      <c r="Z7" s="4105"/>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2"/>
      <c r="M8" s="2713"/>
      <c r="N8" s="2713"/>
      <c r="O8" s="2713"/>
      <c r="P8" s="4104" t="s">
        <v>1683</v>
      </c>
      <c r="Q8" s="4105"/>
      <c r="R8" s="699" t="s">
        <v>14</v>
      </c>
      <c r="S8" s="700">
        <f t="shared" si="0"/>
        <v>100</v>
      </c>
      <c r="T8" s="699" t="s">
        <v>14</v>
      </c>
      <c r="U8" s="700">
        <f t="shared" si="1"/>
        <v>100</v>
      </c>
      <c r="V8" s="699" t="s">
        <v>14</v>
      </c>
      <c r="W8" s="700">
        <f t="shared" si="2"/>
        <v>100</v>
      </c>
      <c r="X8" s="701"/>
      <c r="Y8" s="4104" t="s">
        <v>1683</v>
      </c>
      <c r="Z8" s="4105"/>
      <c r="AA8" s="702">
        <f t="shared" ref="AA8:AA46" si="3">D8/F8</f>
        <v>1</v>
      </c>
      <c r="AB8" s="702">
        <f t="shared" ref="AB8:AB46" si="4">D8/H8</f>
        <v>1</v>
      </c>
      <c r="AC8" s="702">
        <f t="shared" ref="AC8:AC46" si="5">D8/J8</f>
        <v>1</v>
      </c>
    </row>
    <row r="9" spans="1:29" s="106" customFormat="1">
      <c r="A9" s="367" t="s">
        <v>1684</v>
      </c>
      <c r="B9" s="61" t="s">
        <v>1685</v>
      </c>
      <c r="C9" s="368"/>
      <c r="D9" s="124">
        <v>100</v>
      </c>
      <c r="E9" s="369"/>
      <c r="F9" s="370">
        <f>SUMIF(63:63,E9,64:64)-SUMIF(63:63,C9,64:64)+100</f>
        <v>100</v>
      </c>
      <c r="G9" s="369"/>
      <c r="H9" s="124">
        <f>SUMIF(63:63,G9,64:64)-SUMIF(63:63,C9,64:64)+100</f>
        <v>100</v>
      </c>
      <c r="I9" s="369"/>
      <c r="J9" s="124">
        <f>SUMIF(63:63,I9,64:64)-SUMIF(63:63,C9,64:64)+100</f>
        <v>100</v>
      </c>
      <c r="K9" s="558"/>
      <c r="L9" s="2712"/>
      <c r="M9" s="2713"/>
      <c r="N9" s="2713"/>
      <c r="O9" s="2713"/>
      <c r="P9" s="4079" t="s">
        <v>1686</v>
      </c>
      <c r="Q9" s="1338" t="str">
        <f t="shared" ref="Q9:Q15" si="6">B9</f>
        <v>用途</v>
      </c>
      <c r="R9" s="699" t="s">
        <v>14</v>
      </c>
      <c r="S9" s="700">
        <f t="shared" si="0"/>
        <v>100</v>
      </c>
      <c r="T9" s="699" t="s">
        <v>14</v>
      </c>
      <c r="U9" s="700">
        <f t="shared" si="1"/>
        <v>100</v>
      </c>
      <c r="V9" s="699" t="s">
        <v>14</v>
      </c>
      <c r="W9" s="700">
        <f t="shared" si="2"/>
        <v>100</v>
      </c>
      <c r="X9" s="701"/>
      <c r="Y9" s="3943" t="s">
        <v>1687</v>
      </c>
      <c r="Z9" s="50" t="str">
        <f t="shared" ref="Z9:Z15" si="7">Q9</f>
        <v>用途</v>
      </c>
      <c r="AA9" s="702">
        <f t="shared" si="3"/>
        <v>1</v>
      </c>
      <c r="AB9" s="702">
        <f t="shared" si="4"/>
        <v>1</v>
      </c>
      <c r="AC9" s="702">
        <f t="shared" si="5"/>
        <v>1</v>
      </c>
    </row>
    <row r="10" spans="1:29" s="376" customFormat="1" ht="27">
      <c r="A10" s="372"/>
      <c r="B10" s="373" t="s">
        <v>1688</v>
      </c>
      <c r="C10" s="3359"/>
      <c r="D10" s="125">
        <v>100</v>
      </c>
      <c r="E10" s="3360"/>
      <c r="F10" s="374">
        <f>SUMIF(65:65,E10,66:66)-SUMIF(65:65,C10,66:66)+100</f>
        <v>100</v>
      </c>
      <c r="G10" s="3359"/>
      <c r="H10" s="125">
        <f>SUMIF(65:65,G10,66:66)-SUMIF(65:65,C10,66:66)+100</f>
        <v>100</v>
      </c>
      <c r="I10" s="3359"/>
      <c r="J10" s="125">
        <f>SUMIF(65:65,I10,66:66)-SUMIF(65:65,C10,66:66)+100</f>
        <v>100</v>
      </c>
      <c r="K10" s="558"/>
      <c r="L10" s="2714"/>
      <c r="M10" s="2715"/>
      <c r="N10" s="2715"/>
      <c r="O10" s="2715"/>
      <c r="P10" s="4079"/>
      <c r="Q10" s="1338" t="str">
        <f t="shared" si="6"/>
        <v>土地使用年限（年）</v>
      </c>
      <c r="R10" s="699" t="s">
        <v>14</v>
      </c>
      <c r="S10" s="700">
        <f t="shared" si="0"/>
        <v>100</v>
      </c>
      <c r="T10" s="699" t="s">
        <v>14</v>
      </c>
      <c r="U10" s="700">
        <f t="shared" si="1"/>
        <v>100</v>
      </c>
      <c r="V10" s="699" t="s">
        <v>14</v>
      </c>
      <c r="W10" s="700">
        <f t="shared" si="2"/>
        <v>100</v>
      </c>
      <c r="X10" s="701"/>
      <c r="Y10" s="3943"/>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6"/>
      <c r="M11" s="2711"/>
      <c r="N11" s="2711"/>
      <c r="O11" s="2711"/>
      <c r="P11" s="4079"/>
      <c r="Q11" s="1338" t="str">
        <f t="shared" si="6"/>
        <v>容积率</v>
      </c>
      <c r="R11" s="699" t="s">
        <v>14</v>
      </c>
      <c r="S11" s="700" t="e">
        <f t="shared" si="0"/>
        <v>#N/A</v>
      </c>
      <c r="T11" s="699" t="s">
        <v>14</v>
      </c>
      <c r="U11" s="700" t="e">
        <f t="shared" si="1"/>
        <v>#N/A</v>
      </c>
      <c r="V11" s="699" t="s">
        <v>14</v>
      </c>
      <c r="W11" s="700" t="e">
        <f t="shared" si="2"/>
        <v>#N/A</v>
      </c>
      <c r="X11" s="701"/>
      <c r="Y11" s="3943"/>
      <c r="Z11" s="50" t="str">
        <f t="shared" si="7"/>
        <v>容积率</v>
      </c>
      <c r="AA11" s="702" t="e">
        <f t="shared" si="3"/>
        <v>#N/A</v>
      </c>
      <c r="AB11" s="702" t="e">
        <f t="shared" si="4"/>
        <v>#N/A</v>
      </c>
      <c r="AC11" s="702" t="e">
        <f t="shared" si="5"/>
        <v>#N/A</v>
      </c>
    </row>
    <row r="12" spans="1:29" s="106" customFormat="1" ht="15">
      <c r="A12" s="380"/>
      <c r="B12" s="1888">
        <v>111</v>
      </c>
      <c r="C12" s="381"/>
      <c r="D12" s="382">
        <v>100</v>
      </c>
      <c r="E12" s="383"/>
      <c r="F12" s="374">
        <f>SUMIF(70:70,E12,71:71)-SUMIF(70:70,C12,71:71)+100</f>
        <v>100</v>
      </c>
      <c r="G12" s="383"/>
      <c r="H12" s="125">
        <f>SUMIF(70:70,G12,71:71)-SUMIF(70:70,C12,71:71)+100</f>
        <v>100</v>
      </c>
      <c r="I12" s="383"/>
      <c r="J12" s="125">
        <f>SUMIF(70:70,I12,71:71)-SUMIF(70:70,C12,71:71)+100</f>
        <v>100</v>
      </c>
      <c r="K12" s="560"/>
      <c r="L12" s="2712"/>
      <c r="M12" s="2713"/>
      <c r="N12" s="2713"/>
      <c r="O12" s="2713"/>
      <c r="P12" s="4079"/>
      <c r="Q12" s="1338">
        <f t="shared" si="6"/>
        <v>111</v>
      </c>
      <c r="R12" s="699" t="s">
        <v>14</v>
      </c>
      <c r="S12" s="700">
        <f t="shared" si="0"/>
        <v>100</v>
      </c>
      <c r="T12" s="699" t="s">
        <v>14</v>
      </c>
      <c r="U12" s="700">
        <f t="shared" si="1"/>
        <v>100</v>
      </c>
      <c r="V12" s="699" t="s">
        <v>14</v>
      </c>
      <c r="W12" s="700">
        <f t="shared" si="2"/>
        <v>100</v>
      </c>
      <c r="X12" s="701"/>
      <c r="Y12" s="3943"/>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560"/>
      <c r="L13" s="2717"/>
      <c r="M13" s="2711"/>
      <c r="N13" s="2711"/>
      <c r="O13" s="2711"/>
      <c r="P13" s="4079"/>
      <c r="Q13" s="1338">
        <f t="shared" si="6"/>
        <v>111</v>
      </c>
      <c r="R13" s="699" t="s">
        <v>14</v>
      </c>
      <c r="S13" s="700">
        <f t="shared" si="0"/>
        <v>100</v>
      </c>
      <c r="T13" s="699" t="s">
        <v>14</v>
      </c>
      <c r="U13" s="700">
        <f t="shared" si="1"/>
        <v>100</v>
      </c>
      <c r="V13" s="699" t="s">
        <v>14</v>
      </c>
      <c r="W13" s="700">
        <f t="shared" si="2"/>
        <v>100</v>
      </c>
      <c r="X13" s="701"/>
      <c r="Y13" s="3943"/>
      <c r="Z13" s="50">
        <f t="shared" si="7"/>
        <v>111</v>
      </c>
      <c r="AA13" s="702">
        <f t="shared" si="3"/>
        <v>1</v>
      </c>
      <c r="AB13" s="702">
        <f t="shared" si="4"/>
        <v>1</v>
      </c>
      <c r="AC13" s="702">
        <f t="shared" si="5"/>
        <v>1</v>
      </c>
    </row>
    <row r="14" spans="1:29" ht="15.75" thickBot="1">
      <c r="A14" s="385"/>
      <c r="B14" s="1890">
        <v>111</v>
      </c>
      <c r="C14" s="386"/>
      <c r="D14" s="387">
        <v>100</v>
      </c>
      <c r="E14" s="383"/>
      <c r="F14" s="388">
        <f>SUMIF(74:74,E14,75:75)-SUMIF(74:74,C14,75:75)+100</f>
        <v>100</v>
      </c>
      <c r="G14" s="383"/>
      <c r="H14" s="387">
        <f>SUMIF(74:74,G14,75:75)-SUMIF(74:74,C14,75:75)+100</f>
        <v>100</v>
      </c>
      <c r="I14" s="383"/>
      <c r="J14" s="387">
        <f>SUMIF(74:74,I14,75:75)-SUMIF(74:74,C14,75:75)+100</f>
        <v>100</v>
      </c>
      <c r="K14" s="560"/>
      <c r="L14" s="2717"/>
      <c r="M14" s="2711"/>
      <c r="N14" s="2711"/>
      <c r="O14" s="2711"/>
      <c r="P14" s="4079"/>
      <c r="Q14" s="1338">
        <f t="shared" si="6"/>
        <v>111</v>
      </c>
      <c r="R14" s="699" t="s">
        <v>14</v>
      </c>
      <c r="S14" s="700">
        <f t="shared" si="0"/>
        <v>100</v>
      </c>
      <c r="T14" s="699" t="s">
        <v>14</v>
      </c>
      <c r="U14" s="700">
        <f t="shared" si="1"/>
        <v>100</v>
      </c>
      <c r="V14" s="699" t="s">
        <v>14</v>
      </c>
      <c r="W14" s="700">
        <f t="shared" si="2"/>
        <v>100</v>
      </c>
      <c r="X14" s="701"/>
      <c r="Y14" s="3943"/>
      <c r="Z14" s="50">
        <f t="shared" si="7"/>
        <v>111</v>
      </c>
      <c r="AA14" s="702">
        <f t="shared" si="3"/>
        <v>1</v>
      </c>
      <c r="AB14" s="702">
        <f t="shared" si="4"/>
        <v>1</v>
      </c>
      <c r="AC14" s="702">
        <f t="shared" si="5"/>
        <v>1</v>
      </c>
    </row>
    <row r="15" spans="1:29" ht="15">
      <c r="A15" s="389" t="s">
        <v>1690</v>
      </c>
      <c r="B15" s="59" t="s">
        <v>1777</v>
      </c>
      <c r="C15" s="1891">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7"/>
      <c r="M15" s="2711"/>
      <c r="N15" s="2711"/>
      <c r="O15" s="2711"/>
      <c r="P15" s="4077" t="s">
        <v>1691</v>
      </c>
      <c r="Q15" s="1347" t="str">
        <f t="shared" si="6"/>
        <v>商业繁华度</v>
      </c>
      <c r="R15" s="703" t="s">
        <v>14</v>
      </c>
      <c r="S15" s="704">
        <f t="shared" si="0"/>
        <v>100</v>
      </c>
      <c r="T15" s="703" t="s">
        <v>14</v>
      </c>
      <c r="U15" s="704">
        <f t="shared" si="1"/>
        <v>100</v>
      </c>
      <c r="V15" s="703" t="s">
        <v>14</v>
      </c>
      <c r="W15" s="704">
        <f t="shared" si="2"/>
        <v>100</v>
      </c>
      <c r="X15" s="1350"/>
      <c r="Y15" s="4070" t="s">
        <v>1691</v>
      </c>
      <c r="Z15" s="1351" t="str">
        <f t="shared" si="7"/>
        <v>商业繁华度</v>
      </c>
      <c r="AA15" s="1348">
        <f t="shared" si="3"/>
        <v>1</v>
      </c>
      <c r="AB15" s="1348">
        <f t="shared" si="4"/>
        <v>1</v>
      </c>
      <c r="AC15" s="1348">
        <f t="shared" si="5"/>
        <v>1</v>
      </c>
    </row>
    <row r="16" spans="1:29" ht="15">
      <c r="A16" s="377"/>
      <c r="B16" s="395"/>
      <c r="C16" s="396"/>
      <c r="D16" s="397"/>
      <c r="E16" s="396"/>
      <c r="F16" s="398"/>
      <c r="G16" s="396"/>
      <c r="H16" s="399"/>
      <c r="I16" s="396"/>
      <c r="J16" s="397"/>
      <c r="K16" s="562"/>
      <c r="L16" s="2717"/>
      <c r="M16" s="2711"/>
      <c r="N16" s="2711"/>
      <c r="O16" s="2711"/>
      <c r="P16" s="4078"/>
      <c r="Q16" s="1347"/>
      <c r="R16" s="703"/>
      <c r="S16" s="704"/>
      <c r="T16" s="703"/>
      <c r="U16" s="704"/>
      <c r="V16" s="703"/>
      <c r="W16" s="704"/>
      <c r="X16" s="1350"/>
      <c r="Y16" s="4071"/>
      <c r="Z16" s="1351"/>
      <c r="AA16" s="1348">
        <v>1</v>
      </c>
      <c r="AB16" s="1348">
        <v>1</v>
      </c>
      <c r="AC16" s="1348">
        <v>1</v>
      </c>
    </row>
    <row r="17" spans="1:29" ht="15">
      <c r="A17" s="377"/>
      <c r="B17" s="400" t="s">
        <v>1259</v>
      </c>
      <c r="C17" s="1895">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7"/>
      <c r="M17" s="2711"/>
      <c r="N17" s="2711"/>
      <c r="O17" s="2711"/>
      <c r="P17" s="4078"/>
      <c r="Q17" s="1347" t="str">
        <f>B17</f>
        <v>交通便捷度</v>
      </c>
      <c r="R17" s="703" t="s">
        <v>14</v>
      </c>
      <c r="S17" s="704">
        <f>F17</f>
        <v>100</v>
      </c>
      <c r="T17" s="703" t="s">
        <v>14</v>
      </c>
      <c r="U17" s="704">
        <f>H17</f>
        <v>100</v>
      </c>
      <c r="V17" s="703" t="s">
        <v>14</v>
      </c>
      <c r="W17" s="704">
        <f>J17</f>
        <v>100</v>
      </c>
      <c r="X17" s="1350"/>
      <c r="Y17" s="4071"/>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2717"/>
      <c r="M18" s="2711"/>
      <c r="N18" s="2711"/>
      <c r="O18" s="2711"/>
      <c r="P18" s="4078"/>
      <c r="Q18" s="1347"/>
      <c r="R18" s="703"/>
      <c r="S18" s="704"/>
      <c r="T18" s="703"/>
      <c r="U18" s="704"/>
      <c r="V18" s="703"/>
      <c r="W18" s="704"/>
      <c r="X18" s="1350"/>
      <c r="Y18" s="4071"/>
      <c r="Z18" s="1351"/>
      <c r="AA18" s="1348">
        <v>1</v>
      </c>
      <c r="AB18" s="1348">
        <v>1</v>
      </c>
      <c r="AC18" s="1348">
        <v>1</v>
      </c>
    </row>
    <row r="19" spans="1:29" ht="15">
      <c r="A19" s="377"/>
      <c r="B19" s="400" t="s">
        <v>1778</v>
      </c>
      <c r="C19" s="1895">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7"/>
      <c r="M19" s="2711"/>
      <c r="N19" s="2711"/>
      <c r="O19" s="2711"/>
      <c r="P19" s="4078"/>
      <c r="Q19" s="1347" t="str">
        <f>B19</f>
        <v>公共配套设施</v>
      </c>
      <c r="R19" s="703" t="s">
        <v>14</v>
      </c>
      <c r="S19" s="704">
        <f>F19</f>
        <v>100</v>
      </c>
      <c r="T19" s="703" t="s">
        <v>14</v>
      </c>
      <c r="U19" s="704">
        <f>H19</f>
        <v>100</v>
      </c>
      <c r="V19" s="703" t="s">
        <v>14</v>
      </c>
      <c r="W19" s="704">
        <f>J19</f>
        <v>100</v>
      </c>
      <c r="X19" s="1350"/>
      <c r="Y19" s="4071"/>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2717"/>
      <c r="M20" s="2711"/>
      <c r="N20" s="2711"/>
      <c r="O20" s="2711"/>
      <c r="P20" s="4078"/>
      <c r="Q20" s="1347"/>
      <c r="R20" s="703"/>
      <c r="S20" s="704"/>
      <c r="T20" s="703"/>
      <c r="U20" s="704"/>
      <c r="V20" s="703"/>
      <c r="W20" s="704"/>
      <c r="X20" s="1350"/>
      <c r="Y20" s="4071"/>
      <c r="Z20" s="1351"/>
      <c r="AA20" s="1348">
        <v>1</v>
      </c>
      <c r="AB20" s="1348">
        <v>1</v>
      </c>
      <c r="AC20" s="1348">
        <v>1</v>
      </c>
    </row>
    <row r="21" spans="1:29" ht="15">
      <c r="A21" s="377"/>
      <c r="B21" s="1126" t="s">
        <v>1779</v>
      </c>
      <c r="C21" s="1895">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7"/>
      <c r="M21" s="2711"/>
      <c r="N21" s="2711"/>
      <c r="O21" s="2711"/>
      <c r="P21" s="4078"/>
      <c r="Q21" s="1347" t="str">
        <f>B21</f>
        <v>基础设施水平</v>
      </c>
      <c r="R21" s="703" t="s">
        <v>14</v>
      </c>
      <c r="S21" s="704">
        <f>F21</f>
        <v>100</v>
      </c>
      <c r="T21" s="703" t="s">
        <v>14</v>
      </c>
      <c r="U21" s="704">
        <f>H21</f>
        <v>100</v>
      </c>
      <c r="V21" s="703" t="s">
        <v>14</v>
      </c>
      <c r="W21" s="704">
        <f>J21</f>
        <v>100</v>
      </c>
      <c r="X21" s="1350"/>
      <c r="Y21" s="4071"/>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2717"/>
      <c r="M22" s="2711"/>
      <c r="N22" s="2711"/>
      <c r="O22" s="2711"/>
      <c r="P22" s="4078"/>
      <c r="Q22" s="1347"/>
      <c r="R22" s="703"/>
      <c r="S22" s="704"/>
      <c r="T22" s="703"/>
      <c r="U22" s="704"/>
      <c r="V22" s="703"/>
      <c r="W22" s="704"/>
      <c r="X22" s="1350"/>
      <c r="Y22" s="4071"/>
      <c r="Z22" s="1351"/>
      <c r="AA22" s="1348">
        <v>1</v>
      </c>
      <c r="AB22" s="1348">
        <v>1</v>
      </c>
      <c r="AC22" s="1348">
        <v>1</v>
      </c>
    </row>
    <row r="23" spans="1:29" ht="15">
      <c r="A23" s="377"/>
      <c r="B23" s="400" t="s">
        <v>1261</v>
      </c>
      <c r="C23" s="1950">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7"/>
      <c r="M23" s="2711"/>
      <c r="N23" s="2711"/>
      <c r="O23" s="2711"/>
      <c r="P23" s="4078"/>
      <c r="Q23" s="1347" t="str">
        <f>B23</f>
        <v>自然及人文环境</v>
      </c>
      <c r="R23" s="703" t="s">
        <v>14</v>
      </c>
      <c r="S23" s="704">
        <f>F23</f>
        <v>100</v>
      </c>
      <c r="T23" s="703" t="s">
        <v>14</v>
      </c>
      <c r="U23" s="704">
        <f>H23</f>
        <v>100</v>
      </c>
      <c r="V23" s="703" t="s">
        <v>14</v>
      </c>
      <c r="W23" s="704">
        <f>J23</f>
        <v>100</v>
      </c>
      <c r="X23" s="1350"/>
      <c r="Y23" s="4071"/>
      <c r="Z23" s="1351" t="str">
        <f>Q23</f>
        <v>自然及人文环境</v>
      </c>
      <c r="AA23" s="1348">
        <f t="shared" si="3"/>
        <v>1</v>
      </c>
      <c r="AB23" s="1348">
        <f t="shared" si="4"/>
        <v>1</v>
      </c>
      <c r="AC23" s="1348">
        <f t="shared" si="5"/>
        <v>1</v>
      </c>
    </row>
    <row r="24" spans="1:29" ht="15">
      <c r="A24" s="377"/>
      <c r="B24" s="405"/>
      <c r="C24" s="396"/>
      <c r="D24" s="397"/>
      <c r="E24" s="1893"/>
      <c r="F24" s="398"/>
      <c r="G24" s="1892"/>
      <c r="H24" s="397"/>
      <c r="I24" s="1893"/>
      <c r="J24" s="397"/>
      <c r="K24" s="562"/>
      <c r="L24" s="2717"/>
      <c r="M24" s="2711"/>
      <c r="N24" s="2711"/>
      <c r="O24" s="2711"/>
      <c r="P24" s="4078"/>
      <c r="Q24" s="1347"/>
      <c r="R24" s="703"/>
      <c r="S24" s="704"/>
      <c r="T24" s="703"/>
      <c r="U24" s="704"/>
      <c r="V24" s="703"/>
      <c r="W24" s="704"/>
      <c r="X24" s="1350"/>
      <c r="Y24" s="4071"/>
      <c r="Z24" s="1351"/>
      <c r="AA24" s="1348">
        <v>1</v>
      </c>
      <c r="AB24" s="1348">
        <v>1</v>
      </c>
      <c r="AC24" s="1348">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7"/>
      <c r="M25" s="2711"/>
      <c r="N25" s="2711"/>
      <c r="O25" s="2711"/>
      <c r="P25" s="4078"/>
      <c r="Q25" s="1347" t="str">
        <f t="shared" ref="Q25:Q46" si="11">B25</f>
        <v>临街状况</v>
      </c>
      <c r="R25" s="703" t="s">
        <v>14</v>
      </c>
      <c r="S25" s="704">
        <f>F25</f>
        <v>100</v>
      </c>
      <c r="T25" s="703" t="s">
        <v>14</v>
      </c>
      <c r="U25" s="704">
        <f>H25</f>
        <v>100</v>
      </c>
      <c r="V25" s="703" t="s">
        <v>14</v>
      </c>
      <c r="W25" s="704">
        <f>J25</f>
        <v>100</v>
      </c>
      <c r="X25" s="1350"/>
      <c r="Y25" s="4071"/>
      <c r="Z25" s="1351" t="str">
        <f>Q25</f>
        <v>临街状况</v>
      </c>
      <c r="AA25" s="1348">
        <f t="shared" si="3"/>
        <v>1</v>
      </c>
      <c r="AB25" s="1348">
        <f t="shared" si="4"/>
        <v>1</v>
      </c>
      <c r="AC25" s="1348">
        <f t="shared" si="5"/>
        <v>1</v>
      </c>
    </row>
    <row r="26" spans="1:29" ht="15">
      <c r="A26" s="377"/>
      <c r="B26" s="1128" t="s">
        <v>1781</v>
      </c>
      <c r="C26" s="383"/>
      <c r="D26" s="384">
        <v>100</v>
      </c>
      <c r="E26" s="383"/>
      <c r="F26" s="410">
        <f>SUMIF(88:88,E26,89:89)-SUMIF(88:88,C26,89:89)+100</f>
        <v>100</v>
      </c>
      <c r="G26" s="383"/>
      <c r="H26" s="384">
        <f>SUMIF(88:88,G26,89:89)-SUMIF(88:88,C26,89:89)+100</f>
        <v>100</v>
      </c>
      <c r="I26" s="383"/>
      <c r="J26" s="384">
        <f>SUMIF(88:88,I26,89:89)-SUMIF(88:88,C26,89:89)+100</f>
        <v>100</v>
      </c>
      <c r="K26" s="560"/>
      <c r="L26" s="2717"/>
      <c r="M26" s="2711"/>
      <c r="N26" s="2711"/>
      <c r="O26" s="2711"/>
      <c r="P26" s="4078"/>
      <c r="Q26" s="1347" t="str">
        <f t="shared" si="11"/>
        <v>平面位置/可视性</v>
      </c>
      <c r="R26" s="703" t="s">
        <v>14</v>
      </c>
      <c r="S26" s="704">
        <f>F26</f>
        <v>100</v>
      </c>
      <c r="T26" s="703" t="s">
        <v>14</v>
      </c>
      <c r="U26" s="704">
        <f>H26</f>
        <v>100</v>
      </c>
      <c r="V26" s="703" t="s">
        <v>14</v>
      </c>
      <c r="W26" s="704">
        <f>J26</f>
        <v>100</v>
      </c>
      <c r="X26" s="1350"/>
      <c r="Y26" s="4071"/>
      <c r="Z26" s="1351" t="str">
        <f>Q26</f>
        <v>平面位置/可视性</v>
      </c>
      <c r="AA26" s="1348">
        <f t="shared" si="3"/>
        <v>1</v>
      </c>
      <c r="AB26" s="1348">
        <f t="shared" si="4"/>
        <v>1</v>
      </c>
      <c r="AC26" s="1348">
        <f t="shared" si="5"/>
        <v>1</v>
      </c>
    </row>
    <row r="27" spans="1:29" s="106" customFormat="1" ht="15">
      <c r="A27" s="380"/>
      <c r="B27" s="400" t="s">
        <v>1782</v>
      </c>
      <c r="C27" s="1951"/>
      <c r="D27" s="411">
        <v>100</v>
      </c>
      <c r="E27" s="1951"/>
      <c r="F27" s="413">
        <f>SUMIF(90:90,E27,91:91)-SUMIF(90:90,C27,91:91)+100</f>
        <v>100</v>
      </c>
      <c r="G27" s="1951"/>
      <c r="H27" s="411">
        <f>SUMIF(90:90,G27,91:91)-SUMIF(90:90,C27,91:91)+100</f>
        <v>100</v>
      </c>
      <c r="I27" s="1951"/>
      <c r="J27" s="411">
        <f>SUMIF(90:90,I27,91:91)-SUMIF(90:90,C27,91:91)+100</f>
        <v>100</v>
      </c>
      <c r="K27" s="559"/>
      <c r="L27" s="2712"/>
      <c r="M27" s="2713"/>
      <c r="N27" s="2713"/>
      <c r="O27" s="2713"/>
      <c r="P27" s="4078"/>
      <c r="Q27" s="1338" t="str">
        <f t="shared" si="11"/>
        <v>人流量</v>
      </c>
      <c r="R27" s="699" t="s">
        <v>14</v>
      </c>
      <c r="S27" s="700">
        <f>F27</f>
        <v>100</v>
      </c>
      <c r="T27" s="699" t="s">
        <v>14</v>
      </c>
      <c r="U27" s="700">
        <f>H27</f>
        <v>100</v>
      </c>
      <c r="V27" s="699" t="s">
        <v>14</v>
      </c>
      <c r="W27" s="700">
        <f>J27</f>
        <v>100</v>
      </c>
      <c r="X27" s="701"/>
      <c r="Y27" s="4071"/>
      <c r="Z27" s="50" t="str">
        <f>Q27</f>
        <v>人流量</v>
      </c>
      <c r="AA27" s="1348">
        <f>D27/F27</f>
        <v>1</v>
      </c>
      <c r="AB27" s="1348">
        <f>D27/H27</f>
        <v>1</v>
      </c>
      <c r="AC27" s="1348">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7"/>
      <c r="M28" s="2711"/>
      <c r="N28" s="2711"/>
      <c r="O28" s="2711"/>
      <c r="P28" s="4078"/>
      <c r="Q28" s="1347" t="str">
        <f t="shared" si="11"/>
        <v>楼层</v>
      </c>
      <c r="R28" s="703" t="s">
        <v>14</v>
      </c>
      <c r="S28" s="704">
        <f t="shared" ref="S28:S46" si="12">F28</f>
        <v>100</v>
      </c>
      <c r="T28" s="703" t="s">
        <v>14</v>
      </c>
      <c r="U28" s="704">
        <f t="shared" ref="U28:U46" si="13">H28</f>
        <v>100</v>
      </c>
      <c r="V28" s="703" t="s">
        <v>14</v>
      </c>
      <c r="W28" s="704">
        <f t="shared" ref="W28:W46" si="14">J28</f>
        <v>100</v>
      </c>
      <c r="X28" s="1350"/>
      <c r="Y28" s="4071"/>
      <c r="Z28" s="1351" t="str">
        <f t="shared" ref="Z28:Z46" si="15">Q28</f>
        <v>楼层</v>
      </c>
      <c r="AA28" s="1348">
        <f t="shared" si="3"/>
        <v>1</v>
      </c>
      <c r="AB28" s="1348">
        <f t="shared" si="4"/>
        <v>1</v>
      </c>
      <c r="AC28" s="1348">
        <f t="shared" si="5"/>
        <v>1</v>
      </c>
    </row>
    <row r="29" spans="1:29" ht="15">
      <c r="A29" s="377"/>
      <c r="B29" s="1128">
        <v>111</v>
      </c>
      <c r="C29" s="383"/>
      <c r="D29" s="384">
        <v>100</v>
      </c>
      <c r="E29" s="383"/>
      <c r="F29" s="410">
        <f>SUMIF(94:94,E29,95:95)-SUMIF(94:94,C29,95:95)+100</f>
        <v>100</v>
      </c>
      <c r="G29" s="383"/>
      <c r="H29" s="384">
        <f>SUMIF(94:94,G29,95:95)-SUMIF(94:94,C29,95:95)+100</f>
        <v>100</v>
      </c>
      <c r="I29" s="383"/>
      <c r="J29" s="384">
        <f>SUMIF(94:94,I29,95:95)-SUMIF(94:94,C29,95:95)+100</f>
        <v>100</v>
      </c>
      <c r="K29" s="560"/>
      <c r="L29" s="2717"/>
      <c r="M29" s="2711"/>
      <c r="N29" s="2711"/>
      <c r="O29" s="2711"/>
      <c r="P29" s="4078"/>
      <c r="Q29" s="1347">
        <f t="shared" si="11"/>
        <v>111</v>
      </c>
      <c r="R29" s="703" t="s">
        <v>14</v>
      </c>
      <c r="S29" s="704">
        <f t="shared" si="12"/>
        <v>100</v>
      </c>
      <c r="T29" s="703" t="s">
        <v>14</v>
      </c>
      <c r="U29" s="704">
        <f t="shared" si="13"/>
        <v>100</v>
      </c>
      <c r="V29" s="703" t="s">
        <v>14</v>
      </c>
      <c r="W29" s="704">
        <f t="shared" si="14"/>
        <v>100</v>
      </c>
      <c r="X29" s="1350"/>
      <c r="Y29" s="4071"/>
      <c r="Z29" s="1351">
        <f t="shared" si="15"/>
        <v>111</v>
      </c>
      <c r="AA29" s="1348">
        <f t="shared" si="3"/>
        <v>1</v>
      </c>
      <c r="AB29" s="1348">
        <f t="shared" si="4"/>
        <v>1</v>
      </c>
      <c r="AC29" s="1348">
        <f t="shared" si="5"/>
        <v>1</v>
      </c>
    </row>
    <row r="30" spans="1:29" ht="15">
      <c r="A30" s="377"/>
      <c r="B30" s="1128">
        <v>111</v>
      </c>
      <c r="C30" s="383"/>
      <c r="D30" s="384">
        <v>100</v>
      </c>
      <c r="E30" s="383"/>
      <c r="F30" s="410">
        <f>SUMIF(96:96,E30,97:97)-SUMIF(96:96,C30,97:97)+100</f>
        <v>100</v>
      </c>
      <c r="G30" s="383"/>
      <c r="H30" s="384">
        <f>SUMIF(96:96,G30,97:97)-SUMIF(96:96,C30,97:97)+100</f>
        <v>100</v>
      </c>
      <c r="I30" s="383"/>
      <c r="J30" s="384">
        <f>SUMIF(96:96,I30,97:97)-SUMIF(96:96,C30,97:97)+100</f>
        <v>100</v>
      </c>
      <c r="K30" s="560"/>
      <c r="L30" s="2717"/>
      <c r="M30" s="2711"/>
      <c r="N30" s="2711"/>
      <c r="O30" s="2711"/>
      <c r="P30" s="4078"/>
      <c r="Q30" s="1347">
        <f t="shared" si="11"/>
        <v>111</v>
      </c>
      <c r="R30" s="703" t="s">
        <v>14</v>
      </c>
      <c r="S30" s="704">
        <f t="shared" si="12"/>
        <v>100</v>
      </c>
      <c r="T30" s="703" t="s">
        <v>14</v>
      </c>
      <c r="U30" s="704">
        <f t="shared" si="13"/>
        <v>100</v>
      </c>
      <c r="V30" s="703" t="s">
        <v>14</v>
      </c>
      <c r="W30" s="704">
        <f t="shared" si="14"/>
        <v>100</v>
      </c>
      <c r="X30" s="1350"/>
      <c r="Y30" s="4071"/>
      <c r="Z30" s="1351">
        <f t="shared" si="15"/>
        <v>111</v>
      </c>
      <c r="AA30" s="1348">
        <f t="shared" si="3"/>
        <v>1</v>
      </c>
      <c r="AB30" s="1348">
        <f t="shared" si="4"/>
        <v>1</v>
      </c>
      <c r="AC30" s="1348">
        <f t="shared" si="5"/>
        <v>1</v>
      </c>
    </row>
    <row r="31" spans="1:29" ht="15.75" thickBot="1">
      <c r="A31" s="385"/>
      <c r="B31" s="1128">
        <v>111</v>
      </c>
      <c r="C31" s="386"/>
      <c r="D31" s="387">
        <v>100</v>
      </c>
      <c r="E31" s="383"/>
      <c r="F31" s="388">
        <f>SUMIF(98:98,E31,99:99)-SUMIF(98:98,C31,99:99)+100</f>
        <v>100</v>
      </c>
      <c r="G31" s="383"/>
      <c r="H31" s="387">
        <f>SUMIF(98:98,G31,99:99)-SUMIF(98:98,C31,99:99)+100</f>
        <v>100</v>
      </c>
      <c r="I31" s="383"/>
      <c r="J31" s="387">
        <f>SUMIF(98:98,I31,99:99)-SUMIF(98:98,C31,99:99)+100</f>
        <v>100</v>
      </c>
      <c r="K31" s="560"/>
      <c r="L31" s="2717"/>
      <c r="M31" s="2711"/>
      <c r="N31" s="2711"/>
      <c r="O31" s="2711"/>
      <c r="P31" s="4078"/>
      <c r="Q31" s="1347">
        <f t="shared" si="11"/>
        <v>111</v>
      </c>
      <c r="R31" s="703" t="s">
        <v>14</v>
      </c>
      <c r="S31" s="704">
        <f t="shared" si="12"/>
        <v>100</v>
      </c>
      <c r="T31" s="703" t="s">
        <v>14</v>
      </c>
      <c r="U31" s="704">
        <f t="shared" si="13"/>
        <v>100</v>
      </c>
      <c r="V31" s="703" t="s">
        <v>14</v>
      </c>
      <c r="W31" s="704">
        <f t="shared" si="14"/>
        <v>100</v>
      </c>
      <c r="X31" s="1350"/>
      <c r="Y31" s="4071"/>
      <c r="Z31" s="1351">
        <f t="shared" si="15"/>
        <v>111</v>
      </c>
      <c r="AA31" s="1348">
        <f t="shared" si="3"/>
        <v>1</v>
      </c>
      <c r="AB31" s="1348">
        <f t="shared" si="4"/>
        <v>1</v>
      </c>
      <c r="AC31" s="1348">
        <f t="shared" si="5"/>
        <v>1</v>
      </c>
    </row>
    <row r="32" spans="1:29" ht="15">
      <c r="A32" s="389" t="s">
        <v>1694</v>
      </c>
      <c r="B32" s="61" t="s">
        <v>1784</v>
      </c>
      <c r="C32" s="1905"/>
      <c r="D32" s="416">
        <v>100</v>
      </c>
      <c r="E32" s="1905"/>
      <c r="F32" s="410">
        <f>SUMIF(100:100,E32,101:101)-SUMIF(100:100,C32,101:101)+100</f>
        <v>100</v>
      </c>
      <c r="G32" s="1905"/>
      <c r="H32" s="384">
        <f>SUMIF(100:100,G32,101:101)-SUMIF(100:100,C32,101:101)+100</f>
        <v>100</v>
      </c>
      <c r="I32" s="1905"/>
      <c r="J32" s="416">
        <f>SUMIF(100:100,I32,101:101)-SUMIF(100:100,C32,101:101)+100</f>
        <v>100</v>
      </c>
      <c r="K32" s="559"/>
      <c r="L32" s="2717"/>
      <c r="M32" s="2711"/>
      <c r="N32" s="2711"/>
      <c r="O32" s="2711"/>
      <c r="P32" s="4072" t="s">
        <v>1696</v>
      </c>
      <c r="Q32" s="1347" t="str">
        <f t="shared" si="11"/>
        <v>商业类型</v>
      </c>
      <c r="R32" s="703" t="s">
        <v>14</v>
      </c>
      <c r="S32" s="704">
        <f t="shared" si="12"/>
        <v>100</v>
      </c>
      <c r="T32" s="703" t="s">
        <v>14</v>
      </c>
      <c r="U32" s="704">
        <f t="shared" si="13"/>
        <v>100</v>
      </c>
      <c r="V32" s="703" t="s">
        <v>14</v>
      </c>
      <c r="W32" s="704">
        <f t="shared" si="14"/>
        <v>100</v>
      </c>
      <c r="X32" s="1350"/>
      <c r="Y32" s="4075" t="s">
        <v>1696</v>
      </c>
      <c r="Z32" s="1351" t="str">
        <f t="shared" si="15"/>
        <v>商业类型</v>
      </c>
      <c r="AA32" s="1348">
        <f t="shared" si="3"/>
        <v>1</v>
      </c>
      <c r="AB32" s="1348">
        <f t="shared" si="4"/>
        <v>1</v>
      </c>
      <c r="AC32" s="1348">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6"/>
      <c r="M33" s="2718"/>
      <c r="N33" s="2718"/>
      <c r="O33" s="2718"/>
      <c r="P33" s="4073"/>
      <c r="Q33" s="705" t="str">
        <f t="shared" si="11"/>
        <v>项目建筑规模</v>
      </c>
      <c r="R33" s="706" t="s">
        <v>14</v>
      </c>
      <c r="S33" s="707" t="e">
        <f t="shared" si="12"/>
        <v>#N/A</v>
      </c>
      <c r="T33" s="706" t="s">
        <v>14</v>
      </c>
      <c r="U33" s="707" t="e">
        <f t="shared" si="13"/>
        <v>#N/A</v>
      </c>
      <c r="V33" s="706" t="s">
        <v>14</v>
      </c>
      <c r="W33" s="707" t="e">
        <f t="shared" si="14"/>
        <v>#N/A</v>
      </c>
      <c r="X33" s="708"/>
      <c r="Y33" s="4075"/>
      <c r="Z33" s="709" t="str">
        <f t="shared" si="15"/>
        <v>项目建筑规模</v>
      </c>
      <c r="AA33" s="1348" t="e">
        <f t="shared" si="3"/>
        <v>#N/A</v>
      </c>
      <c r="AB33" s="1348" t="e">
        <f t="shared" si="4"/>
        <v>#N/A</v>
      </c>
      <c r="AC33" s="1348" t="e">
        <f t="shared" si="5"/>
        <v>#N/A</v>
      </c>
    </row>
    <row r="34" spans="1:29" ht="15">
      <c r="A34" s="421"/>
      <c r="B34" s="373" t="s">
        <v>1698</v>
      </c>
      <c r="C34" s="1907"/>
      <c r="D34" s="384">
        <v>100</v>
      </c>
      <c r="E34" s="1907"/>
      <c r="F34" s="410">
        <f>SUMIF(105:105,E34,106:106)-SUMIF(105:105,C34,106:106)+100</f>
        <v>100</v>
      </c>
      <c r="G34" s="1907"/>
      <c r="H34" s="384">
        <f>SUMIF(105:105,G34,106:106)-SUMIF(105:105,C34,106:106)+100</f>
        <v>100</v>
      </c>
      <c r="I34" s="1907"/>
      <c r="J34" s="384">
        <f>SUMIF(105:105,I34,106:106)-SUMIF(105:105,C34,106:106)+100</f>
        <v>100</v>
      </c>
      <c r="K34" s="559"/>
      <c r="L34" s="2717"/>
      <c r="M34" s="2711"/>
      <c r="N34" s="2711"/>
      <c r="O34" s="2711"/>
      <c r="P34" s="4073"/>
      <c r="Q34" s="1347" t="str">
        <f t="shared" si="11"/>
        <v>建筑结构</v>
      </c>
      <c r="R34" s="703" t="s">
        <v>14</v>
      </c>
      <c r="S34" s="704">
        <f t="shared" si="12"/>
        <v>100</v>
      </c>
      <c r="T34" s="703" t="s">
        <v>14</v>
      </c>
      <c r="U34" s="704">
        <f t="shared" si="13"/>
        <v>100</v>
      </c>
      <c r="V34" s="703" t="s">
        <v>14</v>
      </c>
      <c r="W34" s="704">
        <f t="shared" si="14"/>
        <v>100</v>
      </c>
      <c r="X34" s="1350"/>
      <c r="Y34" s="4075"/>
      <c r="Z34" s="1351" t="str">
        <f t="shared" si="15"/>
        <v>建筑结构</v>
      </c>
      <c r="AA34" s="1348">
        <f t="shared" si="3"/>
        <v>1</v>
      </c>
      <c r="AB34" s="1348">
        <f t="shared" si="4"/>
        <v>1</v>
      </c>
      <c r="AC34" s="1348">
        <f t="shared" si="5"/>
        <v>1</v>
      </c>
    </row>
    <row r="35" spans="1:29" ht="15">
      <c r="A35" s="421"/>
      <c r="B35" s="373" t="s">
        <v>1785</v>
      </c>
      <c r="C35" s="1901"/>
      <c r="D35" s="384">
        <v>100</v>
      </c>
      <c r="E35" s="1901"/>
      <c r="F35" s="410">
        <f>SUMIF(107:107,E35,108:108)-SUMIF(107:107,C35,108:108)+100</f>
        <v>100</v>
      </c>
      <c r="G35" s="1901"/>
      <c r="H35" s="384">
        <f>SUMIF(107:107,G35,108:108)-SUMIF(107:107,C35,108:108)+100</f>
        <v>100</v>
      </c>
      <c r="I35" s="1901"/>
      <c r="J35" s="384">
        <f>SUMIF(107:107,I35,108:108)-SUMIF(107:107,C35,108:108)+100</f>
        <v>100</v>
      </c>
      <c r="K35" s="559"/>
      <c r="L35" s="2717"/>
      <c r="M35" s="2711"/>
      <c r="N35" s="2711"/>
      <c r="O35" s="2711"/>
      <c r="P35" s="4073"/>
      <c r="Q35" s="1347" t="str">
        <f t="shared" si="11"/>
        <v>公共部分装修</v>
      </c>
      <c r="R35" s="703" t="s">
        <v>14</v>
      </c>
      <c r="S35" s="704">
        <f t="shared" si="12"/>
        <v>100</v>
      </c>
      <c r="T35" s="703" t="s">
        <v>14</v>
      </c>
      <c r="U35" s="704">
        <f t="shared" si="13"/>
        <v>100</v>
      </c>
      <c r="V35" s="703" t="s">
        <v>14</v>
      </c>
      <c r="W35" s="704">
        <f t="shared" si="14"/>
        <v>100</v>
      </c>
      <c r="X35" s="1350"/>
      <c r="Y35" s="4075"/>
      <c r="Z35" s="1351" t="str">
        <f t="shared" si="15"/>
        <v>公共部分装修</v>
      </c>
      <c r="AA35" s="1348">
        <f t="shared" si="3"/>
        <v>1</v>
      </c>
      <c r="AB35" s="1348">
        <f t="shared" si="4"/>
        <v>1</v>
      </c>
      <c r="AC35" s="1348">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7"/>
      <c r="M36" s="2711"/>
      <c r="N36" s="2711"/>
      <c r="O36" s="2711"/>
      <c r="P36" s="4073"/>
      <c r="Q36" s="1347" t="str">
        <f t="shared" si="11"/>
        <v>成新度</v>
      </c>
      <c r="R36" s="703" t="s">
        <v>14</v>
      </c>
      <c r="S36" s="704" t="e">
        <f t="shared" si="12"/>
        <v>#N/A</v>
      </c>
      <c r="T36" s="703" t="s">
        <v>14</v>
      </c>
      <c r="U36" s="704" t="e">
        <f t="shared" si="13"/>
        <v>#N/A</v>
      </c>
      <c r="V36" s="703" t="s">
        <v>14</v>
      </c>
      <c r="W36" s="704" t="e">
        <f t="shared" si="14"/>
        <v>#N/A</v>
      </c>
      <c r="X36" s="1350"/>
      <c r="Y36" s="4075"/>
      <c r="Z36" s="1351" t="str">
        <f t="shared" si="15"/>
        <v>成新度</v>
      </c>
      <c r="AA36" s="1348" t="e">
        <f t="shared" si="3"/>
        <v>#N/A</v>
      </c>
      <c r="AB36" s="1348" t="e">
        <f t="shared" si="4"/>
        <v>#N/A</v>
      </c>
      <c r="AC36" s="1348" t="e">
        <f t="shared" si="5"/>
        <v>#N/A</v>
      </c>
    </row>
    <row r="37" spans="1:29" s="106" customFormat="1" ht="15">
      <c r="A37" s="422"/>
      <c r="B37" s="373" t="s">
        <v>1787</v>
      </c>
      <c r="C37" s="1901"/>
      <c r="D37" s="125">
        <v>100</v>
      </c>
      <c r="E37" s="1901"/>
      <c r="F37" s="410">
        <f>SUMIF(112:112,E37,113:113)-SUMIF(112:112,C37,113:113)+100</f>
        <v>100</v>
      </c>
      <c r="G37" s="1901"/>
      <c r="H37" s="384">
        <f>SUMIF(112:112,G37,113:113)-SUMIF(112:112,C37,113:113)+100</f>
        <v>100</v>
      </c>
      <c r="I37" s="1901"/>
      <c r="J37" s="384">
        <f>SUMIF(112:112,I37,113:113)-SUMIF(112:112,C37,113:113)+100</f>
        <v>100</v>
      </c>
      <c r="K37" s="559"/>
      <c r="L37" s="2712"/>
      <c r="M37" s="2713"/>
      <c r="N37" s="2713"/>
      <c r="O37" s="2713"/>
      <c r="P37" s="4073"/>
      <c r="Q37" s="1338" t="str">
        <f t="shared" si="11"/>
        <v>市政基础设施</v>
      </c>
      <c r="R37" s="699" t="s">
        <v>14</v>
      </c>
      <c r="S37" s="700">
        <f t="shared" si="12"/>
        <v>100</v>
      </c>
      <c r="T37" s="699" t="s">
        <v>14</v>
      </c>
      <c r="U37" s="700">
        <f t="shared" si="13"/>
        <v>100</v>
      </c>
      <c r="V37" s="699" t="s">
        <v>14</v>
      </c>
      <c r="W37" s="700">
        <f t="shared" si="14"/>
        <v>100</v>
      </c>
      <c r="X37" s="701"/>
      <c r="Y37" s="4075"/>
      <c r="Z37" s="50" t="str">
        <f t="shared" si="15"/>
        <v>市政基础设施</v>
      </c>
      <c r="AA37" s="702">
        <f t="shared" si="3"/>
        <v>1</v>
      </c>
      <c r="AB37" s="702">
        <f t="shared" si="4"/>
        <v>1</v>
      </c>
      <c r="AC37" s="702">
        <f t="shared" si="5"/>
        <v>1</v>
      </c>
    </row>
    <row r="38" spans="1:29" ht="15">
      <c r="A38" s="421"/>
      <c r="B38" s="373" t="s">
        <v>1788</v>
      </c>
      <c r="C38" s="1901"/>
      <c r="D38" s="384">
        <v>100</v>
      </c>
      <c r="E38" s="1901"/>
      <c r="F38" s="410">
        <f>SUMIF(114:114,E38,115:115)-SUMIF(114:114,C38,115:115)+100</f>
        <v>100</v>
      </c>
      <c r="G38" s="1901"/>
      <c r="H38" s="384">
        <f>SUMIF(114:114,G38,115:115)-SUMIF(114:114,C38,115:115)+100</f>
        <v>100</v>
      </c>
      <c r="I38" s="1901"/>
      <c r="J38" s="384">
        <f>SUMIF(114:114,I38,115:115)-SUMIF(114:114,C38,115:115)+100</f>
        <v>100</v>
      </c>
      <c r="K38" s="559"/>
      <c r="L38" s="2717"/>
      <c r="M38" s="2711"/>
      <c r="N38" s="2711"/>
      <c r="O38" s="2711"/>
      <c r="P38" s="4073" t="s">
        <v>1696</v>
      </c>
      <c r="Q38" s="1347" t="str">
        <f t="shared" si="11"/>
        <v>业态</v>
      </c>
      <c r="R38" s="703" t="s">
        <v>14</v>
      </c>
      <c r="S38" s="704">
        <f t="shared" si="12"/>
        <v>100</v>
      </c>
      <c r="T38" s="703" t="s">
        <v>14</v>
      </c>
      <c r="U38" s="704">
        <f t="shared" si="13"/>
        <v>100</v>
      </c>
      <c r="V38" s="703" t="s">
        <v>14</v>
      </c>
      <c r="W38" s="704">
        <f t="shared" si="14"/>
        <v>100</v>
      </c>
      <c r="X38" s="1350"/>
      <c r="Y38" s="4075" t="s">
        <v>1696</v>
      </c>
      <c r="Z38" s="1351" t="str">
        <f t="shared" si="15"/>
        <v>业态</v>
      </c>
      <c r="AA38" s="1348">
        <f t="shared" si="3"/>
        <v>1</v>
      </c>
      <c r="AB38" s="1348">
        <f t="shared" si="4"/>
        <v>1</v>
      </c>
      <c r="AC38" s="1348">
        <f t="shared" si="5"/>
        <v>1</v>
      </c>
    </row>
    <row r="39" spans="1:29" ht="15">
      <c r="A39" s="421"/>
      <c r="B39" s="373" t="s">
        <v>1789</v>
      </c>
      <c r="C39" s="1901"/>
      <c r="D39" s="384">
        <v>100</v>
      </c>
      <c r="E39" s="1901"/>
      <c r="F39" s="410">
        <f>SUMIF(116:116,E39,117:117)-SUMIF(116:116,C39,117:117)+100</f>
        <v>100</v>
      </c>
      <c r="G39" s="1901"/>
      <c r="H39" s="384">
        <f>SUMIF(116:116,G39,117:117)-SUMIF(116:116,C39,117:117)+100</f>
        <v>100</v>
      </c>
      <c r="I39" s="1901"/>
      <c r="J39" s="384">
        <f>SUMIF(116:116,I39,117:117)-SUMIF(116:116,C39,117:117)+100</f>
        <v>100</v>
      </c>
      <c r="K39" s="559"/>
      <c r="L39" s="2717"/>
      <c r="M39" s="2711"/>
      <c r="N39" s="2711"/>
      <c r="O39" s="2711"/>
      <c r="P39" s="4073"/>
      <c r="Q39" s="1347" t="str">
        <f t="shared" si="11"/>
        <v>层高</v>
      </c>
      <c r="R39" s="703" t="s">
        <v>14</v>
      </c>
      <c r="S39" s="704">
        <f t="shared" si="12"/>
        <v>100</v>
      </c>
      <c r="T39" s="703" t="s">
        <v>14</v>
      </c>
      <c r="U39" s="704">
        <f t="shared" si="13"/>
        <v>100</v>
      </c>
      <c r="V39" s="703" t="s">
        <v>14</v>
      </c>
      <c r="W39" s="704">
        <f t="shared" si="14"/>
        <v>100</v>
      </c>
      <c r="X39" s="1350"/>
      <c r="Y39" s="4075"/>
      <c r="Z39" s="1351" t="str">
        <f t="shared" si="15"/>
        <v>层高</v>
      </c>
      <c r="AA39" s="1348">
        <f t="shared" si="3"/>
        <v>1</v>
      </c>
      <c r="AB39" s="1348">
        <f t="shared" si="4"/>
        <v>1</v>
      </c>
      <c r="AC39" s="1348">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7"/>
      <c r="M40" s="2711"/>
      <c r="N40" s="2711"/>
      <c r="O40" s="2711"/>
      <c r="P40" s="4073"/>
      <c r="Q40" s="1347" t="str">
        <f t="shared" si="11"/>
        <v>单套建筑面积</v>
      </c>
      <c r="R40" s="703" t="s">
        <v>14</v>
      </c>
      <c r="S40" s="704">
        <f t="shared" si="12"/>
        <v>100</v>
      </c>
      <c r="T40" s="703" t="s">
        <v>14</v>
      </c>
      <c r="U40" s="704">
        <f t="shared" si="13"/>
        <v>100</v>
      </c>
      <c r="V40" s="703" t="s">
        <v>14</v>
      </c>
      <c r="W40" s="704">
        <f t="shared" si="14"/>
        <v>100</v>
      </c>
      <c r="X40" s="1350"/>
      <c r="Y40" s="4075"/>
      <c r="Z40" s="1351" t="str">
        <f t="shared" si="15"/>
        <v>单套建筑面积</v>
      </c>
      <c r="AA40" s="1348">
        <f t="shared" si="3"/>
        <v>1</v>
      </c>
      <c r="AB40" s="1348">
        <f t="shared" si="4"/>
        <v>1</v>
      </c>
      <c r="AC40" s="1348">
        <f t="shared" si="5"/>
        <v>1</v>
      </c>
    </row>
    <row r="41" spans="1:29" s="420" customFormat="1" ht="15">
      <c r="A41" s="417"/>
      <c r="B41" s="1349"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6"/>
      <c r="M41" s="2718"/>
      <c r="N41" s="2718"/>
      <c r="O41" s="2718"/>
      <c r="P41" s="4073"/>
      <c r="Q41" s="705" t="str">
        <f t="shared" si="11"/>
        <v>进深比</v>
      </c>
      <c r="R41" s="706" t="s">
        <v>14</v>
      </c>
      <c r="S41" s="707">
        <f t="shared" si="12"/>
        <v>100</v>
      </c>
      <c r="T41" s="706" t="s">
        <v>14</v>
      </c>
      <c r="U41" s="707">
        <f t="shared" si="13"/>
        <v>100</v>
      </c>
      <c r="V41" s="706" t="s">
        <v>14</v>
      </c>
      <c r="W41" s="707">
        <f t="shared" si="14"/>
        <v>100</v>
      </c>
      <c r="X41" s="708"/>
      <c r="Y41" s="4075"/>
      <c r="Z41" s="709" t="str">
        <f t="shared" si="15"/>
        <v>进深比</v>
      </c>
      <c r="AA41" s="1348">
        <f t="shared" si="3"/>
        <v>1</v>
      </c>
      <c r="AB41" s="1348">
        <f t="shared" si="4"/>
        <v>1</v>
      </c>
      <c r="AC41" s="1348">
        <f t="shared" si="5"/>
        <v>1</v>
      </c>
    </row>
    <row r="42" spans="1:29" ht="15">
      <c r="A42" s="421"/>
      <c r="B42" s="373" t="s">
        <v>1792</v>
      </c>
      <c r="C42" s="1901"/>
      <c r="D42" s="384">
        <v>100</v>
      </c>
      <c r="E42" s="1901"/>
      <c r="F42" s="410">
        <f>SUMIF(122:122,E42,123:123)-SUMIF(122:122,C42,123:123)+100</f>
        <v>100</v>
      </c>
      <c r="G42" s="1901"/>
      <c r="H42" s="384">
        <f>SUMIF(122:122,G42,123:123)-SUMIF(122:122,C42,123:123)+100</f>
        <v>100</v>
      </c>
      <c r="I42" s="1901"/>
      <c r="J42" s="384">
        <f>SUMIF(122:122,I42,123:123)-SUMIF(122:122,C42,123:123)+100</f>
        <v>100</v>
      </c>
      <c r="K42" s="559"/>
      <c r="L42" s="2717"/>
      <c r="M42" s="2711"/>
      <c r="N42" s="2711"/>
      <c r="O42" s="2711"/>
      <c r="P42" s="4073"/>
      <c r="Q42" s="1347" t="str">
        <f t="shared" si="11"/>
        <v>内部装修</v>
      </c>
      <c r="R42" s="703" t="s">
        <v>14</v>
      </c>
      <c r="S42" s="704">
        <f t="shared" si="12"/>
        <v>100</v>
      </c>
      <c r="T42" s="703" t="s">
        <v>14</v>
      </c>
      <c r="U42" s="704">
        <f t="shared" si="13"/>
        <v>100</v>
      </c>
      <c r="V42" s="703" t="s">
        <v>14</v>
      </c>
      <c r="W42" s="704">
        <f t="shared" si="14"/>
        <v>100</v>
      </c>
      <c r="X42" s="1350"/>
      <c r="Y42" s="4075"/>
      <c r="Z42" s="1351" t="str">
        <f t="shared" si="15"/>
        <v>内部装修</v>
      </c>
      <c r="AA42" s="1348">
        <f t="shared" si="3"/>
        <v>1</v>
      </c>
      <c r="AB42" s="1348">
        <f t="shared" si="4"/>
        <v>1</v>
      </c>
      <c r="AC42" s="1348">
        <f t="shared" si="5"/>
        <v>1</v>
      </c>
    </row>
    <row r="43" spans="1:29" ht="15">
      <c r="A43" s="421"/>
      <c r="B43" s="373" t="s">
        <v>1707</v>
      </c>
      <c r="C43" s="1901"/>
      <c r="D43" s="384">
        <v>100</v>
      </c>
      <c r="E43" s="1901"/>
      <c r="F43" s="410">
        <f>SUMIF(124:124,E43,125:125)-SUMIF(124:124,C43,125:125)+100</f>
        <v>100</v>
      </c>
      <c r="G43" s="1901"/>
      <c r="H43" s="384">
        <f>SUMIF(124:124,G43,125:125)-SUMIF(124:124,C43,125:125)+100</f>
        <v>100</v>
      </c>
      <c r="I43" s="1901"/>
      <c r="J43" s="384">
        <f>SUMIF(124:124,I43,125:125)-SUMIF(124:124,C43,125:125)+100</f>
        <v>100</v>
      </c>
      <c r="K43" s="559"/>
      <c r="L43" s="2717"/>
      <c r="M43" s="2711"/>
      <c r="N43" s="2711"/>
      <c r="O43" s="2711"/>
      <c r="P43" s="4073"/>
      <c r="Q43" s="1347" t="str">
        <f t="shared" si="11"/>
        <v>内部装修维护情况</v>
      </c>
      <c r="R43" s="703" t="s">
        <v>14</v>
      </c>
      <c r="S43" s="704">
        <f t="shared" si="12"/>
        <v>100</v>
      </c>
      <c r="T43" s="703" t="s">
        <v>14</v>
      </c>
      <c r="U43" s="704">
        <f t="shared" si="13"/>
        <v>100</v>
      </c>
      <c r="V43" s="703" t="s">
        <v>14</v>
      </c>
      <c r="W43" s="704">
        <f t="shared" si="14"/>
        <v>100</v>
      </c>
      <c r="X43" s="1350"/>
      <c r="Y43" s="4075"/>
      <c r="Z43" s="1351" t="str">
        <f t="shared" si="15"/>
        <v>内部装修维护情况</v>
      </c>
      <c r="AA43" s="1348">
        <f t="shared" si="3"/>
        <v>1</v>
      </c>
      <c r="AB43" s="1348">
        <f t="shared" si="4"/>
        <v>1</v>
      </c>
      <c r="AC43" s="1348">
        <f t="shared" si="5"/>
        <v>1</v>
      </c>
    </row>
    <row r="44" spans="1:29" s="106" customFormat="1" ht="15">
      <c r="A44" s="422"/>
      <c r="B44" s="1128">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2"/>
      <c r="M44" s="2713"/>
      <c r="N44" s="2713"/>
      <c r="O44" s="2713"/>
      <c r="P44" s="4073"/>
      <c r="Q44" s="1338">
        <f t="shared" si="11"/>
        <v>111</v>
      </c>
      <c r="R44" s="699" t="s">
        <v>14</v>
      </c>
      <c r="S44" s="700">
        <f t="shared" si="12"/>
        <v>100</v>
      </c>
      <c r="T44" s="699" t="s">
        <v>14</v>
      </c>
      <c r="U44" s="700">
        <f t="shared" si="13"/>
        <v>100</v>
      </c>
      <c r="V44" s="699" t="s">
        <v>14</v>
      </c>
      <c r="W44" s="700">
        <f t="shared" si="14"/>
        <v>100</v>
      </c>
      <c r="X44" s="701"/>
      <c r="Y44" s="4075"/>
      <c r="Z44" s="50">
        <f t="shared" si="15"/>
        <v>111</v>
      </c>
      <c r="AA44" s="702">
        <f t="shared" si="3"/>
        <v>1</v>
      </c>
      <c r="AB44" s="702">
        <f t="shared" si="4"/>
        <v>1</v>
      </c>
      <c r="AC44" s="702">
        <f t="shared" si="5"/>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7"/>
      <c r="M45" s="2711"/>
      <c r="N45" s="2711"/>
      <c r="O45" s="2711"/>
      <c r="P45" s="4073"/>
      <c r="Q45" s="1347">
        <f t="shared" si="11"/>
        <v>111</v>
      </c>
      <c r="R45" s="703" t="s">
        <v>14</v>
      </c>
      <c r="S45" s="704">
        <f t="shared" si="12"/>
        <v>100</v>
      </c>
      <c r="T45" s="703" t="s">
        <v>14</v>
      </c>
      <c r="U45" s="704">
        <f t="shared" si="13"/>
        <v>100</v>
      </c>
      <c r="V45" s="703" t="s">
        <v>14</v>
      </c>
      <c r="W45" s="704">
        <f t="shared" si="14"/>
        <v>100</v>
      </c>
      <c r="X45" s="1350"/>
      <c r="Y45" s="4075"/>
      <c r="Z45" s="1351">
        <f t="shared" si="15"/>
        <v>111</v>
      </c>
      <c r="AA45" s="1348">
        <f t="shared" si="3"/>
        <v>1</v>
      </c>
      <c r="AB45" s="1348">
        <f t="shared" si="4"/>
        <v>1</v>
      </c>
      <c r="AC45" s="1348">
        <f t="shared" si="5"/>
        <v>1</v>
      </c>
    </row>
    <row r="46" spans="1:29" ht="15.75" thickBot="1">
      <c r="A46" s="427"/>
      <c r="B46" s="1890">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7"/>
      <c r="M46" s="2711"/>
      <c r="N46" s="2711"/>
      <c r="O46" s="2711"/>
      <c r="P46" s="4074"/>
      <c r="Q46" s="1347">
        <f t="shared" si="11"/>
        <v>111</v>
      </c>
      <c r="R46" s="703" t="s">
        <v>14</v>
      </c>
      <c r="S46" s="704">
        <f t="shared" si="12"/>
        <v>100</v>
      </c>
      <c r="T46" s="703" t="s">
        <v>14</v>
      </c>
      <c r="U46" s="704">
        <f t="shared" si="13"/>
        <v>100</v>
      </c>
      <c r="V46" s="703" t="s">
        <v>14</v>
      </c>
      <c r="W46" s="704">
        <f t="shared" si="14"/>
        <v>100</v>
      </c>
      <c r="X46" s="1350"/>
      <c r="Y46" s="4076"/>
      <c r="Z46" s="1351">
        <f t="shared" si="15"/>
        <v>111</v>
      </c>
      <c r="AA46" s="1348">
        <f t="shared" si="3"/>
        <v>1</v>
      </c>
      <c r="AB46" s="1348">
        <f t="shared" si="4"/>
        <v>1</v>
      </c>
      <c r="AC46" s="1348">
        <f t="shared" si="5"/>
        <v>1</v>
      </c>
    </row>
    <row r="47" spans="1:29" ht="15">
      <c r="A47" s="428" t="s">
        <v>1708</v>
      </c>
      <c r="B47" s="429"/>
      <c r="C47" s="1149" t="s">
        <v>0</v>
      </c>
      <c r="D47" s="1150"/>
      <c r="E47" s="1151"/>
      <c r="F47" s="1152"/>
      <c r="G47" s="1153"/>
      <c r="H47" s="1154"/>
      <c r="I47" s="1151"/>
      <c r="J47" s="1154"/>
      <c r="K47" s="712"/>
      <c r="L47" s="2719"/>
      <c r="M47" s="2720"/>
      <c r="N47" s="2711"/>
      <c r="O47" s="2720"/>
      <c r="P47" s="4068" t="str">
        <f>A47</f>
        <v>成交单价（元/平方米）</v>
      </c>
      <c r="Q47" s="4068"/>
      <c r="R47" s="4099">
        <f>E47</f>
        <v>0</v>
      </c>
      <c r="S47" s="4099"/>
      <c r="T47" s="4099">
        <f>G47</f>
        <v>0</v>
      </c>
      <c r="U47" s="4099"/>
      <c r="V47" s="4099">
        <f>I47</f>
        <v>0</v>
      </c>
      <c r="W47" s="4099"/>
      <c r="X47" s="688"/>
      <c r="Y47" s="710"/>
      <c r="Z47" s="688"/>
      <c r="AA47" s="688"/>
      <c r="AB47" s="688"/>
      <c r="AC47" s="688"/>
    </row>
    <row r="48" spans="1:29" ht="15.75" thickBot="1">
      <c r="A48" s="435" t="s">
        <v>1793</v>
      </c>
      <c r="B48" s="436"/>
      <c r="C48" s="1155" t="e">
        <f>R49</f>
        <v>#DIV/0!</v>
      </c>
      <c r="D48" s="2312" t="s">
        <v>2138</v>
      </c>
      <c r="E48" s="1156" t="e">
        <f>R48</f>
        <v>#DIV/0!</v>
      </c>
      <c r="F48" s="2313"/>
      <c r="G48" s="1155" t="e">
        <f>T48</f>
        <v>#DIV/0!</v>
      </c>
      <c r="H48" s="2313"/>
      <c r="I48" s="1156" t="e">
        <f>V48</f>
        <v>#DIV/0!</v>
      </c>
      <c r="J48" s="2313"/>
      <c r="K48" s="2315">
        <f>F48+H48+J48</f>
        <v>0</v>
      </c>
      <c r="L48" s="2719"/>
      <c r="M48" s="2720"/>
      <c r="N48" s="2711"/>
      <c r="O48" s="2720"/>
      <c r="P48" s="4068" t="str">
        <f>A48</f>
        <v>比较价值（元/平方米）</v>
      </c>
      <c r="Q48" s="4068"/>
      <c r="R48" s="4069" t="e">
        <f>IF(F1="售价",ROUND(PRODUCT(R47,AA7:AA46),0),ROUND(PRODUCT(R47,AA7:AA46),1))</f>
        <v>#DIV/0!</v>
      </c>
      <c r="S48" s="4069"/>
      <c r="T48" s="4069" t="e">
        <f>IF(F1="售价",ROUND(PRODUCT(T47,AB7:AB46),0),ROUND(PRODUCT(T47,AB7:AB46),1))</f>
        <v>#DIV/0!</v>
      </c>
      <c r="U48" s="4069"/>
      <c r="V48" s="4069" t="e">
        <f>IF(F1="售价",ROUND(PRODUCT(V47,AC7:AC46),0),ROUND(PRODUCT(V47,AC7:AC46),1))</f>
        <v>#DIV/0!</v>
      </c>
      <c r="W48" s="4069"/>
      <c r="X48" s="688"/>
      <c r="Y48" s="688"/>
      <c r="Z48" s="688"/>
      <c r="AA48" s="688"/>
      <c r="AB48" s="688"/>
      <c r="AC48" s="688"/>
    </row>
    <row r="49" spans="1:29" ht="15.75" thickBot="1">
      <c r="A49" s="439" t="s">
        <v>1794</v>
      </c>
      <c r="B49" s="440"/>
      <c r="C49" s="1158" t="e">
        <f>R49</f>
        <v>#DIV/0!</v>
      </c>
      <c r="D49" s="1158"/>
      <c r="E49" s="1158"/>
      <c r="F49" s="1158"/>
      <c r="G49" s="1158"/>
      <c r="H49" s="1158"/>
      <c r="I49" s="1158"/>
      <c r="J49" s="1158"/>
      <c r="K49" s="713"/>
      <c r="L49" s="2719"/>
      <c r="M49" s="2720"/>
      <c r="N49" s="2711"/>
      <c r="O49" s="2720"/>
      <c r="P49" s="4065" t="str">
        <f>A49</f>
        <v>估价对象XX用房的比较价值（楼面单价，元/平方米）</v>
      </c>
      <c r="Q49" s="4066"/>
      <c r="R49" s="4067" t="e">
        <f>IF(F1="售价",ROUND(IF(D48="简单平均",AVERAGE(R48:V48),R48*F48+T48*H48+V48*J48),0),ROUND(IF(D48="简单平均",AVERAGE(R48:V48),R48*F48+T48*H48+V48*J48),1))</f>
        <v>#DIV/0!</v>
      </c>
      <c r="S49" s="4067"/>
      <c r="T49" s="4067"/>
      <c r="U49" s="4067"/>
      <c r="V49" s="4067"/>
      <c r="W49" s="4067"/>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9" customFormat="1" ht="13.5" customHeight="1">
      <c r="A54" s="2723"/>
      <c r="B54" s="2723"/>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49"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1798</v>
      </c>
      <c r="B57" s="688"/>
      <c r="C57" s="693"/>
      <c r="D57" s="693"/>
      <c r="E57" s="693"/>
      <c r="F57" s="694"/>
      <c r="G57" s="694"/>
      <c r="H57" s="693"/>
      <c r="I57" s="693"/>
      <c r="J57" s="693"/>
      <c r="K57" s="695"/>
      <c r="L57" s="937"/>
      <c r="M57" s="935"/>
      <c r="N57" s="935"/>
      <c r="O57" s="935"/>
      <c r="P57" s="2733"/>
      <c r="Q57" s="2734"/>
      <c r="R57" s="2720"/>
      <c r="S57" s="2720"/>
      <c r="T57" s="2720"/>
      <c r="U57" s="2720"/>
      <c r="V57" s="2720"/>
      <c r="W57" s="2720"/>
      <c r="X57" s="2720"/>
      <c r="Y57" s="2720"/>
      <c r="Z57" s="2720"/>
      <c r="AA57" s="2720"/>
      <c r="AB57" s="2720"/>
      <c r="AC57" s="2720"/>
    </row>
    <row r="58" spans="1:29" s="455" customFormat="1" ht="15">
      <c r="A58" s="452" t="s">
        <v>1679</v>
      </c>
      <c r="B58" s="453"/>
      <c r="C58" s="1179" t="str">
        <f>YEAR(C7)&amp;"-"&amp;MONTH(C7)</f>
        <v>2023-10</v>
      </c>
      <c r="D58" s="1180">
        <f>EDATE(C58,-1)</f>
        <v>45170</v>
      </c>
      <c r="E58" s="1180">
        <f t="shared" ref="E58:N58" si="16">EDATE(D58,-1)</f>
        <v>45139</v>
      </c>
      <c r="F58" s="1180">
        <f t="shared" si="16"/>
        <v>45108</v>
      </c>
      <c r="G58" s="1180">
        <f t="shared" si="16"/>
        <v>45078</v>
      </c>
      <c r="H58" s="1180">
        <f t="shared" si="16"/>
        <v>45047</v>
      </c>
      <c r="I58" s="1180">
        <f t="shared" si="16"/>
        <v>45017</v>
      </c>
      <c r="J58" s="1180">
        <f t="shared" si="16"/>
        <v>44986</v>
      </c>
      <c r="K58" s="1180">
        <f t="shared" si="16"/>
        <v>44958</v>
      </c>
      <c r="L58" s="1180">
        <f t="shared" si="16"/>
        <v>44927</v>
      </c>
      <c r="M58" s="1180">
        <f t="shared" si="16"/>
        <v>44896</v>
      </c>
      <c r="N58" s="1180">
        <f t="shared" si="16"/>
        <v>44866</v>
      </c>
      <c r="O58" s="1180">
        <f>EDATE(N58,-1)</f>
        <v>44835</v>
      </c>
      <c r="P58" s="2735"/>
      <c r="Q58" s="2736"/>
      <c r="R58" s="2736"/>
      <c r="S58" s="2736"/>
      <c r="T58" s="2736"/>
      <c r="U58" s="2736"/>
      <c r="V58" s="2736"/>
      <c r="W58" s="2736"/>
      <c r="X58" s="2736"/>
      <c r="Y58" s="2736"/>
      <c r="Z58" s="2736"/>
      <c r="AA58" s="2736"/>
      <c r="AB58" s="2736"/>
      <c r="AC58" s="2736"/>
    </row>
    <row r="59" spans="1:29" s="106" customFormat="1" ht="15">
      <c r="A59" s="456"/>
      <c r="B59" s="457"/>
      <c r="C59" s="1178">
        <v>100</v>
      </c>
      <c r="D59" s="459"/>
      <c r="E59" s="459"/>
      <c r="F59" s="459"/>
      <c r="G59" s="459"/>
      <c r="H59" s="459"/>
      <c r="I59" s="459"/>
      <c r="J59" s="459"/>
      <c r="K59" s="459"/>
      <c r="L59" s="459"/>
      <c r="M59" s="460"/>
      <c r="N59" s="459"/>
      <c r="O59" s="460"/>
      <c r="P59" s="2737"/>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7"/>
      <c r="Q60" s="2734"/>
      <c r="R60" s="2656"/>
      <c r="S60" s="2656"/>
      <c r="T60" s="2656"/>
      <c r="U60" s="2656"/>
      <c r="V60" s="2656"/>
      <c r="W60" s="2656"/>
      <c r="X60" s="2656"/>
      <c r="Y60" s="2656"/>
      <c r="Z60" s="2656"/>
      <c r="AA60" s="2656"/>
      <c r="AB60" s="2656"/>
      <c r="AC60" s="2656"/>
    </row>
    <row r="61" spans="1:29" s="106" customFormat="1" ht="15">
      <c r="A61" s="468" t="s">
        <v>1681</v>
      </c>
      <c r="B61" s="457"/>
      <c r="C61" s="469" t="s">
        <v>1776</v>
      </c>
      <c r="D61" s="470"/>
      <c r="E61" s="470"/>
      <c r="F61" s="470"/>
      <c r="G61" s="470"/>
      <c r="H61" s="470"/>
      <c r="I61" s="470"/>
      <c r="J61" s="470"/>
      <c r="K61" s="470"/>
      <c r="L61" s="471"/>
      <c r="M61" s="472"/>
      <c r="N61" s="2747"/>
      <c r="O61" s="2747"/>
      <c r="P61" s="2738"/>
      <c r="Q61" s="2734"/>
      <c r="R61" s="2656"/>
      <c r="S61" s="2656"/>
      <c r="T61" s="2656"/>
      <c r="U61" s="2656"/>
      <c r="V61" s="2656"/>
      <c r="W61" s="2656"/>
      <c r="X61" s="2656"/>
      <c r="Y61" s="2656"/>
      <c r="Z61" s="2656"/>
      <c r="AA61" s="2656"/>
      <c r="AB61" s="2656"/>
      <c r="AC61" s="2656"/>
    </row>
    <row r="62" spans="1:29" s="106" customFormat="1" ht="15.75" thickBot="1">
      <c r="A62" s="468"/>
      <c r="B62" s="457"/>
      <c r="C62" s="458">
        <v>100</v>
      </c>
      <c r="D62" s="459"/>
      <c r="E62" s="459"/>
      <c r="F62" s="459"/>
      <c r="G62" s="459"/>
      <c r="H62" s="459"/>
      <c r="I62" s="459"/>
      <c r="J62" s="459"/>
      <c r="K62" s="459"/>
      <c r="L62" s="459"/>
      <c r="M62" s="461"/>
      <c r="N62" s="2747"/>
      <c r="O62" s="2747"/>
      <c r="P62" s="2737"/>
      <c r="Q62" s="2734"/>
      <c r="R62" s="2656"/>
      <c r="S62" s="2656"/>
      <c r="T62" s="2656"/>
      <c r="U62" s="2656"/>
      <c r="V62" s="2656"/>
      <c r="W62" s="2656"/>
      <c r="X62" s="2656"/>
      <c r="Y62" s="2656"/>
      <c r="Z62" s="2656"/>
      <c r="AA62" s="2656"/>
      <c r="AB62" s="2656"/>
      <c r="AC62" s="2656"/>
    </row>
    <row r="63" spans="1:29">
      <c r="A63" s="474" t="s">
        <v>1719</v>
      </c>
      <c r="B63" s="475" t="s">
        <v>1685</v>
      </c>
      <c r="C63" s="476">
        <f>C9</f>
        <v>0</v>
      </c>
      <c r="D63" s="477"/>
      <c r="E63" s="477"/>
      <c r="F63" s="477"/>
      <c r="G63" s="477"/>
      <c r="H63" s="477"/>
      <c r="I63" s="477"/>
      <c r="J63" s="477"/>
      <c r="K63" s="478"/>
      <c r="L63" s="479"/>
      <c r="M63" s="480"/>
      <c r="N63" s="2748"/>
      <c r="O63" s="2748"/>
      <c r="P63" s="2739"/>
      <c r="Q63" s="2734"/>
      <c r="R63" s="2720"/>
      <c r="S63" s="2720"/>
      <c r="T63" s="2720"/>
      <c r="U63" s="2720"/>
      <c r="V63" s="2720"/>
      <c r="W63" s="2720"/>
      <c r="X63" s="2720"/>
      <c r="Y63" s="2720"/>
      <c r="Z63" s="2720"/>
      <c r="AA63" s="2720"/>
      <c r="AB63" s="2720"/>
      <c r="AC63" s="2720"/>
    </row>
    <row r="64" spans="1:29" ht="15.75" thickBot="1">
      <c r="A64" s="481"/>
      <c r="B64" s="482"/>
      <c r="C64" s="483">
        <v>100</v>
      </c>
      <c r="D64" s="483"/>
      <c r="E64" s="483"/>
      <c r="F64" s="483"/>
      <c r="G64" s="483"/>
      <c r="H64" s="483"/>
      <c r="I64" s="483"/>
      <c r="J64" s="483"/>
      <c r="K64" s="483"/>
      <c r="L64" s="483"/>
      <c r="M64" s="484"/>
      <c r="N64" s="2749"/>
      <c r="O64" s="2749"/>
      <c r="P64" s="2739"/>
      <c r="Q64" s="2734"/>
      <c r="R64" s="2720"/>
      <c r="S64" s="2720"/>
      <c r="T64" s="2720"/>
      <c r="U64" s="2720"/>
      <c r="V64" s="2720"/>
      <c r="W64" s="2720"/>
      <c r="X64" s="2720"/>
      <c r="Y64" s="2720"/>
      <c r="Z64" s="2720"/>
      <c r="AA64" s="2720"/>
      <c r="AB64" s="2720"/>
      <c r="AC64" s="2720"/>
    </row>
    <row r="65" spans="1:29" ht="27.75" thickTop="1">
      <c r="A65" s="481"/>
      <c r="B65" s="485" t="s">
        <v>1688</v>
      </c>
      <c r="C65" s="530"/>
      <c r="D65" s="530"/>
      <c r="E65" s="530"/>
      <c r="F65" s="530"/>
      <c r="G65" s="530"/>
      <c r="H65" s="530"/>
      <c r="I65" s="530"/>
      <c r="J65" s="530"/>
      <c r="K65" s="531"/>
      <c r="L65" s="532"/>
      <c r="M65" s="533"/>
      <c r="N65" s="2748"/>
      <c r="O65" s="2748"/>
      <c r="P65" s="2739"/>
      <c r="Q65" s="2734"/>
      <c r="R65" s="2720"/>
      <c r="S65" s="2720"/>
      <c r="T65" s="2720"/>
      <c r="U65" s="2720"/>
      <c r="V65" s="2720"/>
      <c r="W65" s="2720"/>
      <c r="X65" s="2720"/>
      <c r="Y65" s="2720"/>
      <c r="Z65" s="2720"/>
      <c r="AA65" s="2720"/>
      <c r="AB65" s="2720"/>
      <c r="AC65" s="2720"/>
    </row>
    <row r="66" spans="1:29" ht="15.75" thickBot="1">
      <c r="A66" s="481"/>
      <c r="B66" s="490"/>
      <c r="C66" s="483"/>
      <c r="D66" s="483"/>
      <c r="E66" s="483"/>
      <c r="F66" s="483"/>
      <c r="G66" s="483"/>
      <c r="H66" s="483"/>
      <c r="I66" s="483"/>
      <c r="J66" s="483"/>
      <c r="K66" s="483"/>
      <c r="L66" s="483"/>
      <c r="M66" s="484"/>
      <c r="N66" s="2749"/>
      <c r="O66" s="2749"/>
      <c r="P66" s="2739"/>
      <c r="Q66" s="2734"/>
      <c r="R66" s="2720"/>
      <c r="S66" s="2720"/>
      <c r="T66" s="2720"/>
      <c r="U66" s="2720"/>
      <c r="V66" s="2720"/>
      <c r="W66" s="2720"/>
      <c r="X66" s="2720"/>
      <c r="Y66" s="2720"/>
      <c r="Z66" s="2720"/>
      <c r="AA66" s="2720"/>
      <c r="AB66" s="2720"/>
      <c r="AC66" s="2720"/>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1"/>
      <c r="B68" s="495"/>
      <c r="C68" s="496"/>
      <c r="D68" s="496"/>
      <c r="E68" s="496"/>
      <c r="F68" s="496"/>
      <c r="G68" s="496"/>
      <c r="H68" s="496"/>
      <c r="I68" s="496"/>
      <c r="J68" s="496"/>
      <c r="K68" s="497"/>
      <c r="L68" s="498"/>
      <c r="M68" s="499"/>
      <c r="N68" s="2748"/>
      <c r="O68" s="2748"/>
      <c r="P68" s="2739"/>
      <c r="Q68" s="2734"/>
      <c r="R68" s="2720"/>
      <c r="S68" s="2720"/>
      <c r="T68" s="2720"/>
      <c r="U68" s="2720"/>
      <c r="V68" s="2720"/>
      <c r="W68" s="2720"/>
      <c r="X68" s="2720"/>
      <c r="Y68" s="2720"/>
      <c r="Z68" s="2720"/>
      <c r="AA68" s="2720"/>
      <c r="AB68" s="2720"/>
      <c r="AC68" s="2720"/>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9"/>
      <c r="O69" s="2749"/>
      <c r="P69" s="2739"/>
      <c r="Q69" s="2734"/>
      <c r="R69" s="2720"/>
      <c r="S69" s="2720"/>
      <c r="T69" s="2720"/>
      <c r="U69" s="2720"/>
      <c r="V69" s="2720"/>
      <c r="W69" s="2720"/>
      <c r="X69" s="2720"/>
      <c r="Y69" s="2720"/>
      <c r="Z69" s="2720"/>
      <c r="AA69" s="2720"/>
      <c r="AB69" s="2720"/>
      <c r="AC69" s="2720"/>
    </row>
    <row r="70" spans="1:29" s="420" customFormat="1" ht="15.75" thickTop="1">
      <c r="A70" s="500"/>
      <c r="B70" s="485">
        <f>B12</f>
        <v>111</v>
      </c>
      <c r="C70" s="501"/>
      <c r="D70" s="501"/>
      <c r="E70" s="501"/>
      <c r="F70" s="501"/>
      <c r="G70" s="501"/>
      <c r="H70" s="502"/>
      <c r="I70" s="502"/>
      <c r="J70" s="502"/>
      <c r="K70" s="502"/>
      <c r="L70" s="503"/>
      <c r="M70" s="504"/>
      <c r="N70" s="2750"/>
      <c r="O70" s="2750"/>
      <c r="P70" s="2740"/>
      <c r="Q70" s="2741"/>
      <c r="R70" s="2742"/>
      <c r="S70" s="2742"/>
      <c r="T70" s="2742"/>
      <c r="U70" s="2742"/>
      <c r="V70" s="2742"/>
      <c r="W70" s="2742"/>
      <c r="X70" s="2742"/>
      <c r="Y70" s="2742"/>
      <c r="Z70" s="2742"/>
      <c r="AA70" s="2742"/>
      <c r="AB70" s="2742"/>
      <c r="AC70" s="2742"/>
    </row>
    <row r="71" spans="1:29" s="420" customFormat="1" ht="15.75" thickBot="1">
      <c r="A71" s="500"/>
      <c r="B71" s="490"/>
      <c r="C71" s="507"/>
      <c r="D71" s="483"/>
      <c r="E71" s="483"/>
      <c r="F71" s="483"/>
      <c r="G71" s="483"/>
      <c r="H71" s="483"/>
      <c r="I71" s="483"/>
      <c r="J71" s="483"/>
      <c r="K71" s="483"/>
      <c r="L71" s="483"/>
      <c r="M71" s="484"/>
      <c r="N71" s="2749"/>
      <c r="O71" s="2749"/>
      <c r="P71" s="2740"/>
      <c r="Q71" s="2741"/>
      <c r="R71" s="2742"/>
      <c r="S71" s="2742"/>
      <c r="T71" s="2742"/>
      <c r="U71" s="2742"/>
      <c r="V71" s="2742"/>
      <c r="W71" s="2742"/>
      <c r="X71" s="2742"/>
      <c r="Y71" s="2742"/>
      <c r="Z71" s="2742"/>
      <c r="AA71" s="2742"/>
      <c r="AB71" s="2742"/>
      <c r="AC71" s="2742"/>
    </row>
    <row r="72" spans="1:29" s="420" customFormat="1" ht="15.75" thickTop="1">
      <c r="A72" s="500"/>
      <c r="B72" s="485">
        <f>B13</f>
        <v>111</v>
      </c>
      <c r="C72" s="501"/>
      <c r="D72" s="501"/>
      <c r="E72" s="501"/>
      <c r="F72" s="501"/>
      <c r="G72" s="501"/>
      <c r="H72" s="502"/>
      <c r="I72" s="502"/>
      <c r="J72" s="502"/>
      <c r="K72" s="502"/>
      <c r="L72" s="503"/>
      <c r="M72" s="504"/>
      <c r="N72" s="2750"/>
      <c r="O72" s="2750"/>
      <c r="P72" s="2743"/>
      <c r="Q72" s="2744"/>
      <c r="R72" s="2742"/>
      <c r="S72" s="2742"/>
      <c r="T72" s="2742"/>
      <c r="U72" s="2742"/>
      <c r="V72" s="2742"/>
      <c r="W72" s="2742"/>
      <c r="X72" s="2742"/>
      <c r="Y72" s="2742"/>
      <c r="Z72" s="2742"/>
      <c r="AA72" s="2742"/>
      <c r="AB72" s="2742"/>
      <c r="AC72" s="2742"/>
    </row>
    <row r="73" spans="1:29" s="420" customFormat="1" ht="15.75" thickBot="1">
      <c r="A73" s="500"/>
      <c r="B73" s="490"/>
      <c r="C73" s="507"/>
      <c r="D73" s="483"/>
      <c r="E73" s="483"/>
      <c r="F73" s="483"/>
      <c r="G73" s="507"/>
      <c r="H73" s="509"/>
      <c r="I73" s="509"/>
      <c r="J73" s="509"/>
      <c r="K73" s="509"/>
      <c r="L73" s="509"/>
      <c r="M73" s="510"/>
      <c r="N73" s="2750"/>
      <c r="O73" s="2750"/>
      <c r="P73" s="2740"/>
      <c r="Q73" s="2741"/>
      <c r="R73" s="2742"/>
      <c r="S73" s="2742"/>
      <c r="T73" s="2742"/>
      <c r="U73" s="2742"/>
      <c r="V73" s="2742"/>
      <c r="W73" s="2742"/>
      <c r="X73" s="2742"/>
      <c r="Y73" s="2742"/>
      <c r="Z73" s="2742"/>
      <c r="AA73" s="2742"/>
      <c r="AB73" s="2742"/>
      <c r="AC73" s="2742"/>
    </row>
    <row r="74" spans="1:29" s="420" customFormat="1" ht="15.75" thickTop="1">
      <c r="A74" s="500"/>
      <c r="B74" s="493">
        <f>B14</f>
        <v>111</v>
      </c>
      <c r="C74" s="501"/>
      <c r="D74" s="501"/>
      <c r="E74" s="501"/>
      <c r="F74" s="501"/>
      <c r="G74" s="470"/>
      <c r="H74" s="511"/>
      <c r="I74" s="511"/>
      <c r="J74" s="511"/>
      <c r="K74" s="511"/>
      <c r="L74" s="512"/>
      <c r="M74" s="513"/>
      <c r="N74" s="2750"/>
      <c r="O74" s="2750"/>
      <c r="P74" s="2745"/>
      <c r="Q74" s="2741"/>
      <c r="R74" s="2742"/>
      <c r="S74" s="2742"/>
      <c r="T74" s="2742"/>
      <c r="U74" s="2742"/>
      <c r="V74" s="2742"/>
      <c r="W74" s="2742"/>
      <c r="X74" s="2742"/>
      <c r="Y74" s="2742"/>
      <c r="Z74" s="2742"/>
      <c r="AA74" s="2742"/>
      <c r="AB74" s="2742"/>
      <c r="AC74" s="2742"/>
    </row>
    <row r="75" spans="1:29" s="420" customFormat="1" ht="15.75" thickBot="1">
      <c r="A75" s="515"/>
      <c r="B75" s="516"/>
      <c r="C75" s="517"/>
      <c r="D75" s="517"/>
      <c r="E75" s="517"/>
      <c r="F75" s="517"/>
      <c r="G75" s="517"/>
      <c r="H75" s="518"/>
      <c r="I75" s="518"/>
      <c r="J75" s="518"/>
      <c r="K75" s="518"/>
      <c r="L75" s="518"/>
      <c r="M75" s="519"/>
      <c r="N75" s="2750"/>
      <c r="O75" s="2750"/>
      <c r="P75" s="2740"/>
      <c r="Q75" s="2741"/>
      <c r="R75" s="2742"/>
      <c r="S75" s="2742"/>
      <c r="T75" s="2742"/>
      <c r="U75" s="2742"/>
      <c r="V75" s="2742"/>
      <c r="W75" s="2742"/>
      <c r="X75" s="2742"/>
      <c r="Y75" s="2742"/>
      <c r="Z75" s="2742"/>
      <c r="AA75" s="2742"/>
      <c r="AB75" s="2742"/>
      <c r="AC75" s="2742"/>
    </row>
    <row r="76" spans="1:29">
      <c r="A76" s="474" t="s">
        <v>1690</v>
      </c>
      <c r="B76" s="475" t="s">
        <v>1720</v>
      </c>
      <c r="C76" s="520" t="s">
        <v>1721</v>
      </c>
      <c r="D76" s="520" t="s">
        <v>1722</v>
      </c>
      <c r="E76" s="520" t="s">
        <v>1723</v>
      </c>
      <c r="F76" s="520" t="s">
        <v>1724</v>
      </c>
      <c r="G76" s="520" t="s">
        <v>1725</v>
      </c>
      <c r="H76" s="476"/>
      <c r="I76" s="476"/>
      <c r="J76" s="476"/>
      <c r="K76" s="521"/>
      <c r="L76" s="522"/>
      <c r="M76" s="523"/>
      <c r="N76" s="2748"/>
      <c r="O76" s="2748"/>
      <c r="P76" s="2746"/>
      <c r="Q76" s="2734"/>
      <c r="R76" s="2720"/>
      <c r="S76" s="2720"/>
      <c r="T76" s="2720"/>
      <c r="U76" s="2720"/>
      <c r="V76" s="2720"/>
      <c r="W76" s="2720"/>
      <c r="X76" s="2720"/>
      <c r="Y76" s="2720"/>
      <c r="Z76" s="2720"/>
      <c r="AA76" s="2720"/>
      <c r="AB76" s="2720"/>
      <c r="AC76" s="2720"/>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9"/>
      <c r="O77" s="2749"/>
      <c r="P77" s="2739"/>
      <c r="Q77" s="2734"/>
      <c r="R77" s="2720"/>
      <c r="S77" s="2720"/>
      <c r="T77" s="2720"/>
      <c r="U77" s="2720"/>
      <c r="V77" s="2720"/>
      <c r="W77" s="2720"/>
      <c r="X77" s="2720"/>
      <c r="Y77" s="2720"/>
      <c r="Z77" s="2720"/>
      <c r="AA77" s="2720"/>
      <c r="AB77" s="2720"/>
      <c r="AC77" s="2720"/>
    </row>
    <row r="78" spans="1:29" ht="15.75" thickTop="1">
      <c r="A78" s="481"/>
      <c r="B78" s="485" t="s">
        <v>1726</v>
      </c>
      <c r="C78" s="525" t="s">
        <v>1721</v>
      </c>
      <c r="D78" s="525" t="s">
        <v>1722</v>
      </c>
      <c r="E78" s="525" t="s">
        <v>1723</v>
      </c>
      <c r="F78" s="525" t="s">
        <v>1724</v>
      </c>
      <c r="G78" s="525" t="s">
        <v>1725</v>
      </c>
      <c r="H78" s="486"/>
      <c r="I78" s="486"/>
      <c r="J78" s="486"/>
      <c r="K78" s="487"/>
      <c r="L78" s="488"/>
      <c r="M78" s="489"/>
      <c r="N78" s="2748"/>
      <c r="O78" s="2748"/>
      <c r="P78" s="2739"/>
      <c r="Q78" s="2734"/>
      <c r="R78" s="2720"/>
      <c r="S78" s="2720"/>
      <c r="T78" s="2720"/>
      <c r="U78" s="2720"/>
      <c r="V78" s="2720"/>
      <c r="W78" s="2720"/>
      <c r="X78" s="2720"/>
      <c r="Y78" s="2720"/>
      <c r="Z78" s="2720"/>
      <c r="AA78" s="2720"/>
      <c r="AB78" s="2720"/>
      <c r="AC78" s="2720"/>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9"/>
      <c r="O79" s="2749"/>
      <c r="P79" s="2739"/>
      <c r="Q79" s="2734"/>
      <c r="R79" s="2720"/>
      <c r="S79" s="2720"/>
      <c r="T79" s="2720"/>
      <c r="U79" s="2720"/>
      <c r="V79" s="2720"/>
      <c r="W79" s="2720"/>
      <c r="X79" s="2720"/>
      <c r="Y79" s="2720"/>
      <c r="Z79" s="2720"/>
      <c r="AA79" s="2720"/>
      <c r="AB79" s="2720"/>
      <c r="AC79" s="2720"/>
    </row>
    <row r="80" spans="1:29" ht="15.75" thickTop="1">
      <c r="A80" s="481"/>
      <c r="B80" s="485" t="s">
        <v>1727</v>
      </c>
      <c r="C80" s="525" t="s">
        <v>1721</v>
      </c>
      <c r="D80" s="525" t="s">
        <v>1722</v>
      </c>
      <c r="E80" s="525" t="s">
        <v>1723</v>
      </c>
      <c r="F80" s="525" t="s">
        <v>1724</v>
      </c>
      <c r="G80" s="525" t="s">
        <v>1725</v>
      </c>
      <c r="H80" s="486"/>
      <c r="I80" s="486"/>
      <c r="J80" s="486"/>
      <c r="K80" s="487"/>
      <c r="L80" s="488"/>
      <c r="M80" s="489"/>
      <c r="N80" s="2748"/>
      <c r="O80" s="2748"/>
      <c r="P80" s="2739"/>
      <c r="Q80" s="2734"/>
      <c r="R80" s="2720"/>
      <c r="S80" s="2720"/>
      <c r="T80" s="2720"/>
      <c r="U80" s="2720"/>
      <c r="V80" s="2720"/>
      <c r="W80" s="2720"/>
      <c r="X80" s="2720"/>
      <c r="Y80" s="2720"/>
      <c r="Z80" s="2720"/>
      <c r="AA80" s="2720"/>
      <c r="AB80" s="2720"/>
      <c r="AC80" s="2720"/>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9"/>
      <c r="O81" s="2749"/>
      <c r="P81" s="2739"/>
      <c r="Q81" s="2734"/>
      <c r="R81" s="2720"/>
      <c r="S81" s="2720"/>
      <c r="T81" s="2720"/>
      <c r="U81" s="2720"/>
      <c r="V81" s="2720"/>
      <c r="W81" s="2720"/>
      <c r="X81" s="2720"/>
      <c r="Y81" s="2720"/>
      <c r="Z81" s="2720"/>
      <c r="AA81" s="2720"/>
      <c r="AB81" s="2720"/>
      <c r="AC81" s="2720"/>
    </row>
    <row r="82" spans="1:29" ht="15.75" thickTop="1">
      <c r="A82" s="481"/>
      <c r="B82" s="493" t="s">
        <v>1779</v>
      </c>
      <c r="C82" s="606" t="s">
        <v>1799</v>
      </c>
      <c r="D82" s="606" t="s">
        <v>1800</v>
      </c>
      <c r="E82" s="606" t="s">
        <v>1801</v>
      </c>
      <c r="F82" s="606" t="s">
        <v>1802</v>
      </c>
      <c r="G82" s="606" t="s">
        <v>1803</v>
      </c>
      <c r="H82" s="486"/>
      <c r="I82" s="486"/>
      <c r="J82" s="486"/>
      <c r="K82" s="486"/>
      <c r="L82" s="486"/>
      <c r="M82" s="1124"/>
      <c r="N82" s="2749"/>
      <c r="O82" s="2749"/>
      <c r="P82" s="2739"/>
      <c r="Q82" s="2734"/>
      <c r="R82" s="2720"/>
      <c r="S82" s="2720"/>
      <c r="T82" s="2720"/>
      <c r="U82" s="2720"/>
      <c r="V82" s="2720"/>
      <c r="W82" s="2720"/>
      <c r="X82" s="2720"/>
      <c r="Y82" s="2720"/>
      <c r="Z82" s="2720"/>
      <c r="AA82" s="2720"/>
      <c r="AB82" s="2720"/>
      <c r="AC82" s="2720"/>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9"/>
      <c r="O83" s="2749"/>
      <c r="P83" s="2739"/>
      <c r="Q83" s="2734"/>
      <c r="R83" s="2720"/>
      <c r="S83" s="2720"/>
      <c r="T83" s="2720"/>
      <c r="U83" s="2720"/>
      <c r="V83" s="2720"/>
      <c r="W83" s="2720"/>
      <c r="X83" s="2720"/>
      <c r="Y83" s="2720"/>
      <c r="Z83" s="2720"/>
      <c r="AA83" s="2720"/>
      <c r="AB83" s="2720"/>
      <c r="AC83" s="2720"/>
    </row>
    <row r="84" spans="1:29" ht="15.75" thickTop="1">
      <c r="A84" s="481"/>
      <c r="B84" s="485" t="s">
        <v>1733</v>
      </c>
      <c r="C84" s="525" t="s">
        <v>1721</v>
      </c>
      <c r="D84" s="525" t="s">
        <v>1722</v>
      </c>
      <c r="E84" s="525" t="s">
        <v>1723</v>
      </c>
      <c r="F84" s="525" t="s">
        <v>1724</v>
      </c>
      <c r="G84" s="525" t="s">
        <v>1725</v>
      </c>
      <c r="H84" s="486"/>
      <c r="I84" s="486"/>
      <c r="J84" s="486"/>
      <c r="K84" s="487"/>
      <c r="L84" s="488"/>
      <c r="M84" s="489"/>
      <c r="N84" s="2748"/>
      <c r="O84" s="2748"/>
      <c r="P84" s="2739"/>
      <c r="Q84" s="2734"/>
      <c r="R84" s="2720"/>
      <c r="S84" s="2720"/>
      <c r="T84" s="2720"/>
      <c r="U84" s="2720"/>
      <c r="V84" s="2720"/>
      <c r="W84" s="2720"/>
      <c r="X84" s="2720"/>
      <c r="Y84" s="2720"/>
      <c r="Z84" s="2720"/>
      <c r="AA84" s="2720"/>
      <c r="AB84" s="2720"/>
      <c r="AC84" s="2720"/>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9"/>
      <c r="O85" s="2749"/>
      <c r="P85" s="2739"/>
      <c r="Q85" s="2734"/>
      <c r="R85" s="2720"/>
      <c r="S85" s="2720"/>
      <c r="T85" s="2720"/>
      <c r="U85" s="2720"/>
      <c r="V85" s="2720"/>
      <c r="W85" s="2720"/>
      <c r="X85" s="2720"/>
      <c r="Y85" s="2720"/>
      <c r="Z85" s="2720"/>
      <c r="AA85" s="2720"/>
      <c r="AB85" s="2720"/>
      <c r="AC85" s="2720"/>
    </row>
    <row r="86" spans="1:29" s="106" customFormat="1" ht="15.75" thickTop="1">
      <c r="A86" s="526"/>
      <c r="B86" s="485" t="s">
        <v>1804</v>
      </c>
      <c r="C86" s="501"/>
      <c r="D86" s="501"/>
      <c r="E86" s="501"/>
      <c r="F86" s="501"/>
      <c r="G86" s="501"/>
      <c r="H86" s="501"/>
      <c r="I86" s="501"/>
      <c r="J86" s="501"/>
      <c r="K86" s="501"/>
      <c r="L86" s="527"/>
      <c r="M86" s="528"/>
      <c r="N86" s="2747"/>
      <c r="O86" s="2747"/>
      <c r="P86" s="2739"/>
      <c r="Q86" s="2734"/>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9"/>
      <c r="O87" s="2749"/>
      <c r="P87" s="2739"/>
      <c r="Q87" s="2734"/>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501"/>
      <c r="D88" s="501"/>
      <c r="E88" s="501"/>
      <c r="F88" s="1922"/>
      <c r="G88" s="501"/>
      <c r="H88" s="501"/>
      <c r="I88" s="501"/>
      <c r="J88" s="501"/>
      <c r="K88" s="501"/>
      <c r="L88" s="501"/>
      <c r="M88" s="528"/>
      <c r="N88" s="2747"/>
      <c r="O88" s="2747"/>
      <c r="P88" s="2739"/>
      <c r="Q88" s="2734"/>
      <c r="R88" s="2656"/>
      <c r="S88" s="2656"/>
      <c r="T88" s="2656"/>
      <c r="U88" s="2656"/>
      <c r="V88" s="2656"/>
      <c r="W88" s="2656"/>
      <c r="X88" s="2656"/>
      <c r="Y88" s="2656"/>
      <c r="Z88" s="2656"/>
      <c r="AA88" s="2656"/>
      <c r="AB88" s="2656"/>
      <c r="AC88" s="2656"/>
    </row>
    <row r="89" spans="1:29" s="106" customFormat="1" ht="15.75" thickBot="1">
      <c r="A89" s="526"/>
      <c r="B89" s="490"/>
      <c r="C89" s="507"/>
      <c r="D89" s="483"/>
      <c r="E89" s="483"/>
      <c r="F89" s="483"/>
      <c r="G89" s="483"/>
      <c r="H89" s="483"/>
      <c r="I89" s="483"/>
      <c r="J89" s="483"/>
      <c r="K89" s="483"/>
      <c r="L89" s="483"/>
      <c r="M89" s="483"/>
      <c r="N89" s="2749"/>
      <c r="O89" s="2749"/>
      <c r="P89" s="2739"/>
      <c r="Q89" s="2734"/>
      <c r="R89" s="2656"/>
      <c r="S89" s="2656"/>
      <c r="T89" s="2656"/>
      <c r="U89" s="2656"/>
      <c r="V89" s="2656"/>
      <c r="W89" s="2656"/>
      <c r="X89" s="2656"/>
      <c r="Y89" s="2656"/>
      <c r="Z89" s="2656"/>
      <c r="AA89" s="2656"/>
      <c r="AB89" s="2656"/>
      <c r="AC89" s="2656"/>
    </row>
    <row r="90" spans="1:29" s="420" customFormat="1" ht="15.75" thickTop="1">
      <c r="A90" s="500"/>
      <c r="B90" s="485" t="str">
        <f>B27</f>
        <v>人流量</v>
      </c>
      <c r="C90" s="501"/>
      <c r="D90" s="501"/>
      <c r="E90" s="501"/>
      <c r="F90" s="501"/>
      <c r="G90" s="501"/>
      <c r="H90" s="502"/>
      <c r="I90" s="502"/>
      <c r="J90" s="502"/>
      <c r="K90" s="502"/>
      <c r="L90" s="503"/>
      <c r="M90" s="504"/>
      <c r="N90" s="2750"/>
      <c r="O90" s="2750"/>
      <c r="P90" s="2740"/>
      <c r="Q90" s="2741"/>
      <c r="R90" s="2742"/>
      <c r="S90" s="2742"/>
      <c r="T90" s="2742"/>
      <c r="U90" s="2742"/>
      <c r="V90" s="2742"/>
      <c r="W90" s="2742"/>
      <c r="X90" s="2742"/>
      <c r="Y90" s="2742"/>
      <c r="Z90" s="2742"/>
      <c r="AA90" s="2742"/>
      <c r="AB90" s="2742"/>
      <c r="AC90" s="2742"/>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1"/>
      <c r="B92" s="485" t="str">
        <f>B28</f>
        <v>楼层</v>
      </c>
      <c r="C92" s="501"/>
      <c r="D92" s="501"/>
      <c r="E92" s="501"/>
      <c r="F92" s="501"/>
      <c r="G92" s="501"/>
      <c r="H92" s="501"/>
      <c r="I92" s="501"/>
      <c r="J92" s="501"/>
      <c r="K92" s="501"/>
      <c r="L92" s="527"/>
      <c r="M92" s="528"/>
      <c r="N92" s="2748"/>
      <c r="O92" s="2748"/>
      <c r="P92" s="2739"/>
      <c r="Q92" s="2734"/>
      <c r="R92" s="2720"/>
      <c r="S92" s="2720"/>
      <c r="T92" s="2720"/>
      <c r="U92" s="2720"/>
      <c r="V92" s="2720"/>
      <c r="W92" s="2720"/>
      <c r="X92" s="2720"/>
      <c r="Y92" s="2720"/>
      <c r="Z92" s="2720"/>
      <c r="AA92" s="2720"/>
      <c r="AB92" s="2720"/>
      <c r="AC92" s="2720"/>
    </row>
    <row r="93" spans="1:29" ht="15.75" thickBot="1">
      <c r="A93" s="481"/>
      <c r="B93" s="490"/>
      <c r="C93" s="483"/>
      <c r="D93" s="483"/>
      <c r="E93" s="483"/>
      <c r="F93" s="483"/>
      <c r="G93" s="483"/>
      <c r="H93" s="483"/>
      <c r="I93" s="483"/>
      <c r="J93" s="483"/>
      <c r="K93" s="483"/>
      <c r="L93" s="483"/>
      <c r="M93" s="484"/>
      <c r="N93" s="2749"/>
      <c r="O93" s="2749"/>
      <c r="P93" s="2739"/>
      <c r="Q93" s="2734"/>
      <c r="R93" s="2720"/>
      <c r="S93" s="2720"/>
      <c r="T93" s="2720"/>
      <c r="U93" s="2720"/>
      <c r="V93" s="2720"/>
      <c r="W93" s="2720"/>
      <c r="X93" s="2720"/>
      <c r="Y93" s="2720"/>
      <c r="Z93" s="2720"/>
      <c r="AA93" s="2720"/>
      <c r="AB93" s="2720"/>
      <c r="AC93" s="2720"/>
    </row>
    <row r="94" spans="1:29" ht="15.75" thickTop="1">
      <c r="A94" s="481"/>
      <c r="B94" s="485">
        <f>B29</f>
        <v>111</v>
      </c>
      <c r="C94" s="501"/>
      <c r="D94" s="501"/>
      <c r="E94" s="501"/>
      <c r="F94" s="501"/>
      <c r="G94" s="530"/>
      <c r="H94" s="530"/>
      <c r="I94" s="530"/>
      <c r="J94" s="530"/>
      <c r="K94" s="531"/>
      <c r="L94" s="532"/>
      <c r="M94" s="533"/>
      <c r="N94" s="2748"/>
      <c r="O94" s="2748"/>
      <c r="P94" s="2739"/>
      <c r="Q94" s="2734"/>
      <c r="R94" s="2720"/>
      <c r="S94" s="2720"/>
      <c r="T94" s="2720"/>
      <c r="U94" s="2720"/>
      <c r="V94" s="2720"/>
      <c r="W94" s="2720"/>
      <c r="X94" s="2720"/>
      <c r="Y94" s="2720"/>
      <c r="Z94" s="2720"/>
      <c r="AA94" s="2720"/>
      <c r="AB94" s="2720"/>
      <c r="AC94" s="2720"/>
    </row>
    <row r="95" spans="1:29" ht="15.75" thickBot="1">
      <c r="A95" s="481"/>
      <c r="B95" s="490"/>
      <c r="C95" s="507"/>
      <c r="D95" s="483"/>
      <c r="E95" s="483"/>
      <c r="F95" s="483"/>
      <c r="G95" s="483"/>
      <c r="H95" s="483"/>
      <c r="I95" s="483"/>
      <c r="J95" s="483"/>
      <c r="K95" s="483"/>
      <c r="L95" s="483"/>
      <c r="M95" s="484"/>
      <c r="N95" s="2749"/>
      <c r="O95" s="2749"/>
      <c r="P95" s="2739"/>
      <c r="Q95" s="2734"/>
      <c r="R95" s="2720"/>
      <c r="S95" s="2720"/>
      <c r="T95" s="2720"/>
      <c r="U95" s="2720"/>
      <c r="V95" s="2720"/>
      <c r="W95" s="2720"/>
      <c r="X95" s="2720"/>
      <c r="Y95" s="2720"/>
      <c r="Z95" s="2720"/>
      <c r="AA95" s="2720"/>
      <c r="AB95" s="2720"/>
      <c r="AC95" s="2720"/>
    </row>
    <row r="96" spans="1:29" ht="15.75" thickTop="1">
      <c r="A96" s="481"/>
      <c r="B96" s="485">
        <f>B30</f>
        <v>111</v>
      </c>
      <c r="C96" s="501"/>
      <c r="D96" s="501"/>
      <c r="E96" s="501"/>
      <c r="F96" s="501"/>
      <c r="G96" s="530"/>
      <c r="H96" s="530"/>
      <c r="I96" s="530"/>
      <c r="J96" s="530"/>
      <c r="K96" s="531"/>
      <c r="L96" s="532"/>
      <c r="M96" s="533"/>
      <c r="N96" s="2748"/>
      <c r="O96" s="2748"/>
      <c r="P96" s="2739"/>
      <c r="Q96" s="2734"/>
      <c r="R96" s="2720"/>
      <c r="S96" s="2720"/>
      <c r="T96" s="2720"/>
      <c r="U96" s="2720"/>
      <c r="V96" s="2720"/>
      <c r="W96" s="2720"/>
      <c r="X96" s="2720"/>
      <c r="Y96" s="2720"/>
      <c r="Z96" s="2720"/>
      <c r="AA96" s="2720"/>
      <c r="AB96" s="2720"/>
      <c r="AC96" s="2720"/>
    </row>
    <row r="97" spans="1:29" ht="15.75" thickBot="1">
      <c r="A97" s="481"/>
      <c r="B97" s="490"/>
      <c r="C97" s="507"/>
      <c r="D97" s="483"/>
      <c r="E97" s="483"/>
      <c r="F97" s="483"/>
      <c r="G97" s="483"/>
      <c r="H97" s="483"/>
      <c r="I97" s="483"/>
      <c r="J97" s="483"/>
      <c r="K97" s="483"/>
      <c r="L97" s="483"/>
      <c r="M97" s="484"/>
      <c r="N97" s="2749"/>
      <c r="O97" s="2749"/>
      <c r="P97" s="2739"/>
      <c r="Q97" s="2734"/>
      <c r="R97" s="2720"/>
      <c r="S97" s="2720"/>
      <c r="T97" s="2720"/>
      <c r="U97" s="2720"/>
      <c r="V97" s="2720"/>
      <c r="W97" s="2720"/>
      <c r="X97" s="2720"/>
      <c r="Y97" s="2720"/>
      <c r="Z97" s="2720"/>
      <c r="AA97" s="2720"/>
      <c r="AB97" s="2720"/>
      <c r="AC97" s="2720"/>
    </row>
    <row r="98" spans="1:29" ht="15.75" thickTop="1">
      <c r="A98" s="481"/>
      <c r="B98" s="493">
        <f>B31</f>
        <v>111</v>
      </c>
      <c r="C98" s="501"/>
      <c r="D98" s="501"/>
      <c r="E98" s="501"/>
      <c r="F98" s="501"/>
      <c r="G98" s="534"/>
      <c r="H98" s="534"/>
      <c r="I98" s="534"/>
      <c r="J98" s="534"/>
      <c r="K98" s="535"/>
      <c r="L98" s="536"/>
      <c r="M98" s="537"/>
      <c r="N98" s="2748"/>
      <c r="O98" s="2748"/>
      <c r="P98" s="2739"/>
      <c r="Q98" s="2734"/>
      <c r="R98" s="2720"/>
      <c r="S98" s="2720"/>
      <c r="T98" s="2720"/>
      <c r="U98" s="2720"/>
      <c r="V98" s="2720"/>
      <c r="W98" s="2720"/>
      <c r="X98" s="2720"/>
      <c r="Y98" s="2720"/>
      <c r="Z98" s="2720"/>
      <c r="AA98" s="2720"/>
      <c r="AB98" s="2720"/>
      <c r="AC98" s="2720"/>
    </row>
    <row r="99" spans="1:29" ht="15.75" thickBot="1">
      <c r="A99" s="1923"/>
      <c r="B99" s="516"/>
      <c r="C99" s="517"/>
      <c r="D99" s="517"/>
      <c r="E99" s="517"/>
      <c r="F99" s="517"/>
      <c r="G99" s="538"/>
      <c r="H99" s="538"/>
      <c r="I99" s="538"/>
      <c r="J99" s="538"/>
      <c r="K99" s="538"/>
      <c r="L99" s="538"/>
      <c r="M99" s="539"/>
      <c r="N99" s="2749"/>
      <c r="O99" s="2749"/>
      <c r="P99" s="2739"/>
      <c r="Q99" s="2734"/>
      <c r="R99" s="2720"/>
      <c r="S99" s="2720"/>
      <c r="T99" s="2720"/>
      <c r="U99" s="2720"/>
      <c r="V99" s="2720"/>
      <c r="W99" s="2720"/>
      <c r="X99" s="2720"/>
      <c r="Y99" s="2720"/>
      <c r="Z99" s="2720"/>
      <c r="AA99" s="2720"/>
      <c r="AB99" s="2720"/>
      <c r="AC99" s="2720"/>
    </row>
    <row r="100" spans="1:29">
      <c r="A100" s="474" t="s">
        <v>1694</v>
      </c>
      <c r="B100" s="475" t="s">
        <v>1805</v>
      </c>
      <c r="C100" s="477"/>
      <c r="D100" s="477"/>
      <c r="E100" s="477"/>
      <c r="F100" s="477"/>
      <c r="G100" s="477"/>
      <c r="H100" s="477"/>
      <c r="I100" s="477"/>
      <c r="J100" s="477"/>
      <c r="K100" s="478"/>
      <c r="L100" s="479"/>
      <c r="M100" s="480"/>
      <c r="N100" s="2748"/>
      <c r="O100" s="2748"/>
      <c r="P100" s="2739"/>
      <c r="Q100" s="2734"/>
      <c r="R100" s="2720"/>
      <c r="S100" s="2720"/>
      <c r="T100" s="2720"/>
      <c r="U100" s="2720"/>
      <c r="V100" s="2720"/>
      <c r="W100" s="2720"/>
      <c r="X100" s="2720"/>
      <c r="Y100" s="2720"/>
      <c r="Z100" s="2720"/>
      <c r="AA100" s="2720"/>
      <c r="AB100" s="2720"/>
      <c r="AC100" s="2720"/>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0" customFormat="1">
      <c r="A103" s="540"/>
      <c r="B103" s="541"/>
      <c r="C103" s="542"/>
      <c r="D103" s="542"/>
      <c r="E103" s="542"/>
      <c r="F103" s="542"/>
      <c r="G103" s="542"/>
      <c r="H103" s="542"/>
      <c r="I103" s="542"/>
      <c r="J103" s="543"/>
      <c r="K103" s="543"/>
      <c r="L103" s="544"/>
      <c r="M103" s="545"/>
      <c r="N103" s="2750"/>
      <c r="O103" s="2750"/>
      <c r="P103" s="2740"/>
      <c r="Q103" s="2741"/>
      <c r="R103" s="2742"/>
      <c r="S103" s="2742"/>
      <c r="T103" s="2742"/>
      <c r="U103" s="2742"/>
      <c r="V103" s="2742"/>
      <c r="W103" s="2742"/>
      <c r="X103" s="2742"/>
      <c r="Y103" s="2742"/>
      <c r="Z103" s="2742"/>
      <c r="AA103" s="2742"/>
      <c r="AB103" s="2742"/>
      <c r="AC103" s="2742"/>
    </row>
    <row r="104" spans="1:29" s="420" customFormat="1" ht="15.75" thickBot="1">
      <c r="A104" s="500"/>
      <c r="B104" s="490"/>
      <c r="C104" s="507"/>
      <c r="D104" s="483"/>
      <c r="E104" s="483"/>
      <c r="F104" s="483"/>
      <c r="G104" s="483"/>
      <c r="H104" s="483"/>
      <c r="I104" s="483"/>
      <c r="J104" s="483"/>
      <c r="K104" s="483"/>
      <c r="L104" s="483"/>
      <c r="M104" s="484"/>
      <c r="N104" s="2749"/>
      <c r="O104" s="2749"/>
      <c r="P104" s="2740"/>
      <c r="Q104" s="2741"/>
      <c r="R104" s="2742"/>
      <c r="S104" s="2742"/>
      <c r="T104" s="2742"/>
      <c r="U104" s="2742"/>
      <c r="V104" s="2742"/>
      <c r="W104" s="2742"/>
      <c r="X104" s="2742"/>
      <c r="Y104" s="2742"/>
      <c r="Z104" s="2742"/>
      <c r="AA104" s="2742"/>
      <c r="AB104" s="2742"/>
      <c r="AC104" s="2742"/>
    </row>
    <row r="105" spans="1:29" ht="15" thickTop="1">
      <c r="A105" s="546"/>
      <c r="B105" s="485" t="s">
        <v>1738</v>
      </c>
      <c r="C105" s="501"/>
      <c r="D105" s="501"/>
      <c r="E105" s="530"/>
      <c r="F105" s="530"/>
      <c r="G105" s="530"/>
      <c r="H105" s="530"/>
      <c r="I105" s="530"/>
      <c r="J105" s="530"/>
      <c r="K105" s="531"/>
      <c r="L105" s="532"/>
      <c r="M105" s="533"/>
      <c r="N105" s="2748"/>
      <c r="O105" s="2748"/>
      <c r="P105" s="2739"/>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6"/>
      <c r="B107" s="485" t="s">
        <v>1740</v>
      </c>
      <c r="C107" s="501"/>
      <c r="D107" s="501"/>
      <c r="E107" s="501"/>
      <c r="F107" s="530"/>
      <c r="G107" s="530"/>
      <c r="H107" s="530"/>
      <c r="I107" s="530"/>
      <c r="J107" s="530"/>
      <c r="K107" s="531"/>
      <c r="L107" s="532"/>
      <c r="M107" s="533"/>
      <c r="N107" s="2748"/>
      <c r="O107" s="2748"/>
      <c r="P107" s="2739"/>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8"/>
      <c r="O109" s="2748"/>
      <c r="P109" s="2739"/>
      <c r="Q109" s="2734"/>
      <c r="R109" s="2720"/>
      <c r="S109" s="2720"/>
      <c r="T109" s="2720"/>
      <c r="U109" s="2720"/>
      <c r="V109" s="2720"/>
      <c r="W109" s="2720"/>
      <c r="X109" s="2720"/>
      <c r="Y109" s="2720"/>
      <c r="Z109" s="2720"/>
      <c r="AA109" s="2720"/>
      <c r="AB109" s="2720"/>
      <c r="AC109" s="2720"/>
    </row>
    <row r="110" spans="1:29">
      <c r="A110" s="546"/>
      <c r="B110" s="493"/>
      <c r="C110" s="550">
        <v>0.5</v>
      </c>
      <c r="D110" s="550">
        <v>0.6</v>
      </c>
      <c r="E110" s="550">
        <v>0.7</v>
      </c>
      <c r="F110" s="550">
        <v>0.8</v>
      </c>
      <c r="G110" s="550">
        <v>0.9</v>
      </c>
      <c r="H110" s="550">
        <v>1.0001</v>
      </c>
      <c r="I110" s="569"/>
      <c r="J110" s="569"/>
      <c r="K110" s="570"/>
      <c r="L110" s="571"/>
      <c r="M110" s="572"/>
      <c r="N110" s="2748"/>
      <c r="O110" s="2748"/>
      <c r="P110" s="2739"/>
      <c r="Q110" s="2734"/>
      <c r="R110" s="2720"/>
      <c r="S110" s="2720"/>
      <c r="T110" s="2720"/>
      <c r="U110" s="2720"/>
      <c r="V110" s="2720"/>
      <c r="W110" s="2720"/>
      <c r="X110" s="2720"/>
      <c r="Y110" s="2720"/>
      <c r="Z110" s="2720"/>
      <c r="AA110" s="2720"/>
      <c r="AB110" s="2720"/>
      <c r="AC110" s="2720"/>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9"/>
      <c r="O111" s="2749"/>
      <c r="P111" s="2739"/>
      <c r="Q111" s="2734"/>
      <c r="R111" s="2720"/>
      <c r="S111" s="2720"/>
      <c r="T111" s="2720"/>
      <c r="U111" s="2720"/>
      <c r="V111" s="2720"/>
      <c r="W111" s="2720"/>
      <c r="X111" s="2720"/>
      <c r="Y111" s="2720"/>
      <c r="Z111" s="2720"/>
      <c r="AA111" s="2720"/>
      <c r="AB111" s="2720"/>
      <c r="AC111" s="2720"/>
    </row>
    <row r="112" spans="1:29" s="420" customFormat="1" ht="15" thickTop="1">
      <c r="A112" s="540"/>
      <c r="B112" s="485" t="s">
        <v>1742</v>
      </c>
      <c r="C112" s="501"/>
      <c r="D112" s="501"/>
      <c r="E112" s="501"/>
      <c r="F112" s="501"/>
      <c r="G112" s="501"/>
      <c r="H112" s="530"/>
      <c r="I112" s="530"/>
      <c r="J112" s="530"/>
      <c r="K112" s="531"/>
      <c r="L112" s="532"/>
      <c r="M112" s="533"/>
      <c r="N112" s="2750"/>
      <c r="O112" s="2750"/>
      <c r="P112" s="2740"/>
      <c r="Q112" s="2741"/>
      <c r="R112" s="2742"/>
      <c r="S112" s="2742"/>
      <c r="T112" s="2742"/>
      <c r="U112" s="2742"/>
      <c r="V112" s="2742"/>
      <c r="W112" s="2742"/>
      <c r="X112" s="2742"/>
      <c r="Y112" s="2742"/>
      <c r="Z112" s="2742"/>
      <c r="AA112" s="2742"/>
      <c r="AB112" s="2742"/>
      <c r="AC112" s="2742"/>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6"/>
      <c r="B114" s="485" t="s">
        <v>1806</v>
      </c>
      <c r="C114" s="501"/>
      <c r="D114" s="501"/>
      <c r="E114" s="530"/>
      <c r="F114" s="530"/>
      <c r="G114" s="530"/>
      <c r="H114" s="530"/>
      <c r="I114" s="530"/>
      <c r="J114" s="530"/>
      <c r="K114" s="531"/>
      <c r="L114" s="532"/>
      <c r="M114" s="533"/>
      <c r="N114" s="2748"/>
      <c r="O114" s="2748"/>
      <c r="P114" s="2739"/>
      <c r="Q114" s="2734"/>
      <c r="R114" s="2720"/>
      <c r="S114" s="2720"/>
      <c r="T114" s="2720"/>
      <c r="U114" s="2720"/>
      <c r="V114" s="2720"/>
      <c r="W114" s="2720"/>
      <c r="X114" s="2720"/>
      <c r="Y114" s="2720"/>
      <c r="Z114" s="2720"/>
      <c r="AA114" s="2720"/>
      <c r="AB114" s="2720"/>
      <c r="AC114" s="2720"/>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6"/>
      <c r="B116" s="485" t="s">
        <v>1807</v>
      </c>
      <c r="C116" s="501"/>
      <c r="D116" s="501"/>
      <c r="E116" s="501"/>
      <c r="F116" s="501"/>
      <c r="G116" s="501"/>
      <c r="H116" s="530"/>
      <c r="I116" s="530"/>
      <c r="J116" s="530"/>
      <c r="K116" s="531"/>
      <c r="L116" s="532"/>
      <c r="M116" s="533"/>
      <c r="N116" s="2748"/>
      <c r="O116" s="2748"/>
      <c r="P116" s="2739"/>
      <c r="Q116" s="2734"/>
      <c r="R116" s="2720"/>
      <c r="S116" s="2720"/>
      <c r="T116" s="2720"/>
      <c r="U116" s="2720"/>
      <c r="V116" s="2720"/>
      <c r="W116" s="2720"/>
      <c r="X116" s="2720"/>
      <c r="Y116" s="2720"/>
      <c r="Z116" s="2720"/>
      <c r="AA116" s="2720"/>
      <c r="AB116" s="2720"/>
      <c r="AC116" s="2720"/>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9"/>
      <c r="O117" s="2749"/>
      <c r="P117" s="2739"/>
      <c r="Q117" s="2734"/>
      <c r="R117" s="2720"/>
      <c r="S117" s="2720"/>
      <c r="T117" s="2720"/>
      <c r="U117" s="2720"/>
      <c r="V117" s="2720"/>
      <c r="W117" s="2720"/>
      <c r="X117" s="2720"/>
      <c r="Y117" s="2720"/>
      <c r="Z117" s="2720"/>
      <c r="AA117" s="2720"/>
      <c r="AB117" s="2720"/>
      <c r="AC117" s="2720"/>
    </row>
    <row r="118" spans="1:29" ht="15" thickTop="1">
      <c r="A118" s="546"/>
      <c r="B118" s="485" t="s">
        <v>1808</v>
      </c>
      <c r="C118" s="573"/>
      <c r="D118" s="573"/>
      <c r="E118" s="573"/>
      <c r="F118" s="573"/>
      <c r="G118" s="573"/>
      <c r="H118" s="502"/>
      <c r="I118" s="502"/>
      <c r="J118" s="502"/>
      <c r="K118" s="502"/>
      <c r="L118" s="503"/>
      <c r="M118" s="504"/>
      <c r="N118" s="2748"/>
      <c r="O118" s="2748"/>
      <c r="P118" s="2739"/>
      <c r="Q118" s="2734"/>
      <c r="R118" s="2720"/>
      <c r="S118" s="2720"/>
      <c r="T118" s="2720"/>
      <c r="U118" s="2720"/>
      <c r="V118" s="2720"/>
      <c r="W118" s="2720"/>
      <c r="X118" s="2720"/>
      <c r="Y118" s="2720"/>
      <c r="Z118" s="2720"/>
      <c r="AA118" s="2720"/>
      <c r="AB118" s="2720"/>
      <c r="AC118" s="2720"/>
    </row>
    <row r="119" spans="1:29" ht="15.75" thickBot="1">
      <c r="A119" s="481"/>
      <c r="B119" s="490"/>
      <c r="C119" s="507"/>
      <c r="D119" s="483"/>
      <c r="E119" s="483"/>
      <c r="F119" s="483"/>
      <c r="G119" s="483"/>
      <c r="H119" s="483"/>
      <c r="I119" s="483"/>
      <c r="J119" s="483"/>
      <c r="K119" s="483"/>
      <c r="L119" s="483"/>
      <c r="M119" s="484"/>
      <c r="N119" s="2749"/>
      <c r="O119" s="2749"/>
      <c r="P119" s="2739"/>
      <c r="Q119" s="2734"/>
      <c r="R119" s="2720"/>
      <c r="S119" s="2720"/>
      <c r="T119" s="2720"/>
      <c r="U119" s="2720"/>
      <c r="V119" s="2720"/>
      <c r="W119" s="2720"/>
      <c r="X119" s="2720"/>
      <c r="Y119" s="2720"/>
      <c r="Z119" s="2720"/>
      <c r="AA119" s="2720"/>
      <c r="AB119" s="2720"/>
      <c r="AC119" s="2720"/>
    </row>
    <row r="120" spans="1:29" s="420" customFormat="1" ht="15" thickTop="1">
      <c r="A120" s="540"/>
      <c r="B120" s="485" t="s">
        <v>1809</v>
      </c>
      <c r="C120" s="530"/>
      <c r="D120" s="530"/>
      <c r="E120" s="530"/>
      <c r="F120" s="530"/>
      <c r="G120" s="502"/>
      <c r="H120" s="502"/>
      <c r="I120" s="502"/>
      <c r="J120" s="502"/>
      <c r="K120" s="502"/>
      <c r="L120" s="503"/>
      <c r="M120" s="504"/>
      <c r="N120" s="2750"/>
      <c r="O120" s="2750"/>
      <c r="P120" s="2740"/>
      <c r="Q120" s="2741"/>
      <c r="R120" s="2742"/>
      <c r="S120" s="2742"/>
      <c r="T120" s="2742"/>
      <c r="U120" s="2742"/>
      <c r="V120" s="2742"/>
      <c r="W120" s="2742"/>
      <c r="X120" s="2742"/>
      <c r="Y120" s="2742"/>
      <c r="Z120" s="2742"/>
      <c r="AA120" s="2742"/>
      <c r="AB120" s="2742"/>
      <c r="AC120" s="2742"/>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6"/>
      <c r="B122" s="485" t="s">
        <v>1744</v>
      </c>
      <c r="C122" s="501"/>
      <c r="D122" s="501"/>
      <c r="E122" s="501"/>
      <c r="F122" s="530"/>
      <c r="G122" s="530"/>
      <c r="H122" s="530"/>
      <c r="I122" s="530"/>
      <c r="J122" s="530"/>
      <c r="K122" s="531"/>
      <c r="L122" s="532"/>
      <c r="M122" s="533"/>
      <c r="N122" s="2748"/>
      <c r="O122" s="2748"/>
      <c r="P122" s="2739"/>
      <c r="Q122" s="2734"/>
      <c r="R122" s="2720"/>
      <c r="S122" s="2720"/>
      <c r="T122" s="2720"/>
      <c r="U122" s="2720"/>
      <c r="V122" s="2720"/>
      <c r="W122" s="2720"/>
      <c r="X122" s="2720"/>
      <c r="Y122" s="2720"/>
      <c r="Z122" s="2720"/>
      <c r="AA122" s="2720"/>
      <c r="AB122" s="2720"/>
      <c r="AC122" s="2720"/>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8"/>
      <c r="O124" s="2748"/>
      <c r="P124" s="2740"/>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9"/>
      <c r="O125" s="2749"/>
      <c r="P125" s="2739"/>
      <c r="Q125" s="2734"/>
      <c r="R125" s="2720"/>
      <c r="S125" s="2720"/>
      <c r="T125" s="2720"/>
      <c r="U125" s="2720"/>
      <c r="V125" s="2720"/>
      <c r="W125" s="2720"/>
      <c r="X125" s="2720"/>
      <c r="Y125" s="2720"/>
      <c r="Z125" s="2720"/>
      <c r="AA125" s="2720"/>
      <c r="AB125" s="2720"/>
      <c r="AC125" s="2720"/>
    </row>
    <row r="126" spans="1:29" s="420" customFormat="1" ht="15" thickTop="1">
      <c r="A126" s="540"/>
      <c r="B126" s="485">
        <f>B44</f>
        <v>111</v>
      </c>
      <c r="C126" s="501"/>
      <c r="D126" s="501"/>
      <c r="E126" s="501"/>
      <c r="F126" s="501"/>
      <c r="G126" s="501"/>
      <c r="H126" s="502"/>
      <c r="I126" s="502"/>
      <c r="J126" s="502"/>
      <c r="K126" s="502"/>
      <c r="L126" s="503"/>
      <c r="M126" s="504"/>
      <c r="N126" s="2750"/>
      <c r="O126" s="2750"/>
      <c r="P126" s="2740"/>
      <c r="Q126" s="2741"/>
      <c r="R126" s="2742"/>
      <c r="S126" s="2742"/>
      <c r="T126" s="2742"/>
      <c r="U126" s="2742"/>
      <c r="V126" s="2742"/>
      <c r="W126" s="2742"/>
      <c r="X126" s="2742"/>
      <c r="Y126" s="2742"/>
      <c r="Z126" s="2742"/>
      <c r="AA126" s="2742"/>
      <c r="AB126" s="2742"/>
      <c r="AC126" s="2742"/>
    </row>
    <row r="127" spans="1:29" s="420" customFormat="1" ht="15.75" thickBot="1">
      <c r="A127" s="500"/>
      <c r="B127" s="490"/>
      <c r="C127" s="507"/>
      <c r="D127" s="483"/>
      <c r="E127" s="483"/>
      <c r="F127" s="483"/>
      <c r="G127" s="507"/>
      <c r="H127" s="509"/>
      <c r="I127" s="509"/>
      <c r="J127" s="509"/>
      <c r="K127" s="509"/>
      <c r="L127" s="509"/>
      <c r="M127" s="510"/>
      <c r="N127" s="2750"/>
      <c r="O127" s="2750"/>
      <c r="P127" s="2740"/>
      <c r="Q127" s="2741"/>
      <c r="R127" s="2742"/>
      <c r="S127" s="2742"/>
      <c r="T127" s="2742"/>
      <c r="U127" s="2742"/>
      <c r="V127" s="2742"/>
      <c r="W127" s="2742"/>
      <c r="X127" s="2742"/>
      <c r="Y127" s="2742"/>
      <c r="Z127" s="2742"/>
      <c r="AA127" s="2742"/>
      <c r="AB127" s="2742"/>
      <c r="AC127" s="2742"/>
    </row>
    <row r="128" spans="1:29" ht="15" thickTop="1">
      <c r="A128" s="546"/>
      <c r="B128" s="485">
        <f>B45</f>
        <v>111</v>
      </c>
      <c r="C128" s="501"/>
      <c r="D128" s="501"/>
      <c r="E128" s="501"/>
      <c r="F128" s="501"/>
      <c r="G128" s="530"/>
      <c r="H128" s="530"/>
      <c r="I128" s="530"/>
      <c r="J128" s="530"/>
      <c r="K128" s="531"/>
      <c r="L128" s="532"/>
      <c r="M128" s="533"/>
      <c r="N128" s="2748"/>
      <c r="O128" s="2748"/>
      <c r="P128" s="2739"/>
      <c r="Q128" s="2734"/>
      <c r="R128" s="2720"/>
      <c r="S128" s="2720"/>
      <c r="T128" s="2720"/>
      <c r="U128" s="2720"/>
      <c r="V128" s="2720"/>
      <c r="W128" s="2720"/>
      <c r="X128" s="2720"/>
      <c r="Y128" s="2720"/>
      <c r="Z128" s="2720"/>
      <c r="AA128" s="2720"/>
      <c r="AB128" s="2720"/>
      <c r="AC128" s="2720"/>
    </row>
    <row r="129" spans="1:29" ht="15.75" thickBot="1">
      <c r="A129" s="481"/>
      <c r="B129" s="490"/>
      <c r="C129" s="507"/>
      <c r="D129" s="483"/>
      <c r="E129" s="483"/>
      <c r="F129" s="483"/>
      <c r="G129" s="483"/>
      <c r="H129" s="483"/>
      <c r="I129" s="483"/>
      <c r="J129" s="483"/>
      <c r="K129" s="483"/>
      <c r="L129" s="483"/>
      <c r="M129" s="484"/>
      <c r="N129" s="2749"/>
      <c r="O129" s="2749"/>
      <c r="P129" s="2739"/>
      <c r="Q129" s="2734"/>
      <c r="R129" s="2720"/>
      <c r="S129" s="2720"/>
      <c r="T129" s="2720"/>
      <c r="U129" s="2720"/>
      <c r="V129" s="2720"/>
      <c r="W129" s="2720"/>
      <c r="X129" s="2720"/>
      <c r="Y129" s="2720"/>
      <c r="Z129" s="2720"/>
      <c r="AA129" s="2720"/>
      <c r="AB129" s="2720"/>
      <c r="AC129" s="2720"/>
    </row>
    <row r="130" spans="1:29" ht="15" thickTop="1">
      <c r="A130" s="546"/>
      <c r="B130" s="493">
        <f>B46</f>
        <v>111</v>
      </c>
      <c r="C130" s="501"/>
      <c r="D130" s="501"/>
      <c r="E130" s="501"/>
      <c r="F130" s="501"/>
      <c r="G130" s="534"/>
      <c r="H130" s="534"/>
      <c r="I130" s="534"/>
      <c r="J130" s="534"/>
      <c r="K130" s="470"/>
      <c r="L130" s="471"/>
      <c r="M130" s="537"/>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6"/>
      <c r="C131" s="517"/>
      <c r="D131" s="517"/>
      <c r="E131" s="517"/>
      <c r="F131" s="517"/>
      <c r="G131" s="538"/>
      <c r="H131" s="538"/>
      <c r="I131" s="538"/>
      <c r="J131" s="538"/>
      <c r="K131" s="538"/>
      <c r="L131" s="538"/>
      <c r="M131" s="539"/>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1810</v>
      </c>
      <c r="C1" s="1219" t="s">
        <v>1662</v>
      </c>
      <c r="D1" s="1220"/>
      <c r="E1" s="3358"/>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697"/>
      <c r="Q3" s="697"/>
      <c r="R3" s="697"/>
      <c r="S3" s="697"/>
      <c r="T3" s="697"/>
      <c r="U3" s="697"/>
      <c r="V3" s="697"/>
      <c r="W3" s="697"/>
      <c r="X3" s="697"/>
      <c r="Y3" s="697"/>
      <c r="Z3" s="697"/>
      <c r="AA3" s="697"/>
      <c r="AB3" s="697"/>
      <c r="AC3" s="698"/>
    </row>
    <row r="4" spans="1:29" ht="15">
      <c r="A4" s="353" t="s">
        <v>1769</v>
      </c>
      <c r="B4" s="354"/>
      <c r="C4" s="4083" t="s">
        <v>1770</v>
      </c>
      <c r="D4" s="4084"/>
      <c r="E4" s="4085" t="s">
        <v>1771</v>
      </c>
      <c r="F4" s="4086"/>
      <c r="G4" s="4083" t="s">
        <v>1772</v>
      </c>
      <c r="H4" s="4084"/>
      <c r="I4" s="4083" t="s">
        <v>1773</v>
      </c>
      <c r="J4" s="4084"/>
      <c r="K4" s="557" t="s">
        <v>1774</v>
      </c>
      <c r="L4" s="2710"/>
      <c r="M4" s="2711"/>
      <c r="N4" s="2711"/>
      <c r="O4" s="2711"/>
      <c r="P4" s="4117" t="s">
        <v>1775</v>
      </c>
      <c r="Q4" s="4118"/>
      <c r="R4" s="4121" t="s">
        <v>1771</v>
      </c>
      <c r="S4" s="4122"/>
      <c r="T4" s="4121" t="s">
        <v>1772</v>
      </c>
      <c r="U4" s="4122"/>
      <c r="V4" s="4123" t="s">
        <v>1773</v>
      </c>
      <c r="W4" s="4123"/>
      <c r="X4" s="1953"/>
      <c r="Y4" s="4121" t="s">
        <v>1775</v>
      </c>
      <c r="Z4" s="4122"/>
      <c r="AA4" s="4125" t="s">
        <v>1771</v>
      </c>
      <c r="AB4" s="4125" t="s">
        <v>1772</v>
      </c>
      <c r="AC4" s="4114" t="s">
        <v>1773</v>
      </c>
    </row>
    <row r="5" spans="1:29" ht="15">
      <c r="A5" s="356"/>
      <c r="B5" s="357"/>
      <c r="C5" s="4102" t="s">
        <v>1673</v>
      </c>
      <c r="D5" s="4103"/>
      <c r="E5" s="4109" t="s">
        <v>1674</v>
      </c>
      <c r="F5" s="4110"/>
      <c r="G5" s="4102" t="s">
        <v>1675</v>
      </c>
      <c r="H5" s="4103"/>
      <c r="I5" s="4102" t="s">
        <v>1676</v>
      </c>
      <c r="J5" s="4103"/>
      <c r="K5" s="557"/>
      <c r="L5" s="2710"/>
      <c r="M5" s="2711"/>
      <c r="N5" s="2711"/>
      <c r="O5" s="2711"/>
      <c r="P5" s="4119"/>
      <c r="Q5" s="4090"/>
      <c r="R5" s="4095"/>
      <c r="S5" s="4096"/>
      <c r="T5" s="4095"/>
      <c r="U5" s="4096"/>
      <c r="V5" s="4099"/>
      <c r="W5" s="4099"/>
      <c r="X5" s="1350"/>
      <c r="Y5" s="4095"/>
      <c r="Z5" s="4096"/>
      <c r="AA5" s="4081"/>
      <c r="AB5" s="4081"/>
      <c r="AC5" s="4115"/>
    </row>
    <row r="6" spans="1:29" ht="15.75" thickBot="1">
      <c r="A6" s="358"/>
      <c r="B6" s="359"/>
      <c r="C6" s="4100" t="s">
        <v>1677</v>
      </c>
      <c r="D6" s="4101"/>
      <c r="E6" s="4107" t="s">
        <v>1677</v>
      </c>
      <c r="F6" s="4108"/>
      <c r="G6" s="4100" t="s">
        <v>1677</v>
      </c>
      <c r="H6" s="4101"/>
      <c r="I6" s="4100" t="s">
        <v>1677</v>
      </c>
      <c r="J6" s="4101"/>
      <c r="K6" s="557" t="s">
        <v>1678</v>
      </c>
      <c r="L6" s="2710"/>
      <c r="M6" s="2711"/>
      <c r="N6" s="2711"/>
      <c r="O6" s="2711"/>
      <c r="P6" s="4120"/>
      <c r="Q6" s="4092"/>
      <c r="R6" s="4095"/>
      <c r="S6" s="4096"/>
      <c r="T6" s="4097"/>
      <c r="U6" s="4098"/>
      <c r="V6" s="4099"/>
      <c r="W6" s="4099"/>
      <c r="X6" s="1350"/>
      <c r="Y6" s="4097"/>
      <c r="Z6" s="4098"/>
      <c r="AA6" s="4082"/>
      <c r="AB6" s="4082"/>
      <c r="AC6" s="4116"/>
    </row>
    <row r="7" spans="1:29" s="106" customFormat="1" ht="15.75" thickBot="1">
      <c r="A7" s="360" t="s">
        <v>1679</v>
      </c>
      <c r="B7" s="361"/>
      <c r="C7" s="362">
        <f>'数据-取费表'!B2</f>
        <v>45226</v>
      </c>
      <c r="D7" s="363">
        <v>100</v>
      </c>
      <c r="E7" s="364"/>
      <c r="F7" s="365">
        <f>SUMIF(59:59,YEAR(E7)&amp;"-"&amp;MONTH(E7),60:60)</f>
        <v>0</v>
      </c>
      <c r="G7" s="364"/>
      <c r="H7" s="363">
        <f>SUMIF(59:59,YEAR(G7)&amp;"-"&amp;MONTH(G7),60:60)</f>
        <v>0</v>
      </c>
      <c r="I7" s="364"/>
      <c r="J7" s="363">
        <f>SUMIF(59:59,YEAR(I7)&amp;"-"&amp;MONTH(I7),60:60)</f>
        <v>0</v>
      </c>
      <c r="K7" s="558"/>
      <c r="L7" s="2712"/>
      <c r="M7" s="2713"/>
      <c r="N7" s="2713"/>
      <c r="O7" s="2713"/>
      <c r="P7" s="4124" t="s">
        <v>1680</v>
      </c>
      <c r="Q7" s="4106"/>
      <c r="R7" s="699" t="s">
        <v>14</v>
      </c>
      <c r="S7" s="700">
        <f t="shared" ref="S7:S15" si="0">F7</f>
        <v>0</v>
      </c>
      <c r="T7" s="699" t="s">
        <v>14</v>
      </c>
      <c r="U7" s="700">
        <f t="shared" ref="U7:U15" si="1">H7</f>
        <v>0</v>
      </c>
      <c r="V7" s="699" t="s">
        <v>14</v>
      </c>
      <c r="W7" s="700">
        <f t="shared" ref="W7:W15" si="2">J7</f>
        <v>0</v>
      </c>
      <c r="X7" s="701"/>
      <c r="Y7" s="4104" t="s">
        <v>1680</v>
      </c>
      <c r="Z7" s="4105"/>
      <c r="AA7" s="702" t="e">
        <f>D7/F7</f>
        <v>#DIV/0!</v>
      </c>
      <c r="AB7" s="702" t="e">
        <f>D7/H7</f>
        <v>#DIV/0!</v>
      </c>
      <c r="AC7" s="1954"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2"/>
      <c r="M8" s="2713"/>
      <c r="N8" s="2713"/>
      <c r="O8" s="2713"/>
      <c r="P8" s="4124" t="s">
        <v>1683</v>
      </c>
      <c r="Q8" s="4105"/>
      <c r="R8" s="699" t="s">
        <v>14</v>
      </c>
      <c r="S8" s="700">
        <f t="shared" si="0"/>
        <v>100</v>
      </c>
      <c r="T8" s="699" t="s">
        <v>14</v>
      </c>
      <c r="U8" s="700">
        <f t="shared" si="1"/>
        <v>100</v>
      </c>
      <c r="V8" s="699" t="s">
        <v>14</v>
      </c>
      <c r="W8" s="700">
        <f t="shared" si="2"/>
        <v>100</v>
      </c>
      <c r="X8" s="701"/>
      <c r="Y8" s="4104" t="s">
        <v>1683</v>
      </c>
      <c r="Z8" s="4105"/>
      <c r="AA8" s="702">
        <f t="shared" ref="AA8:AA47" si="3">D8/F8</f>
        <v>1</v>
      </c>
      <c r="AB8" s="702">
        <f t="shared" ref="AB8:AB47" si="4">D8/H8</f>
        <v>1</v>
      </c>
      <c r="AC8" s="1954">
        <f t="shared" ref="AC8:AC47" si="5">D8/J8</f>
        <v>1</v>
      </c>
    </row>
    <row r="9" spans="1:29" s="106" customFormat="1">
      <c r="A9" s="367" t="s">
        <v>1684</v>
      </c>
      <c r="B9" s="61" t="s">
        <v>1685</v>
      </c>
      <c r="C9" s="368"/>
      <c r="D9" s="124">
        <v>100</v>
      </c>
      <c r="E9" s="371"/>
      <c r="F9" s="124">
        <f>SUMIF(64:64,E9,65:65)-SUMIF(64:64,C9,65:65)+100</f>
        <v>100</v>
      </c>
      <c r="G9" s="369"/>
      <c r="H9" s="124">
        <f>SUMIF(64:64,G9,65:65)-SUMIF(64:64,C9,65:65)+100</f>
        <v>100</v>
      </c>
      <c r="I9" s="369"/>
      <c r="J9" s="124">
        <f>SUMIF(64:64,I9,65:65)-SUMIF(64:64,C9,65:65)+100</f>
        <v>100</v>
      </c>
      <c r="K9" s="558"/>
      <c r="L9" s="2712"/>
      <c r="M9" s="2713"/>
      <c r="N9" s="2713"/>
      <c r="O9" s="2713"/>
      <c r="P9" s="4079" t="s">
        <v>1686</v>
      </c>
      <c r="Q9" s="1338" t="str">
        <f t="shared" ref="Q9:Q15" si="6">B9</f>
        <v>用途</v>
      </c>
      <c r="R9" s="699" t="s">
        <v>14</v>
      </c>
      <c r="S9" s="700">
        <f t="shared" si="0"/>
        <v>100</v>
      </c>
      <c r="T9" s="699" t="s">
        <v>14</v>
      </c>
      <c r="U9" s="700">
        <f t="shared" si="1"/>
        <v>100</v>
      </c>
      <c r="V9" s="699" t="s">
        <v>14</v>
      </c>
      <c r="W9" s="700">
        <f t="shared" si="2"/>
        <v>100</v>
      </c>
      <c r="X9" s="701"/>
      <c r="Y9" s="3943" t="s">
        <v>1687</v>
      </c>
      <c r="Z9" s="50" t="str">
        <f t="shared" ref="Z9:Z15" si="7">Q9</f>
        <v>用途</v>
      </c>
      <c r="AA9" s="702">
        <f t="shared" si="3"/>
        <v>1</v>
      </c>
      <c r="AB9" s="702">
        <f t="shared" si="4"/>
        <v>1</v>
      </c>
      <c r="AC9" s="1954">
        <f t="shared" si="5"/>
        <v>1</v>
      </c>
    </row>
    <row r="10" spans="1:29" s="376" customFormat="1" ht="27">
      <c r="A10" s="372"/>
      <c r="B10" s="373" t="s">
        <v>1688</v>
      </c>
      <c r="C10" s="3359"/>
      <c r="D10" s="125">
        <v>100</v>
      </c>
      <c r="E10" s="3359"/>
      <c r="F10" s="125">
        <f>SUMIF(66:66,E10,67:67)-SUMIF(66:66,C10,67:67)+100</f>
        <v>100</v>
      </c>
      <c r="G10" s="3360"/>
      <c r="H10" s="125">
        <f>SUMIF(66:66,G10,67:67)-SUMIF(66:66,C10,67:67)+100</f>
        <v>100</v>
      </c>
      <c r="I10" s="3359"/>
      <c r="J10" s="125">
        <f>SUMIF(66:66,I10,67:67)-SUMIF(66:66,C10,67:67)+100</f>
        <v>100</v>
      </c>
      <c r="K10" s="558"/>
      <c r="L10" s="2714"/>
      <c r="M10" s="2715"/>
      <c r="N10" s="2715"/>
      <c r="O10" s="2715"/>
      <c r="P10" s="4079"/>
      <c r="Q10" s="1338" t="str">
        <f t="shared" si="6"/>
        <v>土地使用年限（年）</v>
      </c>
      <c r="R10" s="699" t="s">
        <v>14</v>
      </c>
      <c r="S10" s="700">
        <f t="shared" si="0"/>
        <v>100</v>
      </c>
      <c r="T10" s="699" t="s">
        <v>14</v>
      </c>
      <c r="U10" s="700">
        <f t="shared" si="1"/>
        <v>100</v>
      </c>
      <c r="V10" s="699" t="s">
        <v>14</v>
      </c>
      <c r="W10" s="700">
        <f t="shared" si="2"/>
        <v>100</v>
      </c>
      <c r="X10" s="701"/>
      <c r="Y10" s="3943"/>
      <c r="Z10" s="50" t="str">
        <f t="shared" si="7"/>
        <v>土地使用年限（年）</v>
      </c>
      <c r="AA10" s="702">
        <f t="shared" si="3"/>
        <v>1</v>
      </c>
      <c r="AB10" s="702">
        <f t="shared" si="4"/>
        <v>1</v>
      </c>
      <c r="AC10" s="1954">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6"/>
      <c r="M11" s="2711"/>
      <c r="N11" s="2711"/>
      <c r="O11" s="2711"/>
      <c r="P11" s="4079"/>
      <c r="Q11" s="1338" t="str">
        <f t="shared" si="6"/>
        <v>容积率</v>
      </c>
      <c r="R11" s="699" t="s">
        <v>14</v>
      </c>
      <c r="S11" s="700">
        <f t="shared" si="0"/>
        <v>100</v>
      </c>
      <c r="T11" s="699" t="s">
        <v>14</v>
      </c>
      <c r="U11" s="700">
        <f t="shared" si="1"/>
        <v>100</v>
      </c>
      <c r="V11" s="699" t="s">
        <v>14</v>
      </c>
      <c r="W11" s="700">
        <f t="shared" si="2"/>
        <v>100</v>
      </c>
      <c r="X11" s="701"/>
      <c r="Y11" s="3943"/>
      <c r="Z11" s="50" t="str">
        <f t="shared" si="7"/>
        <v>容积率</v>
      </c>
      <c r="AA11" s="702">
        <f t="shared" si="3"/>
        <v>1</v>
      </c>
      <c r="AB11" s="702">
        <f t="shared" si="4"/>
        <v>1</v>
      </c>
      <c r="AC11" s="1954">
        <f t="shared" si="5"/>
        <v>1</v>
      </c>
    </row>
    <row r="12" spans="1:29" s="106" customFormat="1" ht="15">
      <c r="A12" s="380"/>
      <c r="B12" s="1888">
        <v>111</v>
      </c>
      <c r="C12" s="381"/>
      <c r="D12" s="382">
        <v>100</v>
      </c>
      <c r="E12" s="381"/>
      <c r="F12" s="125">
        <f>SUMIF(71:71,E12,72:72)-SUMIF(71:71,C12,72:72)+100</f>
        <v>100</v>
      </c>
      <c r="G12" s="1955"/>
      <c r="H12" s="125">
        <f>SUMIF(71:71,G12,72:72)-SUMIF(71:71,C12,72:72)+100</f>
        <v>100</v>
      </c>
      <c r="I12" s="381"/>
      <c r="J12" s="125">
        <f>SUMIF(71:71,I12,72:72)-SUMIF(71:71,C12,72:72)+100</f>
        <v>100</v>
      </c>
      <c r="K12" s="560"/>
      <c r="L12" s="2712"/>
      <c r="M12" s="2713"/>
      <c r="N12" s="2713"/>
      <c r="O12" s="2713"/>
      <c r="P12" s="4079"/>
      <c r="Q12" s="1338">
        <f t="shared" si="6"/>
        <v>111</v>
      </c>
      <c r="R12" s="699" t="s">
        <v>14</v>
      </c>
      <c r="S12" s="700">
        <f t="shared" si="0"/>
        <v>100</v>
      </c>
      <c r="T12" s="699" t="s">
        <v>14</v>
      </c>
      <c r="U12" s="700">
        <f t="shared" si="1"/>
        <v>100</v>
      </c>
      <c r="V12" s="699" t="s">
        <v>14</v>
      </c>
      <c r="W12" s="700">
        <f t="shared" si="2"/>
        <v>100</v>
      </c>
      <c r="X12" s="701"/>
      <c r="Y12" s="3943"/>
      <c r="Z12" s="50">
        <f t="shared" si="7"/>
        <v>111</v>
      </c>
      <c r="AA12" s="702">
        <f>D12/F12</f>
        <v>1</v>
      </c>
      <c r="AB12" s="702">
        <f>D12/H12</f>
        <v>1</v>
      </c>
      <c r="AC12" s="1954">
        <f>D12/J12</f>
        <v>1</v>
      </c>
    </row>
    <row r="13" spans="1:29" ht="15">
      <c r="A13" s="377"/>
      <c r="B13" s="1888">
        <v>111</v>
      </c>
      <c r="C13" s="383"/>
      <c r="D13" s="384">
        <v>100</v>
      </c>
      <c r="E13" s="381"/>
      <c r="F13" s="125">
        <f>SUMIF(73:73,E13,74:74)-SUMIF(73:73,C13,74:74)+100</f>
        <v>100</v>
      </c>
      <c r="G13" s="1955"/>
      <c r="H13" s="384">
        <f>SUMIF(73:73,G13,74:74)-SUMIF(73:73,C13,74:74)+100</f>
        <v>100</v>
      </c>
      <c r="I13" s="381"/>
      <c r="J13" s="384">
        <f>SUMIF(73:73,I13,74:74)-SUMIF(73:73,C13,74:74)+100</f>
        <v>100</v>
      </c>
      <c r="K13" s="560"/>
      <c r="L13" s="2717"/>
      <c r="M13" s="2711"/>
      <c r="N13" s="2711"/>
      <c r="O13" s="2711"/>
      <c r="P13" s="4079"/>
      <c r="Q13" s="1338">
        <f t="shared" si="6"/>
        <v>111</v>
      </c>
      <c r="R13" s="699" t="s">
        <v>14</v>
      </c>
      <c r="S13" s="700">
        <f t="shared" si="0"/>
        <v>100</v>
      </c>
      <c r="T13" s="699" t="s">
        <v>14</v>
      </c>
      <c r="U13" s="700">
        <f t="shared" si="1"/>
        <v>100</v>
      </c>
      <c r="V13" s="699" t="s">
        <v>14</v>
      </c>
      <c r="W13" s="700">
        <f t="shared" si="2"/>
        <v>100</v>
      </c>
      <c r="X13" s="701"/>
      <c r="Y13" s="3943"/>
      <c r="Z13" s="50">
        <f t="shared" si="7"/>
        <v>111</v>
      </c>
      <c r="AA13" s="702">
        <f t="shared" si="3"/>
        <v>1</v>
      </c>
      <c r="AB13" s="702">
        <f t="shared" si="4"/>
        <v>1</v>
      </c>
      <c r="AC13" s="1954">
        <f t="shared" si="5"/>
        <v>1</v>
      </c>
    </row>
    <row r="14" spans="1:29" ht="15.75" thickBot="1">
      <c r="A14" s="385"/>
      <c r="B14" s="1890">
        <v>111</v>
      </c>
      <c r="C14" s="386"/>
      <c r="D14" s="387">
        <v>100</v>
      </c>
      <c r="E14" s="574"/>
      <c r="F14" s="387">
        <f>SUMIF(75:75,E14,76:76)-SUMIF(75:75,C14,76:76)+100</f>
        <v>100</v>
      </c>
      <c r="G14" s="1955"/>
      <c r="H14" s="387">
        <f>SUMIF(75:75,G14,76:76)-SUMIF(75:75,C14,76:76)+100</f>
        <v>100</v>
      </c>
      <c r="I14" s="381"/>
      <c r="J14" s="387">
        <f>SUMIF(75:75,I14,76:76)-SUMIF(75:75,C14,76:76)+100</f>
        <v>100</v>
      </c>
      <c r="K14" s="560"/>
      <c r="L14" s="2717"/>
      <c r="M14" s="2711"/>
      <c r="N14" s="2711"/>
      <c r="O14" s="2711"/>
      <c r="P14" s="4079"/>
      <c r="Q14" s="1338">
        <f t="shared" si="6"/>
        <v>111</v>
      </c>
      <c r="R14" s="699" t="s">
        <v>14</v>
      </c>
      <c r="S14" s="700">
        <f t="shared" si="0"/>
        <v>100</v>
      </c>
      <c r="T14" s="699" t="s">
        <v>14</v>
      </c>
      <c r="U14" s="700">
        <f t="shared" si="1"/>
        <v>100</v>
      </c>
      <c r="V14" s="699" t="s">
        <v>14</v>
      </c>
      <c r="W14" s="700">
        <f t="shared" si="2"/>
        <v>100</v>
      </c>
      <c r="X14" s="701"/>
      <c r="Y14" s="3943"/>
      <c r="Z14" s="50">
        <f t="shared" si="7"/>
        <v>111</v>
      </c>
      <c r="AA14" s="702">
        <f t="shared" si="3"/>
        <v>1</v>
      </c>
      <c r="AB14" s="702">
        <f t="shared" si="4"/>
        <v>1</v>
      </c>
      <c r="AC14" s="1954">
        <f t="shared" si="5"/>
        <v>1</v>
      </c>
    </row>
    <row r="15" spans="1:29" ht="15">
      <c r="A15" s="389" t="s">
        <v>1690</v>
      </c>
      <c r="B15" s="575" t="s">
        <v>1811</v>
      </c>
      <c r="C15" s="1956">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7"/>
      <c r="M15" s="2711"/>
      <c r="N15" s="2711"/>
      <c r="O15" s="2711"/>
      <c r="P15" s="4077" t="s">
        <v>1691</v>
      </c>
      <c r="Q15" s="1347" t="str">
        <f t="shared" si="6"/>
        <v>办公集聚程度</v>
      </c>
      <c r="R15" s="703" t="s">
        <v>14</v>
      </c>
      <c r="S15" s="704">
        <f t="shared" si="0"/>
        <v>100</v>
      </c>
      <c r="T15" s="703" t="s">
        <v>14</v>
      </c>
      <c r="U15" s="704">
        <f t="shared" si="1"/>
        <v>100</v>
      </c>
      <c r="V15" s="703" t="s">
        <v>14</v>
      </c>
      <c r="W15" s="704">
        <f t="shared" si="2"/>
        <v>100</v>
      </c>
      <c r="X15" s="1350"/>
      <c r="Y15" s="4070" t="s">
        <v>1691</v>
      </c>
      <c r="Z15" s="1351" t="str">
        <f t="shared" si="7"/>
        <v>办公集聚程度</v>
      </c>
      <c r="AA15" s="1348">
        <f t="shared" si="3"/>
        <v>1</v>
      </c>
      <c r="AB15" s="1348">
        <f t="shared" si="4"/>
        <v>1</v>
      </c>
      <c r="AC15" s="1957">
        <f t="shared" si="5"/>
        <v>1</v>
      </c>
    </row>
    <row r="16" spans="1:29" ht="15">
      <c r="A16" s="377"/>
      <c r="B16" s="576"/>
      <c r="C16" s="1899"/>
      <c r="D16" s="397"/>
      <c r="E16" s="396"/>
      <c r="F16" s="397"/>
      <c r="G16" s="1899"/>
      <c r="H16" s="399"/>
      <c r="I16" s="396"/>
      <c r="J16" s="397"/>
      <c r="K16" s="562"/>
      <c r="L16" s="2717"/>
      <c r="M16" s="2711"/>
      <c r="N16" s="2711"/>
      <c r="O16" s="2711"/>
      <c r="P16" s="4078"/>
      <c r="Q16" s="1347"/>
      <c r="R16" s="703"/>
      <c r="S16" s="704"/>
      <c r="T16" s="703"/>
      <c r="U16" s="704"/>
      <c r="V16" s="703"/>
      <c r="W16" s="704"/>
      <c r="X16" s="1350"/>
      <c r="Y16" s="4071"/>
      <c r="Z16" s="1351"/>
      <c r="AA16" s="1348">
        <v>1</v>
      </c>
      <c r="AB16" s="1348">
        <v>1</v>
      </c>
      <c r="AC16" s="1957">
        <v>1</v>
      </c>
    </row>
    <row r="17" spans="1:29" ht="15">
      <c r="A17" s="377"/>
      <c r="B17" s="577" t="s">
        <v>1259</v>
      </c>
      <c r="C17" s="1958">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7"/>
      <c r="M17" s="2711"/>
      <c r="N17" s="2711"/>
      <c r="O17" s="2711"/>
      <c r="P17" s="4078"/>
      <c r="Q17" s="1347" t="str">
        <f>B17</f>
        <v>交通便捷度</v>
      </c>
      <c r="R17" s="703" t="s">
        <v>14</v>
      </c>
      <c r="S17" s="704">
        <f>F17</f>
        <v>100</v>
      </c>
      <c r="T17" s="703" t="s">
        <v>14</v>
      </c>
      <c r="U17" s="704">
        <f>H17</f>
        <v>100</v>
      </c>
      <c r="V17" s="703" t="s">
        <v>14</v>
      </c>
      <c r="W17" s="704">
        <f>J17</f>
        <v>100</v>
      </c>
      <c r="X17" s="1350"/>
      <c r="Y17" s="4071"/>
      <c r="Z17" s="1351" t="str">
        <f>Q17</f>
        <v>交通便捷度</v>
      </c>
      <c r="AA17" s="1348">
        <f t="shared" si="3"/>
        <v>1</v>
      </c>
      <c r="AB17" s="1348">
        <f t="shared" si="4"/>
        <v>1</v>
      </c>
      <c r="AC17" s="1957">
        <f t="shared" si="5"/>
        <v>1</v>
      </c>
    </row>
    <row r="18" spans="1:29" ht="15">
      <c r="A18" s="377"/>
      <c r="B18" s="578"/>
      <c r="C18" s="1959"/>
      <c r="D18" s="399"/>
      <c r="E18" s="1897"/>
      <c r="F18" s="399"/>
      <c r="G18" s="1898"/>
      <c r="H18" s="397"/>
      <c r="I18" s="1898"/>
      <c r="J18" s="397"/>
      <c r="K18" s="562"/>
      <c r="L18" s="2717"/>
      <c r="M18" s="2711"/>
      <c r="N18" s="2711"/>
      <c r="O18" s="2711"/>
      <c r="P18" s="4078"/>
      <c r="Q18" s="1347"/>
      <c r="R18" s="703"/>
      <c r="S18" s="704"/>
      <c r="T18" s="703"/>
      <c r="U18" s="704"/>
      <c r="V18" s="703"/>
      <c r="W18" s="704"/>
      <c r="X18" s="1350"/>
      <c r="Y18" s="4071"/>
      <c r="Z18" s="1351"/>
      <c r="AA18" s="1348">
        <v>1</v>
      </c>
      <c r="AB18" s="1348">
        <v>1</v>
      </c>
      <c r="AC18" s="1957">
        <v>1</v>
      </c>
    </row>
    <row r="19" spans="1:29" ht="15">
      <c r="A19" s="377"/>
      <c r="B19" s="577" t="s">
        <v>1812</v>
      </c>
      <c r="C19" s="1958">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7"/>
      <c r="M19" s="2711"/>
      <c r="N19" s="2711"/>
      <c r="O19" s="2711"/>
      <c r="P19" s="4078"/>
      <c r="Q19" s="1347" t="str">
        <f>B19</f>
        <v>公共配套设施</v>
      </c>
      <c r="R19" s="703" t="s">
        <v>14</v>
      </c>
      <c r="S19" s="704">
        <f>F19</f>
        <v>100</v>
      </c>
      <c r="T19" s="703" t="s">
        <v>14</v>
      </c>
      <c r="U19" s="704">
        <f>H19</f>
        <v>100</v>
      </c>
      <c r="V19" s="703" t="s">
        <v>14</v>
      </c>
      <c r="W19" s="704">
        <f>J19</f>
        <v>100</v>
      </c>
      <c r="X19" s="1350"/>
      <c r="Y19" s="4071"/>
      <c r="Z19" s="1351" t="str">
        <f>Q19</f>
        <v>公共配套设施</v>
      </c>
      <c r="AA19" s="1348">
        <f t="shared" si="3"/>
        <v>1</v>
      </c>
      <c r="AB19" s="1348">
        <f t="shared" si="4"/>
        <v>1</v>
      </c>
      <c r="AC19" s="1957">
        <f t="shared" si="5"/>
        <v>1</v>
      </c>
    </row>
    <row r="20" spans="1:29" ht="15">
      <c r="A20" s="377"/>
      <c r="B20" s="578"/>
      <c r="C20" s="1899"/>
      <c r="D20" s="397"/>
      <c r="E20" s="1892"/>
      <c r="F20" s="397"/>
      <c r="G20" s="1893"/>
      <c r="H20" s="397"/>
      <c r="I20" s="1893"/>
      <c r="J20" s="397"/>
      <c r="K20" s="562"/>
      <c r="L20" s="2717"/>
      <c r="M20" s="2711"/>
      <c r="N20" s="2711"/>
      <c r="O20" s="2711"/>
      <c r="P20" s="4078"/>
      <c r="Q20" s="1347"/>
      <c r="R20" s="703"/>
      <c r="S20" s="704"/>
      <c r="T20" s="703"/>
      <c r="U20" s="704"/>
      <c r="V20" s="703"/>
      <c r="W20" s="704"/>
      <c r="X20" s="1350"/>
      <c r="Y20" s="4071"/>
      <c r="Z20" s="1351"/>
      <c r="AA20" s="1348">
        <v>1</v>
      </c>
      <c r="AB20" s="1348">
        <v>1</v>
      </c>
      <c r="AC20" s="1957">
        <v>1</v>
      </c>
    </row>
    <row r="21" spans="1:29" ht="15">
      <c r="A21" s="377"/>
      <c r="B21" s="579" t="s">
        <v>1813</v>
      </c>
      <c r="C21" s="1958">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7"/>
      <c r="M21" s="2711"/>
      <c r="N21" s="2711"/>
      <c r="O21" s="2711"/>
      <c r="P21" s="4078"/>
      <c r="Q21" s="1347" t="str">
        <f>B21</f>
        <v>基础设施水平</v>
      </c>
      <c r="R21" s="703" t="s">
        <v>14</v>
      </c>
      <c r="S21" s="704">
        <f>F21</f>
        <v>100</v>
      </c>
      <c r="T21" s="703" t="s">
        <v>14</v>
      </c>
      <c r="U21" s="704">
        <f>H21</f>
        <v>100</v>
      </c>
      <c r="V21" s="703" t="s">
        <v>14</v>
      </c>
      <c r="W21" s="704">
        <f>J21</f>
        <v>100</v>
      </c>
      <c r="X21" s="1350"/>
      <c r="Y21" s="4071"/>
      <c r="Z21" s="1351" t="str">
        <f>Q21</f>
        <v>基础设施水平</v>
      </c>
      <c r="AA21" s="1348">
        <f t="shared" ref="AA21" si="8">D21/F21</f>
        <v>1</v>
      </c>
      <c r="AB21" s="1348">
        <f t="shared" ref="AB21" si="9">D21/H21</f>
        <v>1</v>
      </c>
      <c r="AC21" s="1957">
        <f t="shared" ref="AC21" si="10">D21/J21</f>
        <v>1</v>
      </c>
    </row>
    <row r="22" spans="1:29" ht="15">
      <c r="A22" s="377"/>
      <c r="B22" s="579"/>
      <c r="C22" s="1959"/>
      <c r="D22" s="397"/>
      <c r="E22" s="396"/>
      <c r="F22" s="397"/>
      <c r="G22" s="1899"/>
      <c r="H22" s="397"/>
      <c r="I22" s="1899"/>
      <c r="J22" s="397"/>
      <c r="K22" s="1125"/>
      <c r="L22" s="2717"/>
      <c r="M22" s="2711"/>
      <c r="N22" s="2711"/>
      <c r="O22" s="2711"/>
      <c r="P22" s="4078"/>
      <c r="Q22" s="1347"/>
      <c r="R22" s="703"/>
      <c r="S22" s="704"/>
      <c r="T22" s="703"/>
      <c r="U22" s="704"/>
      <c r="V22" s="703"/>
      <c r="W22" s="704"/>
      <c r="X22" s="1350"/>
      <c r="Y22" s="4071"/>
      <c r="Z22" s="1351"/>
      <c r="AA22" s="1348">
        <v>1</v>
      </c>
      <c r="AB22" s="1348">
        <v>1</v>
      </c>
      <c r="AC22" s="1957">
        <v>1</v>
      </c>
    </row>
    <row r="23" spans="1:29" ht="15">
      <c r="A23" s="377"/>
      <c r="B23" s="577" t="s">
        <v>1814</v>
      </c>
      <c r="C23" s="1958">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7"/>
      <c r="M23" s="2711"/>
      <c r="N23" s="2711"/>
      <c r="O23" s="2711"/>
      <c r="P23" s="4078"/>
      <c r="Q23" s="1347" t="str">
        <f>B23</f>
        <v>环境质量</v>
      </c>
      <c r="R23" s="703" t="s">
        <v>14</v>
      </c>
      <c r="S23" s="704">
        <f>F23</f>
        <v>100</v>
      </c>
      <c r="T23" s="703" t="s">
        <v>14</v>
      </c>
      <c r="U23" s="704">
        <f>H23</f>
        <v>100</v>
      </c>
      <c r="V23" s="703" t="s">
        <v>14</v>
      </c>
      <c r="W23" s="704">
        <f>J23</f>
        <v>100</v>
      </c>
      <c r="X23" s="1350"/>
      <c r="Y23" s="4071"/>
      <c r="Z23" s="1351" t="str">
        <f>Q23</f>
        <v>环境质量</v>
      </c>
      <c r="AA23" s="1348">
        <f t="shared" si="3"/>
        <v>1</v>
      </c>
      <c r="AB23" s="1348">
        <f t="shared" si="4"/>
        <v>1</v>
      </c>
      <c r="AC23" s="1957">
        <f t="shared" si="5"/>
        <v>1</v>
      </c>
    </row>
    <row r="24" spans="1:29" ht="15">
      <c r="A24" s="377"/>
      <c r="B24" s="579"/>
      <c r="C24" s="1899"/>
      <c r="D24" s="397"/>
      <c r="E24" s="1892"/>
      <c r="F24" s="397"/>
      <c r="G24" s="1893"/>
      <c r="H24" s="397"/>
      <c r="I24" s="1893"/>
      <c r="J24" s="397"/>
      <c r="K24" s="562"/>
      <c r="L24" s="2717"/>
      <c r="M24" s="2711"/>
      <c r="N24" s="2711"/>
      <c r="O24" s="2711"/>
      <c r="P24" s="4078"/>
      <c r="Q24" s="1347"/>
      <c r="R24" s="703"/>
      <c r="S24" s="704"/>
      <c r="T24" s="703"/>
      <c r="U24" s="704"/>
      <c r="V24" s="703"/>
      <c r="W24" s="704"/>
      <c r="X24" s="1350"/>
      <c r="Y24" s="4071"/>
      <c r="Z24" s="1351"/>
      <c r="AA24" s="1348">
        <v>1</v>
      </c>
      <c r="AB24" s="1348">
        <v>1</v>
      </c>
      <c r="AC24" s="1957">
        <v>1</v>
      </c>
    </row>
    <row r="25" spans="1:29" ht="27">
      <c r="A25" s="356"/>
      <c r="B25" s="577" t="s">
        <v>1815</v>
      </c>
      <c r="C25" s="1903"/>
      <c r="D25" s="384">
        <v>100</v>
      </c>
      <c r="E25" s="383"/>
      <c r="F25" s="384">
        <f>SUMIF(87:87,E26,88:88)-SUMIF(87:87,C26,88:88)+100</f>
        <v>100</v>
      </c>
      <c r="G25" s="1903"/>
      <c r="H25" s="384">
        <f>SUMIF(87:87,G26,88:88)-SUMIF(87:87,C26,88:88)+100</f>
        <v>100</v>
      </c>
      <c r="I25" s="383"/>
      <c r="J25" s="384">
        <f>SUMIF(87:87,I26,88:88)-SUMIF(87:87,C26,88:88)+100</f>
        <v>100</v>
      </c>
      <c r="K25" s="561"/>
      <c r="L25" s="2717"/>
      <c r="M25" s="2711"/>
      <c r="N25" s="2711"/>
      <c r="O25" s="2711"/>
      <c r="P25" s="4078"/>
      <c r="Q25" s="1347" t="str">
        <f>B25</f>
        <v>毗邻道路的类型与等级</v>
      </c>
      <c r="R25" s="703" t="s">
        <v>14</v>
      </c>
      <c r="S25" s="704">
        <f>F25</f>
        <v>100</v>
      </c>
      <c r="T25" s="703" t="s">
        <v>14</v>
      </c>
      <c r="U25" s="704">
        <f>H25</f>
        <v>100</v>
      </c>
      <c r="V25" s="703" t="s">
        <v>14</v>
      </c>
      <c r="W25" s="704">
        <f>J25</f>
        <v>100</v>
      </c>
      <c r="X25" s="1350"/>
      <c r="Y25" s="4071"/>
      <c r="Z25" s="1351" t="str">
        <f>Q25</f>
        <v>毗邻道路的类型与等级</v>
      </c>
      <c r="AA25" s="1348">
        <f t="shared" si="3"/>
        <v>1</v>
      </c>
      <c r="AB25" s="1348">
        <f t="shared" si="4"/>
        <v>1</v>
      </c>
      <c r="AC25" s="1957">
        <f t="shared" si="5"/>
        <v>1</v>
      </c>
    </row>
    <row r="26" spans="1:29" ht="15">
      <c r="A26" s="356"/>
      <c r="B26" s="578"/>
      <c r="C26" s="580"/>
      <c r="D26" s="384"/>
      <c r="E26" s="563"/>
      <c r="F26" s="384"/>
      <c r="G26" s="580"/>
      <c r="H26" s="384"/>
      <c r="I26" s="563"/>
      <c r="J26" s="384"/>
      <c r="K26" s="562"/>
      <c r="L26" s="2717"/>
      <c r="M26" s="2711"/>
      <c r="N26" s="2711"/>
      <c r="O26" s="2711"/>
      <c r="P26" s="4078"/>
      <c r="Q26" s="1347"/>
      <c r="R26" s="703"/>
      <c r="S26" s="704"/>
      <c r="T26" s="703"/>
      <c r="U26" s="704"/>
      <c r="V26" s="703"/>
      <c r="W26" s="704"/>
      <c r="X26" s="1350"/>
      <c r="Y26" s="4071"/>
      <c r="Z26" s="1351"/>
      <c r="AA26" s="1348">
        <v>1</v>
      </c>
      <c r="AB26" s="1348">
        <v>1</v>
      </c>
      <c r="AC26" s="1957">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7"/>
      <c r="M27" s="2711"/>
      <c r="N27" s="2711"/>
      <c r="O27" s="2711"/>
      <c r="P27" s="4078"/>
      <c r="Q27" s="1347" t="str">
        <f t="shared" ref="Q27:Q47" si="11">B27</f>
        <v>楼层</v>
      </c>
      <c r="R27" s="703" t="s">
        <v>14</v>
      </c>
      <c r="S27" s="704">
        <f>F27</f>
        <v>100</v>
      </c>
      <c r="T27" s="703" t="s">
        <v>14</v>
      </c>
      <c r="U27" s="704">
        <f>H27</f>
        <v>100</v>
      </c>
      <c r="V27" s="703" t="s">
        <v>14</v>
      </c>
      <c r="W27" s="704">
        <f>J27</f>
        <v>100</v>
      </c>
      <c r="X27" s="1350"/>
      <c r="Y27" s="4071"/>
      <c r="Z27" s="1351" t="str">
        <f>Q27</f>
        <v>楼层</v>
      </c>
      <c r="AA27" s="1348">
        <f t="shared" si="3"/>
        <v>1</v>
      </c>
      <c r="AB27" s="1348">
        <f t="shared" si="4"/>
        <v>1</v>
      </c>
      <c r="AC27" s="1957">
        <f t="shared" si="5"/>
        <v>1</v>
      </c>
    </row>
    <row r="28" spans="1:29" s="106" customFormat="1" ht="15">
      <c r="A28" s="380"/>
      <c r="B28" s="577" t="s">
        <v>1816</v>
      </c>
      <c r="C28" s="1960"/>
      <c r="D28" s="411">
        <v>100</v>
      </c>
      <c r="E28" s="1951"/>
      <c r="F28" s="411">
        <f>SUMIF(91:91,E28,92:92)-SUMIF(91:91,C28,92:92)+100</f>
        <v>100</v>
      </c>
      <c r="G28" s="1960"/>
      <c r="H28" s="411">
        <f>SUMIF(91:91,G28,92:92)-SUMIF(91:91,C28,92:92)+100</f>
        <v>100</v>
      </c>
      <c r="I28" s="1951"/>
      <c r="J28" s="411">
        <f>SUMIF(91:91,I28,92:92)-SUMIF(91:91,C28,92:92)+100</f>
        <v>100</v>
      </c>
      <c r="K28" s="559"/>
      <c r="L28" s="2712"/>
      <c r="M28" s="2713"/>
      <c r="N28" s="2713"/>
      <c r="O28" s="2713"/>
      <c r="P28" s="4078"/>
      <c r="Q28" s="1338" t="str">
        <f t="shared" si="11"/>
        <v>朝向</v>
      </c>
      <c r="R28" s="699" t="s">
        <v>14</v>
      </c>
      <c r="S28" s="700">
        <f>F28</f>
        <v>100</v>
      </c>
      <c r="T28" s="699" t="s">
        <v>14</v>
      </c>
      <c r="U28" s="700">
        <f>H28</f>
        <v>100</v>
      </c>
      <c r="V28" s="699" t="s">
        <v>14</v>
      </c>
      <c r="W28" s="700">
        <f>J28</f>
        <v>100</v>
      </c>
      <c r="X28" s="701"/>
      <c r="Y28" s="4071"/>
      <c r="Z28" s="50" t="str">
        <f>Q28</f>
        <v>朝向</v>
      </c>
      <c r="AA28" s="1348">
        <f>D28/F28</f>
        <v>1</v>
      </c>
      <c r="AB28" s="1348">
        <f>D28/H28</f>
        <v>1</v>
      </c>
      <c r="AC28" s="1957">
        <f>D28/J28</f>
        <v>1</v>
      </c>
    </row>
    <row r="29" spans="1:29" ht="15">
      <c r="A29" s="377"/>
      <c r="B29" s="1961">
        <v>111</v>
      </c>
      <c r="C29" s="1903"/>
      <c r="D29" s="384">
        <v>100</v>
      </c>
      <c r="E29" s="381"/>
      <c r="F29" s="384">
        <f>SUMIF(93:93,E29,94:94)-SUMIF(93:93,C29,94:94)+100</f>
        <v>100</v>
      </c>
      <c r="G29" s="1955"/>
      <c r="H29" s="384">
        <f>SUMIF(93:93,G29,94:94)-SUMIF(93:93,C29,94:94)+100</f>
        <v>100</v>
      </c>
      <c r="I29" s="381"/>
      <c r="J29" s="384">
        <f>SUMIF(93:93,I29,94:94)-SUMIF(93:93,C29,94:94)+100</f>
        <v>100</v>
      </c>
      <c r="K29" s="560"/>
      <c r="L29" s="2717"/>
      <c r="M29" s="2711"/>
      <c r="N29" s="2711"/>
      <c r="O29" s="2711"/>
      <c r="P29" s="4078"/>
      <c r="Q29" s="1347">
        <f t="shared" si="11"/>
        <v>111</v>
      </c>
      <c r="R29" s="703" t="s">
        <v>14</v>
      </c>
      <c r="S29" s="704">
        <f t="shared" ref="S29:S47" si="12">F29</f>
        <v>100</v>
      </c>
      <c r="T29" s="703" t="s">
        <v>14</v>
      </c>
      <c r="U29" s="704">
        <f t="shared" ref="U29:U47" si="13">H29</f>
        <v>100</v>
      </c>
      <c r="V29" s="703" t="s">
        <v>14</v>
      </c>
      <c r="W29" s="704">
        <f t="shared" ref="W29:W47" si="14">J29</f>
        <v>100</v>
      </c>
      <c r="X29" s="1350"/>
      <c r="Y29" s="4071"/>
      <c r="Z29" s="1351">
        <f t="shared" ref="Z29:Z47" si="15">Q29</f>
        <v>111</v>
      </c>
      <c r="AA29" s="1348">
        <f t="shared" si="3"/>
        <v>1</v>
      </c>
      <c r="AB29" s="1348">
        <f t="shared" si="4"/>
        <v>1</v>
      </c>
      <c r="AC29" s="1957">
        <f t="shared" si="5"/>
        <v>1</v>
      </c>
    </row>
    <row r="30" spans="1:29" ht="15">
      <c r="A30" s="377"/>
      <c r="B30" s="1961">
        <v>111</v>
      </c>
      <c r="C30" s="1903"/>
      <c r="D30" s="384">
        <v>100</v>
      </c>
      <c r="E30" s="381"/>
      <c r="F30" s="384">
        <f>SUMIF(95:95,E30,96:96)-SUMIF(95:95,C30,96:96)+100</f>
        <v>100</v>
      </c>
      <c r="G30" s="1955"/>
      <c r="H30" s="384">
        <f>SUMIF(95:95,G30,96:96)-SUMIF(95:95,C30,96:96)+100</f>
        <v>100</v>
      </c>
      <c r="I30" s="381"/>
      <c r="J30" s="384">
        <f>SUMIF(95:95,I30,96:96)-SUMIF(95:95,C30,96:96)+100</f>
        <v>100</v>
      </c>
      <c r="K30" s="560"/>
      <c r="L30" s="2717"/>
      <c r="M30" s="2711"/>
      <c r="N30" s="2711"/>
      <c r="O30" s="2711"/>
      <c r="P30" s="4078"/>
      <c r="Q30" s="1347">
        <f t="shared" si="11"/>
        <v>111</v>
      </c>
      <c r="R30" s="703" t="s">
        <v>14</v>
      </c>
      <c r="S30" s="704">
        <f t="shared" si="12"/>
        <v>100</v>
      </c>
      <c r="T30" s="703" t="s">
        <v>14</v>
      </c>
      <c r="U30" s="704">
        <f t="shared" si="13"/>
        <v>100</v>
      </c>
      <c r="V30" s="703" t="s">
        <v>14</v>
      </c>
      <c r="W30" s="704">
        <f t="shared" si="14"/>
        <v>100</v>
      </c>
      <c r="X30" s="1350"/>
      <c r="Y30" s="4071"/>
      <c r="Z30" s="1351">
        <f t="shared" si="15"/>
        <v>111</v>
      </c>
      <c r="AA30" s="1348">
        <f t="shared" si="3"/>
        <v>1</v>
      </c>
      <c r="AB30" s="1348">
        <f t="shared" si="4"/>
        <v>1</v>
      </c>
      <c r="AC30" s="1957">
        <f t="shared" si="5"/>
        <v>1</v>
      </c>
    </row>
    <row r="31" spans="1:29" ht="15">
      <c r="A31" s="377"/>
      <c r="B31" s="1961">
        <v>111</v>
      </c>
      <c r="C31" s="1903"/>
      <c r="D31" s="384">
        <v>100</v>
      </c>
      <c r="E31" s="381"/>
      <c r="F31" s="384">
        <f>SUMIF(97:97,E31,98:98)-SUMIF(97:97,C31,98:98)+100</f>
        <v>100</v>
      </c>
      <c r="G31" s="1955"/>
      <c r="H31" s="384">
        <f>SUMIF(97:97,G31,98:98)-SUMIF(97:97,C31,98:98)+100</f>
        <v>100</v>
      </c>
      <c r="I31" s="381"/>
      <c r="J31" s="384">
        <f>SUMIF(97:97,I31,98:98)-SUMIF(97:97,C31,98:98)+100</f>
        <v>100</v>
      </c>
      <c r="K31" s="560"/>
      <c r="L31" s="2717"/>
      <c r="M31" s="2711"/>
      <c r="N31" s="2711"/>
      <c r="O31" s="2711"/>
      <c r="P31" s="4078"/>
      <c r="Q31" s="1347">
        <f t="shared" si="11"/>
        <v>111</v>
      </c>
      <c r="R31" s="703" t="s">
        <v>14</v>
      </c>
      <c r="S31" s="704">
        <f t="shared" si="12"/>
        <v>100</v>
      </c>
      <c r="T31" s="703" t="s">
        <v>14</v>
      </c>
      <c r="U31" s="704">
        <f t="shared" si="13"/>
        <v>100</v>
      </c>
      <c r="V31" s="703" t="s">
        <v>14</v>
      </c>
      <c r="W31" s="704">
        <f t="shared" si="14"/>
        <v>100</v>
      </c>
      <c r="X31" s="1350"/>
      <c r="Y31" s="4071"/>
      <c r="Z31" s="1351">
        <f t="shared" si="15"/>
        <v>111</v>
      </c>
      <c r="AA31" s="1348">
        <f t="shared" si="3"/>
        <v>1</v>
      </c>
      <c r="AB31" s="1348">
        <f t="shared" si="4"/>
        <v>1</v>
      </c>
      <c r="AC31" s="1957">
        <f t="shared" si="5"/>
        <v>1</v>
      </c>
    </row>
    <row r="32" spans="1:29" ht="15.75" thickBot="1">
      <c r="A32" s="385"/>
      <c r="B32" s="581">
        <v>111</v>
      </c>
      <c r="C32" s="1904"/>
      <c r="D32" s="387">
        <v>100</v>
      </c>
      <c r="E32" s="574"/>
      <c r="F32" s="387">
        <f>SUMIF(99:99,E32,100:100)-SUMIF(99:99,C32,100:100)+100</f>
        <v>100</v>
      </c>
      <c r="G32" s="1955"/>
      <c r="H32" s="387">
        <f>SUMIF(99:99,G32,100:100)-SUMIF(99:99,C32,100:100)+100</f>
        <v>100</v>
      </c>
      <c r="I32" s="381"/>
      <c r="J32" s="387">
        <f>SUMIF(99:99,I32,100:100)-SUMIF(99:99,C32,100:100)+100</f>
        <v>100</v>
      </c>
      <c r="K32" s="560"/>
      <c r="L32" s="2717"/>
      <c r="M32" s="2711"/>
      <c r="N32" s="2711"/>
      <c r="O32" s="2711"/>
      <c r="P32" s="4078"/>
      <c r="Q32" s="1347">
        <f t="shared" si="11"/>
        <v>111</v>
      </c>
      <c r="R32" s="703" t="s">
        <v>14</v>
      </c>
      <c r="S32" s="704">
        <f t="shared" si="12"/>
        <v>100</v>
      </c>
      <c r="T32" s="703" t="s">
        <v>14</v>
      </c>
      <c r="U32" s="704">
        <f t="shared" si="13"/>
        <v>100</v>
      </c>
      <c r="V32" s="703" t="s">
        <v>14</v>
      </c>
      <c r="W32" s="704">
        <f t="shared" si="14"/>
        <v>100</v>
      </c>
      <c r="X32" s="1350"/>
      <c r="Y32" s="4071"/>
      <c r="Z32" s="1351">
        <f t="shared" si="15"/>
        <v>111</v>
      </c>
      <c r="AA32" s="1348">
        <f t="shared" si="3"/>
        <v>1</v>
      </c>
      <c r="AB32" s="1348">
        <f t="shared" si="4"/>
        <v>1</v>
      </c>
      <c r="AC32" s="1957">
        <f t="shared" si="5"/>
        <v>1</v>
      </c>
    </row>
    <row r="33" spans="1:29" ht="15">
      <c r="A33" s="389" t="s">
        <v>1694</v>
      </c>
      <c r="B33" s="61" t="s">
        <v>1817</v>
      </c>
      <c r="C33" s="1962"/>
      <c r="D33" s="416">
        <v>100</v>
      </c>
      <c r="E33" s="1962"/>
      <c r="F33" s="410">
        <f>SUMIF(101:101,E33,102:102)-SUMIF(101:101,C33,102:102)+100</f>
        <v>100</v>
      </c>
      <c r="G33" s="1962"/>
      <c r="H33" s="384">
        <f>SUMIF(101:101,G33,102:102)-SUMIF(101:101,C33,102:102)+100</f>
        <v>100</v>
      </c>
      <c r="I33" s="1962"/>
      <c r="J33" s="416">
        <f>SUMIF(101:101,I33,102:102)-SUMIF(101:101,C33,102:102)+100</f>
        <v>100</v>
      </c>
      <c r="K33" s="559"/>
      <c r="L33" s="2717"/>
      <c r="M33" s="2711"/>
      <c r="N33" s="2711"/>
      <c r="O33" s="2711"/>
      <c r="P33" s="4072" t="s">
        <v>1696</v>
      </c>
      <c r="Q33" s="1347" t="str">
        <f t="shared" si="11"/>
        <v>建筑类型</v>
      </c>
      <c r="R33" s="703" t="s">
        <v>14</v>
      </c>
      <c r="S33" s="704">
        <f t="shared" si="12"/>
        <v>100</v>
      </c>
      <c r="T33" s="703" t="s">
        <v>14</v>
      </c>
      <c r="U33" s="704">
        <f t="shared" si="13"/>
        <v>100</v>
      </c>
      <c r="V33" s="703" t="s">
        <v>14</v>
      </c>
      <c r="W33" s="704">
        <f t="shared" si="14"/>
        <v>100</v>
      </c>
      <c r="X33" s="1350"/>
      <c r="Y33" s="4075" t="s">
        <v>1696</v>
      </c>
      <c r="Z33" s="1351" t="str">
        <f t="shared" si="15"/>
        <v>建筑类型</v>
      </c>
      <c r="AA33" s="1348">
        <f t="shared" si="3"/>
        <v>1</v>
      </c>
      <c r="AB33" s="1348">
        <f t="shared" si="4"/>
        <v>1</v>
      </c>
      <c r="AC33" s="1957">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6"/>
      <c r="M34" s="2718"/>
      <c r="N34" s="2718"/>
      <c r="O34" s="2718"/>
      <c r="P34" s="4073"/>
      <c r="Q34" s="705" t="str">
        <f t="shared" si="11"/>
        <v>项目建筑规模</v>
      </c>
      <c r="R34" s="706" t="s">
        <v>14</v>
      </c>
      <c r="S34" s="707" t="e">
        <f t="shared" si="12"/>
        <v>#N/A</v>
      </c>
      <c r="T34" s="706" t="s">
        <v>14</v>
      </c>
      <c r="U34" s="707" t="e">
        <f t="shared" si="13"/>
        <v>#N/A</v>
      </c>
      <c r="V34" s="706" t="s">
        <v>14</v>
      </c>
      <c r="W34" s="707" t="e">
        <f t="shared" si="14"/>
        <v>#N/A</v>
      </c>
      <c r="X34" s="708"/>
      <c r="Y34" s="4075"/>
      <c r="Z34" s="709" t="str">
        <f t="shared" si="15"/>
        <v>项目建筑规模</v>
      </c>
      <c r="AA34" s="1348" t="e">
        <f t="shared" si="3"/>
        <v>#N/A</v>
      </c>
      <c r="AB34" s="1348" t="e">
        <f t="shared" si="4"/>
        <v>#N/A</v>
      </c>
      <c r="AC34" s="1957"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7"/>
      <c r="M35" s="2711"/>
      <c r="N35" s="2711"/>
      <c r="O35" s="2711"/>
      <c r="P35" s="4073"/>
      <c r="Q35" s="1347" t="str">
        <f t="shared" si="11"/>
        <v>建筑结构</v>
      </c>
      <c r="R35" s="703" t="s">
        <v>14</v>
      </c>
      <c r="S35" s="704">
        <f t="shared" si="12"/>
        <v>100</v>
      </c>
      <c r="T35" s="703" t="s">
        <v>14</v>
      </c>
      <c r="U35" s="704">
        <f t="shared" si="13"/>
        <v>100</v>
      </c>
      <c r="V35" s="703" t="s">
        <v>14</v>
      </c>
      <c r="W35" s="704">
        <f t="shared" si="14"/>
        <v>100</v>
      </c>
      <c r="X35" s="1350"/>
      <c r="Y35" s="4075"/>
      <c r="Z35" s="1351" t="str">
        <f t="shared" si="15"/>
        <v>建筑结构</v>
      </c>
      <c r="AA35" s="1348">
        <f t="shared" si="3"/>
        <v>1</v>
      </c>
      <c r="AB35" s="1348">
        <f t="shared" si="4"/>
        <v>1</v>
      </c>
      <c r="AC35" s="1957">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7"/>
      <c r="M36" s="2711"/>
      <c r="N36" s="2711"/>
      <c r="O36" s="2711"/>
      <c r="P36" s="4073"/>
      <c r="Q36" s="1347" t="str">
        <f t="shared" si="11"/>
        <v>公共部分装修</v>
      </c>
      <c r="R36" s="703" t="s">
        <v>14</v>
      </c>
      <c r="S36" s="704">
        <f t="shared" si="12"/>
        <v>100</v>
      </c>
      <c r="T36" s="703" t="s">
        <v>14</v>
      </c>
      <c r="U36" s="704">
        <f t="shared" si="13"/>
        <v>100</v>
      </c>
      <c r="V36" s="703" t="s">
        <v>14</v>
      </c>
      <c r="W36" s="704">
        <f t="shared" si="14"/>
        <v>100</v>
      </c>
      <c r="X36" s="1350"/>
      <c r="Y36" s="4075"/>
      <c r="Z36" s="1351" t="str">
        <f t="shared" si="15"/>
        <v>公共部分装修</v>
      </c>
      <c r="AA36" s="1348">
        <f t="shared" si="3"/>
        <v>1</v>
      </c>
      <c r="AB36" s="1348">
        <f t="shared" si="4"/>
        <v>1</v>
      </c>
      <c r="AC36" s="1957">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7"/>
      <c r="M37" s="2711"/>
      <c r="N37" s="2711"/>
      <c r="O37" s="2711"/>
      <c r="P37" s="4073"/>
      <c r="Q37" s="1347" t="str">
        <f t="shared" si="11"/>
        <v>成新度</v>
      </c>
      <c r="R37" s="703" t="s">
        <v>14</v>
      </c>
      <c r="S37" s="704" t="e">
        <f t="shared" si="12"/>
        <v>#N/A</v>
      </c>
      <c r="T37" s="703" t="s">
        <v>14</v>
      </c>
      <c r="U37" s="704" t="e">
        <f t="shared" si="13"/>
        <v>#N/A</v>
      </c>
      <c r="V37" s="703" t="s">
        <v>14</v>
      </c>
      <c r="W37" s="704" t="e">
        <f t="shared" si="14"/>
        <v>#N/A</v>
      </c>
      <c r="X37" s="1350"/>
      <c r="Y37" s="4075"/>
      <c r="Z37" s="1351" t="str">
        <f t="shared" si="15"/>
        <v>成新度</v>
      </c>
      <c r="AA37" s="1348" t="e">
        <f t="shared" si="3"/>
        <v>#N/A</v>
      </c>
      <c r="AB37" s="1348" t="e">
        <f t="shared" si="4"/>
        <v>#N/A</v>
      </c>
      <c r="AC37" s="1957"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2"/>
      <c r="M38" s="2713"/>
      <c r="N38" s="2713"/>
      <c r="O38" s="2713"/>
      <c r="P38" s="4073"/>
      <c r="Q38" s="1338" t="str">
        <f t="shared" si="11"/>
        <v>写字楼等级</v>
      </c>
      <c r="R38" s="699" t="s">
        <v>14</v>
      </c>
      <c r="S38" s="700">
        <f t="shared" si="12"/>
        <v>100</v>
      </c>
      <c r="T38" s="699" t="s">
        <v>14</v>
      </c>
      <c r="U38" s="700">
        <f t="shared" si="13"/>
        <v>100</v>
      </c>
      <c r="V38" s="699" t="s">
        <v>14</v>
      </c>
      <c r="W38" s="700">
        <f t="shared" si="14"/>
        <v>100</v>
      </c>
      <c r="X38" s="701"/>
      <c r="Y38" s="4075"/>
      <c r="Z38" s="50" t="str">
        <f t="shared" si="15"/>
        <v>写字楼等级</v>
      </c>
      <c r="AA38" s="702">
        <f t="shared" si="3"/>
        <v>1</v>
      </c>
      <c r="AB38" s="702">
        <f t="shared" si="4"/>
        <v>1</v>
      </c>
      <c r="AC38" s="1954">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7"/>
      <c r="M39" s="2711"/>
      <c r="N39" s="2711"/>
      <c r="O39" s="2711"/>
      <c r="P39" s="4073" t="s">
        <v>1696</v>
      </c>
      <c r="Q39" s="1347" t="str">
        <f t="shared" si="11"/>
        <v>物业管理</v>
      </c>
      <c r="R39" s="703" t="s">
        <v>14</v>
      </c>
      <c r="S39" s="704">
        <f t="shared" si="12"/>
        <v>100</v>
      </c>
      <c r="T39" s="703" t="s">
        <v>14</v>
      </c>
      <c r="U39" s="704">
        <f t="shared" si="13"/>
        <v>100</v>
      </c>
      <c r="V39" s="703" t="s">
        <v>14</v>
      </c>
      <c r="W39" s="704">
        <f t="shared" si="14"/>
        <v>100</v>
      </c>
      <c r="X39" s="1350"/>
      <c r="Y39" s="4075" t="s">
        <v>1696</v>
      </c>
      <c r="Z39" s="1351" t="str">
        <f t="shared" si="15"/>
        <v>物业管理</v>
      </c>
      <c r="AA39" s="1348">
        <f t="shared" si="3"/>
        <v>1</v>
      </c>
      <c r="AB39" s="1348">
        <f t="shared" si="4"/>
        <v>1</v>
      </c>
      <c r="AC39" s="1957">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7"/>
      <c r="M40" s="2711"/>
      <c r="N40" s="2711"/>
      <c r="O40" s="2711"/>
      <c r="P40" s="4073"/>
      <c r="Q40" s="1347" t="str">
        <f t="shared" si="11"/>
        <v>市政基础设施</v>
      </c>
      <c r="R40" s="703" t="s">
        <v>14</v>
      </c>
      <c r="S40" s="704">
        <f t="shared" si="12"/>
        <v>100</v>
      </c>
      <c r="T40" s="703" t="s">
        <v>14</v>
      </c>
      <c r="U40" s="704">
        <f t="shared" si="13"/>
        <v>100</v>
      </c>
      <c r="V40" s="703" t="s">
        <v>14</v>
      </c>
      <c r="W40" s="704">
        <f t="shared" si="14"/>
        <v>100</v>
      </c>
      <c r="X40" s="1350"/>
      <c r="Y40" s="4075"/>
      <c r="Z40" s="1351" t="str">
        <f t="shared" si="15"/>
        <v>市政基础设施</v>
      </c>
      <c r="AA40" s="1348">
        <f t="shared" si="3"/>
        <v>1</v>
      </c>
      <c r="AB40" s="1348">
        <f t="shared" si="4"/>
        <v>1</v>
      </c>
      <c r="AC40" s="1957">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7"/>
      <c r="M41" s="2711"/>
      <c r="N41" s="2711"/>
      <c r="O41" s="2711"/>
      <c r="P41" s="4073"/>
      <c r="Q41" s="1347" t="str">
        <f t="shared" si="11"/>
        <v>层高</v>
      </c>
      <c r="R41" s="703" t="s">
        <v>14</v>
      </c>
      <c r="S41" s="704">
        <f t="shared" si="12"/>
        <v>100</v>
      </c>
      <c r="T41" s="703" t="s">
        <v>14</v>
      </c>
      <c r="U41" s="704">
        <f t="shared" si="13"/>
        <v>100</v>
      </c>
      <c r="V41" s="703" t="s">
        <v>14</v>
      </c>
      <c r="W41" s="704">
        <f t="shared" si="14"/>
        <v>100</v>
      </c>
      <c r="X41" s="1350"/>
      <c r="Y41" s="4075"/>
      <c r="Z41" s="1351" t="str">
        <f t="shared" si="15"/>
        <v>层高</v>
      </c>
      <c r="AA41" s="1348">
        <f t="shared" si="3"/>
        <v>1</v>
      </c>
      <c r="AB41" s="1348">
        <f t="shared" si="4"/>
        <v>1</v>
      </c>
      <c r="AC41" s="1957">
        <f t="shared" si="5"/>
        <v>1</v>
      </c>
    </row>
    <row r="42" spans="1:29" s="420" customFormat="1" ht="15">
      <c r="A42" s="417"/>
      <c r="B42" s="1349"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6"/>
      <c r="M42" s="2718"/>
      <c r="N42" s="2718"/>
      <c r="O42" s="2718"/>
      <c r="P42" s="4073"/>
      <c r="Q42" s="705" t="str">
        <f t="shared" si="11"/>
        <v>单套建筑面积</v>
      </c>
      <c r="R42" s="706" t="s">
        <v>14</v>
      </c>
      <c r="S42" s="707">
        <f t="shared" si="12"/>
        <v>100</v>
      </c>
      <c r="T42" s="706" t="s">
        <v>14</v>
      </c>
      <c r="U42" s="707">
        <f t="shared" si="13"/>
        <v>100</v>
      </c>
      <c r="V42" s="706" t="s">
        <v>14</v>
      </c>
      <c r="W42" s="707">
        <f t="shared" si="14"/>
        <v>100</v>
      </c>
      <c r="X42" s="708"/>
      <c r="Y42" s="4075"/>
      <c r="Z42" s="709" t="str">
        <f t="shared" si="15"/>
        <v>单套建筑面积</v>
      </c>
      <c r="AA42" s="1348">
        <f t="shared" si="3"/>
        <v>1</v>
      </c>
      <c r="AB42" s="1348">
        <f t="shared" si="4"/>
        <v>1</v>
      </c>
      <c r="AC42" s="1957">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7"/>
      <c r="M43" s="2711"/>
      <c r="N43" s="2711"/>
      <c r="O43" s="2711"/>
      <c r="P43" s="4073"/>
      <c r="Q43" s="1347" t="str">
        <f t="shared" si="11"/>
        <v>内部装修</v>
      </c>
      <c r="R43" s="703" t="s">
        <v>14</v>
      </c>
      <c r="S43" s="704">
        <f t="shared" si="12"/>
        <v>100</v>
      </c>
      <c r="T43" s="703" t="s">
        <v>14</v>
      </c>
      <c r="U43" s="704">
        <f t="shared" si="13"/>
        <v>100</v>
      </c>
      <c r="V43" s="703" t="s">
        <v>14</v>
      </c>
      <c r="W43" s="704">
        <f t="shared" si="14"/>
        <v>100</v>
      </c>
      <c r="X43" s="1350"/>
      <c r="Y43" s="4075"/>
      <c r="Z43" s="1351" t="str">
        <f t="shared" si="15"/>
        <v>内部装修</v>
      </c>
      <c r="AA43" s="1348">
        <f t="shared" si="3"/>
        <v>1</v>
      </c>
      <c r="AB43" s="1348">
        <f t="shared" si="4"/>
        <v>1</v>
      </c>
      <c r="AC43" s="1957">
        <f t="shared" si="5"/>
        <v>1</v>
      </c>
    </row>
    <row r="44" spans="1:29" ht="15">
      <c r="A44" s="421"/>
      <c r="B44" s="373" t="s">
        <v>1707</v>
      </c>
      <c r="C44" s="409"/>
      <c r="D44" s="384">
        <v>100</v>
      </c>
      <c r="E44" s="1901"/>
      <c r="F44" s="410">
        <f>SUMIF(125:125,E44,126:126)-SUMIF(125:125,C44,126:126)+100</f>
        <v>100</v>
      </c>
      <c r="G44" s="1901"/>
      <c r="H44" s="384">
        <f>SUMIF(125:125,G44,126:126)-SUMIF(125:125,C44,126:126)+100</f>
        <v>100</v>
      </c>
      <c r="I44" s="1901"/>
      <c r="J44" s="384">
        <f>SUMIF(125:125,I44,126:126)-SUMIF(125:125,C44,126:126)+100</f>
        <v>100</v>
      </c>
      <c r="K44" s="559"/>
      <c r="L44" s="2717"/>
      <c r="M44" s="2711"/>
      <c r="N44" s="2711"/>
      <c r="O44" s="2711"/>
      <c r="P44" s="4073"/>
      <c r="Q44" s="1347" t="str">
        <f t="shared" si="11"/>
        <v>内部装修维护情况</v>
      </c>
      <c r="R44" s="703" t="s">
        <v>14</v>
      </c>
      <c r="S44" s="704">
        <f t="shared" si="12"/>
        <v>100</v>
      </c>
      <c r="T44" s="703" t="s">
        <v>14</v>
      </c>
      <c r="U44" s="704">
        <f t="shared" si="13"/>
        <v>100</v>
      </c>
      <c r="V44" s="703" t="s">
        <v>14</v>
      </c>
      <c r="W44" s="704">
        <f t="shared" si="14"/>
        <v>100</v>
      </c>
      <c r="X44" s="1350"/>
      <c r="Y44" s="4075"/>
      <c r="Z44" s="1351" t="str">
        <f t="shared" si="15"/>
        <v>内部装修维护情况</v>
      </c>
      <c r="AA44" s="1348">
        <f t="shared" si="3"/>
        <v>1</v>
      </c>
      <c r="AB44" s="1348">
        <f t="shared" si="4"/>
        <v>1</v>
      </c>
      <c r="AC44" s="1957">
        <f t="shared" si="5"/>
        <v>1</v>
      </c>
    </row>
    <row r="45" spans="1:29" s="106" customFormat="1" ht="15">
      <c r="A45" s="422"/>
      <c r="B45" s="1128">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2"/>
      <c r="M45" s="2713"/>
      <c r="N45" s="2713"/>
      <c r="O45" s="2713"/>
      <c r="P45" s="4073"/>
      <c r="Q45" s="1338">
        <f t="shared" si="11"/>
        <v>111</v>
      </c>
      <c r="R45" s="699" t="s">
        <v>14</v>
      </c>
      <c r="S45" s="700">
        <f t="shared" si="12"/>
        <v>100</v>
      </c>
      <c r="T45" s="699" t="s">
        <v>14</v>
      </c>
      <c r="U45" s="700">
        <f t="shared" si="13"/>
        <v>100</v>
      </c>
      <c r="V45" s="699" t="s">
        <v>14</v>
      </c>
      <c r="W45" s="700">
        <f t="shared" si="14"/>
        <v>100</v>
      </c>
      <c r="X45" s="701"/>
      <c r="Y45" s="4075"/>
      <c r="Z45" s="50">
        <f t="shared" si="15"/>
        <v>111</v>
      </c>
      <c r="AA45" s="702">
        <f t="shared" si="3"/>
        <v>1</v>
      </c>
      <c r="AB45" s="702">
        <f t="shared" si="4"/>
        <v>1</v>
      </c>
      <c r="AC45" s="1954">
        <f t="shared" si="5"/>
        <v>1</v>
      </c>
    </row>
    <row r="46" spans="1:29" ht="15">
      <c r="A46" s="421"/>
      <c r="B46" s="1128">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7"/>
      <c r="M46" s="2711"/>
      <c r="N46" s="2711"/>
      <c r="O46" s="2711"/>
      <c r="P46" s="4073"/>
      <c r="Q46" s="1347">
        <f t="shared" si="11"/>
        <v>111</v>
      </c>
      <c r="R46" s="703" t="s">
        <v>14</v>
      </c>
      <c r="S46" s="704">
        <f t="shared" si="12"/>
        <v>100</v>
      </c>
      <c r="T46" s="703" t="s">
        <v>14</v>
      </c>
      <c r="U46" s="704">
        <f t="shared" si="13"/>
        <v>100</v>
      </c>
      <c r="V46" s="703" t="s">
        <v>14</v>
      </c>
      <c r="W46" s="704">
        <f t="shared" si="14"/>
        <v>100</v>
      </c>
      <c r="X46" s="1350"/>
      <c r="Y46" s="4075"/>
      <c r="Z46" s="1351">
        <f t="shared" si="15"/>
        <v>111</v>
      </c>
      <c r="AA46" s="1348">
        <f t="shared" si="3"/>
        <v>1</v>
      </c>
      <c r="AB46" s="1348">
        <f t="shared" si="4"/>
        <v>1</v>
      </c>
      <c r="AC46" s="1957">
        <f t="shared" si="5"/>
        <v>1</v>
      </c>
    </row>
    <row r="47" spans="1:29" ht="15.75" thickBot="1">
      <c r="A47" s="427"/>
      <c r="B47" s="1890">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7"/>
      <c r="M47" s="2711"/>
      <c r="N47" s="2711"/>
      <c r="O47" s="2711"/>
      <c r="P47" s="4074"/>
      <c r="Q47" s="1347">
        <f t="shared" si="11"/>
        <v>111</v>
      </c>
      <c r="R47" s="703" t="s">
        <v>14</v>
      </c>
      <c r="S47" s="704">
        <f t="shared" si="12"/>
        <v>100</v>
      </c>
      <c r="T47" s="703" t="s">
        <v>14</v>
      </c>
      <c r="U47" s="704">
        <f t="shared" si="13"/>
        <v>100</v>
      </c>
      <c r="V47" s="703" t="s">
        <v>14</v>
      </c>
      <c r="W47" s="704">
        <f t="shared" si="14"/>
        <v>100</v>
      </c>
      <c r="X47" s="1350"/>
      <c r="Y47" s="4076"/>
      <c r="Z47" s="1351">
        <f t="shared" si="15"/>
        <v>111</v>
      </c>
      <c r="AA47" s="1348">
        <f t="shared" si="3"/>
        <v>1</v>
      </c>
      <c r="AB47" s="1348">
        <f t="shared" si="4"/>
        <v>1</v>
      </c>
      <c r="AC47" s="1957">
        <f t="shared" si="5"/>
        <v>1</v>
      </c>
    </row>
    <row r="48" spans="1:29" ht="15">
      <c r="A48" s="428" t="s">
        <v>1708</v>
      </c>
      <c r="B48" s="429"/>
      <c r="C48" s="1149" t="s">
        <v>0</v>
      </c>
      <c r="D48" s="1150"/>
      <c r="E48" s="1151"/>
      <c r="F48" s="1152"/>
      <c r="G48" s="1153"/>
      <c r="H48" s="1154"/>
      <c r="I48" s="1151"/>
      <c r="J48" s="434"/>
      <c r="K48" s="712"/>
      <c r="L48" s="2719"/>
      <c r="M48" s="2711"/>
      <c r="N48" s="2711"/>
      <c r="O48" s="2711"/>
      <c r="P48" s="4079" t="str">
        <f>A48</f>
        <v>成交单价（元/平方米）</v>
      </c>
      <c r="Q48" s="4068"/>
      <c r="R48" s="4069">
        <f>E48</f>
        <v>0</v>
      </c>
      <c r="S48" s="4069"/>
      <c r="T48" s="4069">
        <f>G48</f>
        <v>0</v>
      </c>
      <c r="U48" s="4069"/>
      <c r="V48" s="4069">
        <f>I48</f>
        <v>0</v>
      </c>
      <c r="W48" s="4069"/>
      <c r="X48" s="395"/>
      <c r="Y48" s="710"/>
      <c r="Z48" s="395"/>
      <c r="AA48" s="395"/>
      <c r="AB48" s="395"/>
      <c r="AC48" s="576"/>
    </row>
    <row r="49" spans="1:29" ht="15.75" thickBot="1">
      <c r="A49" s="435" t="s">
        <v>1793</v>
      </c>
      <c r="B49" s="436"/>
      <c r="C49" s="1155" t="e">
        <f>R50</f>
        <v>#DIV/0!</v>
      </c>
      <c r="D49" s="2312" t="s">
        <v>2138</v>
      </c>
      <c r="E49" s="1156" t="e">
        <f>R49</f>
        <v>#DIV/0!</v>
      </c>
      <c r="F49" s="2313"/>
      <c r="G49" s="1155" t="e">
        <f>T49</f>
        <v>#DIV/0!</v>
      </c>
      <c r="H49" s="2313"/>
      <c r="I49" s="1156" t="e">
        <f>V49</f>
        <v>#DIV/0!</v>
      </c>
      <c r="J49" s="2313"/>
      <c r="K49" s="2315">
        <f>F49+H49+J49</f>
        <v>0</v>
      </c>
      <c r="L49" s="2719"/>
      <c r="M49" s="2711"/>
      <c r="N49" s="2711"/>
      <c r="O49" s="2711"/>
      <c r="P49" s="4079" t="str">
        <f>A49</f>
        <v>比较价值（元/平方米）</v>
      </c>
      <c r="Q49" s="4068"/>
      <c r="R49" s="4069" t="e">
        <f>IF(F1="售价",ROUND(PRODUCT(R48,AA7:AA47),0),ROUND(PRODUCT(R48,AA7:AA47),1))</f>
        <v>#DIV/0!</v>
      </c>
      <c r="S49" s="4069"/>
      <c r="T49" s="4069" t="e">
        <f>IF(F1="售价",ROUND(PRODUCT(T48,AB7:AB47),0),ROUND(PRODUCT(T48,AB7:AB47),1))</f>
        <v>#DIV/0!</v>
      </c>
      <c r="U49" s="4069"/>
      <c r="V49" s="4069" t="e">
        <f>IF(F1="售价",ROUND(PRODUCT(V48,AC7:AC47),0),ROUND(PRODUCT(V48,AC7:AC47),1))</f>
        <v>#DIV/0!</v>
      </c>
      <c r="W49" s="4069"/>
      <c r="X49" s="395"/>
      <c r="Y49" s="395"/>
      <c r="Z49" s="395"/>
      <c r="AA49" s="395"/>
      <c r="AB49" s="395"/>
      <c r="AC49" s="576"/>
    </row>
    <row r="50" spans="1:29" ht="15.75" thickBot="1">
      <c r="A50" s="439" t="s">
        <v>1794</v>
      </c>
      <c r="B50" s="440"/>
      <c r="C50" s="1158" t="e">
        <f>R50</f>
        <v>#DIV/0!</v>
      </c>
      <c r="D50" s="1158"/>
      <c r="E50" s="1158"/>
      <c r="F50" s="1158"/>
      <c r="G50" s="1158"/>
      <c r="H50" s="1158"/>
      <c r="I50" s="1158"/>
      <c r="J50" s="441"/>
      <c r="K50" s="713"/>
      <c r="L50" s="2719"/>
      <c r="M50" s="2711"/>
      <c r="N50" s="2711"/>
      <c r="O50" s="2711"/>
      <c r="P50" s="4111" t="str">
        <f>A50</f>
        <v>估价对象XX用房的比较价值（楼面单价，元/平方米）</v>
      </c>
      <c r="Q50" s="4112"/>
      <c r="R50" s="4113" t="e">
        <f>IF(F1="售价",ROUND(IF(D49="简单平均",AVERAGE(R49:V49),R49*F49+T49*H49+V49*J49),0),ROUND(IF(D49="简单平均",AVERAGE(R49:V49),R49*F49+T49*H49+V49*J49),1))</f>
        <v>#DIV/0!</v>
      </c>
      <c r="S50" s="4113"/>
      <c r="T50" s="4113"/>
      <c r="U50" s="4113"/>
      <c r="V50" s="4113"/>
      <c r="W50" s="4113"/>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49" customFormat="1" ht="13.5" customHeight="1">
      <c r="A55" s="2723"/>
      <c r="B55" s="2723"/>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49"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1798</v>
      </c>
      <c r="B58" s="688"/>
      <c r="C58" s="693"/>
      <c r="D58" s="693"/>
      <c r="E58" s="693"/>
      <c r="F58" s="694"/>
      <c r="G58" s="694"/>
      <c r="H58" s="693"/>
      <c r="I58" s="693"/>
      <c r="J58" s="693"/>
      <c r="K58" s="695"/>
      <c r="L58" s="937"/>
      <c r="M58" s="935"/>
      <c r="N58" s="2764"/>
      <c r="O58" s="2764"/>
      <c r="P58" s="2753"/>
      <c r="Q58" s="2734"/>
      <c r="R58" s="2720"/>
      <c r="S58" s="2720"/>
      <c r="T58" s="2720"/>
      <c r="U58" s="2720"/>
      <c r="V58" s="2720"/>
      <c r="W58" s="2720"/>
      <c r="X58" s="2720"/>
      <c r="Y58" s="2720"/>
      <c r="Z58" s="2720"/>
      <c r="AA58" s="2720"/>
      <c r="AB58" s="2720"/>
      <c r="AC58" s="2720"/>
    </row>
    <row r="59" spans="1:29" s="455" customFormat="1" ht="15">
      <c r="A59" s="452" t="s">
        <v>1679</v>
      </c>
      <c r="B59" s="453"/>
      <c r="C59" s="1179" t="str">
        <f>YEAR(C7)&amp;"-"&amp;MONTH(C7)</f>
        <v>2023-10</v>
      </c>
      <c r="D59" s="1180">
        <f>EDATE(C59,-1)</f>
        <v>45170</v>
      </c>
      <c r="E59" s="1180">
        <f>EDATE(D59,-1)</f>
        <v>45139</v>
      </c>
      <c r="F59" s="1180">
        <f t="shared" ref="F59:O59" si="16">EDATE(E59,-1)</f>
        <v>45108</v>
      </c>
      <c r="G59" s="1180">
        <f t="shared" si="16"/>
        <v>45078</v>
      </c>
      <c r="H59" s="1180">
        <f t="shared" si="16"/>
        <v>45047</v>
      </c>
      <c r="I59" s="1180">
        <f t="shared" si="16"/>
        <v>45017</v>
      </c>
      <c r="J59" s="1180">
        <f t="shared" si="16"/>
        <v>44986</v>
      </c>
      <c r="K59" s="1180">
        <f t="shared" si="16"/>
        <v>44958</v>
      </c>
      <c r="L59" s="1180">
        <f t="shared" si="16"/>
        <v>44927</v>
      </c>
      <c r="M59" s="1180">
        <f t="shared" si="16"/>
        <v>44896</v>
      </c>
      <c r="N59" s="1180">
        <f t="shared" si="16"/>
        <v>44866</v>
      </c>
      <c r="O59" s="1180">
        <f t="shared" si="16"/>
        <v>44835</v>
      </c>
      <c r="P59" s="2754"/>
      <c r="Q59" s="2736"/>
      <c r="R59" s="2736"/>
      <c r="S59" s="2736"/>
      <c r="T59" s="2736"/>
      <c r="U59" s="2736"/>
      <c r="V59" s="2736"/>
      <c r="W59" s="2736"/>
      <c r="X59" s="2736"/>
      <c r="Y59" s="2736"/>
      <c r="Z59" s="2736"/>
      <c r="AA59" s="2736"/>
      <c r="AB59" s="2736"/>
      <c r="AC59" s="2736"/>
    </row>
    <row r="60" spans="1:29" s="106" customFormat="1" ht="15">
      <c r="A60" s="456"/>
      <c r="B60" s="457"/>
      <c r="C60" s="1178">
        <v>100</v>
      </c>
      <c r="D60" s="459"/>
      <c r="E60" s="459"/>
      <c r="F60" s="459"/>
      <c r="G60" s="459"/>
      <c r="H60" s="459"/>
      <c r="I60" s="459"/>
      <c r="J60" s="459"/>
      <c r="K60" s="459"/>
      <c r="L60" s="459"/>
      <c r="M60" s="460"/>
      <c r="N60" s="459"/>
      <c r="O60" s="460"/>
      <c r="P60" s="2755"/>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5"/>
      <c r="Q61" s="2734"/>
      <c r="R61" s="2656"/>
      <c r="S61" s="2656"/>
      <c r="T61" s="2656"/>
      <c r="U61" s="2656"/>
      <c r="V61" s="2656"/>
      <c r="W61" s="2656"/>
      <c r="X61" s="2656"/>
      <c r="Y61" s="2656"/>
      <c r="Z61" s="2656"/>
      <c r="AA61" s="2656"/>
      <c r="AB61" s="2656"/>
      <c r="AC61" s="2656"/>
    </row>
    <row r="62" spans="1:29" s="106" customFormat="1" ht="15">
      <c r="A62" s="468" t="s">
        <v>1681</v>
      </c>
      <c r="B62" s="457"/>
      <c r="C62" s="469" t="s">
        <v>1776</v>
      </c>
      <c r="D62" s="470"/>
      <c r="E62" s="470"/>
      <c r="F62" s="470"/>
      <c r="G62" s="470"/>
      <c r="H62" s="470"/>
      <c r="I62" s="470"/>
      <c r="J62" s="470"/>
      <c r="K62" s="470"/>
      <c r="L62" s="471"/>
      <c r="M62" s="472"/>
      <c r="N62" s="2747"/>
      <c r="O62" s="2747"/>
      <c r="P62" s="2756"/>
      <c r="Q62" s="2734"/>
      <c r="R62" s="2656"/>
      <c r="S62" s="2656"/>
      <c r="T62" s="2656"/>
      <c r="U62" s="2656"/>
      <c r="V62" s="2656"/>
      <c r="W62" s="2656"/>
      <c r="X62" s="2656"/>
      <c r="Y62" s="2656"/>
      <c r="Z62" s="2656"/>
      <c r="AA62" s="2656"/>
      <c r="AB62" s="2656"/>
      <c r="AC62" s="2656"/>
    </row>
    <row r="63" spans="1:29" s="106" customFormat="1" ht="15.75" thickBot="1">
      <c r="A63" s="468"/>
      <c r="B63" s="457"/>
      <c r="C63" s="458">
        <v>100</v>
      </c>
      <c r="D63" s="459"/>
      <c r="E63" s="459"/>
      <c r="F63" s="459"/>
      <c r="G63" s="459"/>
      <c r="H63" s="459"/>
      <c r="I63" s="459"/>
      <c r="J63" s="459"/>
      <c r="K63" s="459"/>
      <c r="L63" s="459"/>
      <c r="M63" s="461"/>
      <c r="N63" s="2747"/>
      <c r="O63" s="2747"/>
      <c r="P63" s="2755"/>
      <c r="Q63" s="2734"/>
      <c r="R63" s="2656"/>
      <c r="S63" s="2656"/>
      <c r="T63" s="2656"/>
      <c r="U63" s="2656"/>
      <c r="V63" s="2656"/>
      <c r="W63" s="2656"/>
      <c r="X63" s="2656"/>
      <c r="Y63" s="2656"/>
      <c r="Z63" s="2656"/>
      <c r="AA63" s="2656"/>
      <c r="AB63" s="2656"/>
      <c r="AC63" s="2656"/>
    </row>
    <row r="64" spans="1:29">
      <c r="A64" s="474" t="s">
        <v>1719</v>
      </c>
      <c r="B64" s="475" t="s">
        <v>1685</v>
      </c>
      <c r="C64" s="476">
        <f>C9</f>
        <v>0</v>
      </c>
      <c r="D64" s="477"/>
      <c r="E64" s="477"/>
      <c r="F64" s="477"/>
      <c r="G64" s="477"/>
      <c r="H64" s="477"/>
      <c r="I64" s="477"/>
      <c r="J64" s="477"/>
      <c r="K64" s="478"/>
      <c r="L64" s="479"/>
      <c r="M64" s="480"/>
      <c r="N64" s="2748"/>
      <c r="O64" s="2748"/>
      <c r="P64" s="2757"/>
      <c r="Q64" s="2734"/>
      <c r="R64" s="2720"/>
      <c r="S64" s="2720"/>
      <c r="T64" s="2720"/>
      <c r="U64" s="2720"/>
      <c r="V64" s="2720"/>
      <c r="W64" s="2720"/>
      <c r="X64" s="2720"/>
      <c r="Y64" s="2720"/>
      <c r="Z64" s="2720"/>
      <c r="AA64" s="2720"/>
      <c r="AB64" s="2720"/>
      <c r="AC64" s="2720"/>
    </row>
    <row r="65" spans="1:29" ht="15.75" thickBot="1">
      <c r="A65" s="481"/>
      <c r="B65" s="482"/>
      <c r="C65" s="483">
        <v>100</v>
      </c>
      <c r="D65" s="483"/>
      <c r="E65" s="483"/>
      <c r="F65" s="483"/>
      <c r="G65" s="483"/>
      <c r="H65" s="483"/>
      <c r="I65" s="483"/>
      <c r="J65" s="483"/>
      <c r="K65" s="483"/>
      <c r="L65" s="483"/>
      <c r="M65" s="484"/>
      <c r="N65" s="2749"/>
      <c r="O65" s="2749"/>
      <c r="P65" s="2757"/>
      <c r="Q65" s="2734"/>
      <c r="R65" s="2720"/>
      <c r="S65" s="2720"/>
      <c r="T65" s="2720"/>
      <c r="U65" s="2720"/>
      <c r="V65" s="2720"/>
      <c r="W65" s="2720"/>
      <c r="X65" s="2720"/>
      <c r="Y65" s="2720"/>
      <c r="Z65" s="2720"/>
      <c r="AA65" s="2720"/>
      <c r="AB65" s="2720"/>
      <c r="AC65" s="2720"/>
    </row>
    <row r="66" spans="1:29" ht="27.75" thickTop="1">
      <c r="A66" s="481"/>
      <c r="B66" s="485" t="s">
        <v>1688</v>
      </c>
      <c r="C66" s="530"/>
      <c r="D66" s="530"/>
      <c r="E66" s="530"/>
      <c r="F66" s="530"/>
      <c r="G66" s="530"/>
      <c r="H66" s="530"/>
      <c r="I66" s="530"/>
      <c r="J66" s="530"/>
      <c r="K66" s="531"/>
      <c r="L66" s="532"/>
      <c r="M66" s="533"/>
      <c r="N66" s="2748"/>
      <c r="O66" s="2748"/>
      <c r="P66" s="2757"/>
      <c r="Q66" s="2734"/>
      <c r="R66" s="2720"/>
      <c r="S66" s="2720"/>
      <c r="T66" s="2720"/>
      <c r="U66" s="2720"/>
      <c r="V66" s="2720"/>
      <c r="W66" s="2720"/>
      <c r="X66" s="2720"/>
      <c r="Y66" s="2720"/>
      <c r="Z66" s="2720"/>
      <c r="AA66" s="2720"/>
      <c r="AB66" s="2720"/>
      <c r="AC66" s="2720"/>
    </row>
    <row r="67" spans="1:29" ht="15.75" thickBot="1">
      <c r="A67" s="481"/>
      <c r="B67" s="490"/>
      <c r="C67" s="483"/>
      <c r="D67" s="483"/>
      <c r="E67" s="483"/>
      <c r="F67" s="483"/>
      <c r="G67" s="483"/>
      <c r="H67" s="483"/>
      <c r="I67" s="483"/>
      <c r="J67" s="483"/>
      <c r="K67" s="483"/>
      <c r="L67" s="483"/>
      <c r="M67" s="484"/>
      <c r="N67" s="2749"/>
      <c r="O67" s="2749"/>
      <c r="P67" s="2757"/>
      <c r="Q67" s="2734"/>
      <c r="R67" s="2720"/>
      <c r="S67" s="2720"/>
      <c r="T67" s="2720"/>
      <c r="U67" s="2720"/>
      <c r="V67" s="2720"/>
      <c r="W67" s="2720"/>
      <c r="X67" s="2720"/>
      <c r="Y67" s="2720"/>
      <c r="Z67" s="2720"/>
      <c r="AA67" s="2720"/>
      <c r="AB67" s="2720"/>
      <c r="AC67" s="2720"/>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1"/>
      <c r="B69" s="495"/>
      <c r="C69" s="496">
        <v>0</v>
      </c>
      <c r="D69" s="496">
        <v>3</v>
      </c>
      <c r="E69" s="496"/>
      <c r="F69" s="496"/>
      <c r="G69" s="496"/>
      <c r="H69" s="496"/>
      <c r="I69" s="496"/>
      <c r="J69" s="496"/>
      <c r="K69" s="497"/>
      <c r="L69" s="498"/>
      <c r="M69" s="499"/>
      <c r="N69" s="2748"/>
      <c r="O69" s="2748"/>
      <c r="P69" s="2757"/>
      <c r="Q69" s="2734"/>
      <c r="R69" s="2720"/>
      <c r="S69" s="2720"/>
      <c r="T69" s="2720"/>
      <c r="U69" s="2720"/>
      <c r="V69" s="2720"/>
      <c r="W69" s="2720"/>
      <c r="X69" s="2720"/>
      <c r="Y69" s="2720"/>
      <c r="Z69" s="2720"/>
      <c r="AA69" s="2720"/>
      <c r="AB69" s="2720"/>
      <c r="AC69" s="272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9"/>
      <c r="O70" s="2749"/>
      <c r="P70" s="2757"/>
      <c r="Q70" s="2734"/>
      <c r="R70" s="2720"/>
      <c r="S70" s="2720"/>
      <c r="T70" s="2720"/>
      <c r="U70" s="2720"/>
      <c r="V70" s="2720"/>
      <c r="W70" s="2720"/>
      <c r="X70" s="2720"/>
      <c r="Y70" s="2720"/>
      <c r="Z70" s="2720"/>
      <c r="AA70" s="2720"/>
      <c r="AB70" s="2720"/>
      <c r="AC70" s="2720"/>
    </row>
    <row r="71" spans="1:29" s="420" customFormat="1" ht="15.75" thickTop="1">
      <c r="A71" s="500"/>
      <c r="B71" s="485">
        <f>B12</f>
        <v>111</v>
      </c>
      <c r="C71" s="501"/>
      <c r="D71" s="501"/>
      <c r="E71" s="501"/>
      <c r="F71" s="501"/>
      <c r="G71" s="501"/>
      <c r="H71" s="502"/>
      <c r="I71" s="502"/>
      <c r="J71" s="502"/>
      <c r="K71" s="502"/>
      <c r="L71" s="503"/>
      <c r="M71" s="504"/>
      <c r="N71" s="2750"/>
      <c r="O71" s="2750"/>
      <c r="P71" s="2758"/>
      <c r="Q71" s="2741"/>
      <c r="R71" s="2742"/>
      <c r="S71" s="2742"/>
      <c r="T71" s="2742"/>
      <c r="U71" s="2742"/>
      <c r="V71" s="2742"/>
      <c r="W71" s="2742"/>
      <c r="X71" s="2742"/>
      <c r="Y71" s="2742"/>
      <c r="Z71" s="2742"/>
      <c r="AA71" s="2742"/>
      <c r="AB71" s="2742"/>
      <c r="AC71" s="2742"/>
    </row>
    <row r="72" spans="1:29" s="420" customFormat="1" ht="15.75" thickBot="1">
      <c r="A72" s="500"/>
      <c r="B72" s="490"/>
      <c r="C72" s="507"/>
      <c r="D72" s="483"/>
      <c r="E72" s="483"/>
      <c r="F72" s="483"/>
      <c r="G72" s="483"/>
      <c r="H72" s="483"/>
      <c r="I72" s="483"/>
      <c r="J72" s="483"/>
      <c r="K72" s="483"/>
      <c r="L72" s="483"/>
      <c r="M72" s="484"/>
      <c r="N72" s="2749"/>
      <c r="O72" s="2749"/>
      <c r="P72" s="2758"/>
      <c r="Q72" s="2741"/>
      <c r="R72" s="2742"/>
      <c r="S72" s="2742"/>
      <c r="T72" s="2742"/>
      <c r="U72" s="2742"/>
      <c r="V72" s="2742"/>
      <c r="W72" s="2742"/>
      <c r="X72" s="2742"/>
      <c r="Y72" s="2742"/>
      <c r="Z72" s="2742"/>
      <c r="AA72" s="2742"/>
      <c r="AB72" s="2742"/>
      <c r="AC72" s="2742"/>
    </row>
    <row r="73" spans="1:29" s="420" customFormat="1" ht="15.75" thickTop="1">
      <c r="A73" s="500"/>
      <c r="B73" s="485">
        <f>B13</f>
        <v>111</v>
      </c>
      <c r="C73" s="501"/>
      <c r="D73" s="501"/>
      <c r="E73" s="501"/>
      <c r="F73" s="501"/>
      <c r="G73" s="501"/>
      <c r="H73" s="502"/>
      <c r="I73" s="502"/>
      <c r="J73" s="502"/>
      <c r="K73" s="502"/>
      <c r="L73" s="503"/>
      <c r="M73" s="504"/>
      <c r="N73" s="2750"/>
      <c r="O73" s="2750"/>
      <c r="P73" s="2759"/>
      <c r="Q73" s="2744"/>
      <c r="R73" s="2742"/>
      <c r="S73" s="2742"/>
      <c r="T73" s="2742"/>
      <c r="U73" s="2742"/>
      <c r="V73" s="2742"/>
      <c r="W73" s="2742"/>
      <c r="X73" s="2742"/>
      <c r="Y73" s="2742"/>
      <c r="Z73" s="2742"/>
      <c r="AA73" s="2742"/>
      <c r="AB73" s="2742"/>
      <c r="AC73" s="2742"/>
    </row>
    <row r="74" spans="1:29" s="420" customFormat="1" ht="15.75" thickBot="1">
      <c r="A74" s="500"/>
      <c r="B74" s="490"/>
      <c r="C74" s="507"/>
      <c r="D74" s="507"/>
      <c r="E74" s="507"/>
      <c r="F74" s="507"/>
      <c r="G74" s="507"/>
      <c r="H74" s="509"/>
      <c r="I74" s="509"/>
      <c r="J74" s="509"/>
      <c r="K74" s="509"/>
      <c r="L74" s="509"/>
      <c r="M74" s="510"/>
      <c r="N74" s="2750"/>
      <c r="O74" s="2750"/>
      <c r="P74" s="2758"/>
      <c r="Q74" s="2741"/>
      <c r="R74" s="2742"/>
      <c r="S74" s="2742"/>
      <c r="T74" s="2742"/>
      <c r="U74" s="2742"/>
      <c r="V74" s="2742"/>
      <c r="W74" s="2742"/>
      <c r="X74" s="2742"/>
      <c r="Y74" s="2742"/>
      <c r="Z74" s="2742"/>
      <c r="AA74" s="2742"/>
      <c r="AB74" s="2742"/>
      <c r="AC74" s="2742"/>
    </row>
    <row r="75" spans="1:29" s="420" customFormat="1" ht="15.75" thickTop="1">
      <c r="A75" s="500"/>
      <c r="B75" s="493">
        <f>B14</f>
        <v>111</v>
      </c>
      <c r="C75" s="470"/>
      <c r="D75" s="470"/>
      <c r="E75" s="470"/>
      <c r="F75" s="470"/>
      <c r="G75" s="470"/>
      <c r="H75" s="511"/>
      <c r="I75" s="511"/>
      <c r="J75" s="511"/>
      <c r="K75" s="511"/>
      <c r="L75" s="512"/>
      <c r="M75" s="513"/>
      <c r="N75" s="2750"/>
      <c r="O75" s="2750"/>
      <c r="P75" s="2760"/>
      <c r="Q75" s="2741"/>
      <c r="R75" s="2742"/>
      <c r="S75" s="2742"/>
      <c r="T75" s="2742"/>
      <c r="U75" s="2742"/>
      <c r="V75" s="2742"/>
      <c r="W75" s="2742"/>
      <c r="X75" s="2742"/>
      <c r="Y75" s="2742"/>
      <c r="Z75" s="2742"/>
      <c r="AA75" s="2742"/>
      <c r="AB75" s="2742"/>
      <c r="AC75" s="2742"/>
    </row>
    <row r="76" spans="1:29" s="420" customFormat="1" ht="15.75" thickBot="1">
      <c r="A76" s="515"/>
      <c r="B76" s="516"/>
      <c r="C76" s="517"/>
      <c r="D76" s="517"/>
      <c r="E76" s="517"/>
      <c r="F76" s="517"/>
      <c r="G76" s="517"/>
      <c r="H76" s="518"/>
      <c r="I76" s="518"/>
      <c r="J76" s="518"/>
      <c r="K76" s="518"/>
      <c r="L76" s="518"/>
      <c r="M76" s="519"/>
      <c r="N76" s="2750"/>
      <c r="O76" s="2750"/>
      <c r="P76" s="2758"/>
      <c r="Q76" s="2741"/>
      <c r="R76" s="2742"/>
      <c r="S76" s="2742"/>
      <c r="T76" s="2742"/>
      <c r="U76" s="2742"/>
      <c r="V76" s="2742"/>
      <c r="W76" s="2742"/>
      <c r="X76" s="2742"/>
      <c r="Y76" s="2742"/>
      <c r="Z76" s="2742"/>
      <c r="AA76" s="2742"/>
      <c r="AB76" s="2742"/>
      <c r="AC76" s="2742"/>
    </row>
    <row r="77" spans="1:29">
      <c r="A77" s="474" t="s">
        <v>1690</v>
      </c>
      <c r="B77" s="475" t="s">
        <v>1821</v>
      </c>
      <c r="C77" s="520" t="s">
        <v>1721</v>
      </c>
      <c r="D77" s="520" t="s">
        <v>1722</v>
      </c>
      <c r="E77" s="520" t="s">
        <v>1723</v>
      </c>
      <c r="F77" s="520" t="s">
        <v>1724</v>
      </c>
      <c r="G77" s="520" t="s">
        <v>1725</v>
      </c>
      <c r="H77" s="476"/>
      <c r="I77" s="476"/>
      <c r="J77" s="476"/>
      <c r="K77" s="521"/>
      <c r="L77" s="522"/>
      <c r="M77" s="523"/>
      <c r="N77" s="2748"/>
      <c r="O77" s="2748"/>
      <c r="P77" s="2761"/>
      <c r="Q77" s="2734"/>
      <c r="R77" s="2720"/>
      <c r="S77" s="2720"/>
      <c r="T77" s="2720"/>
      <c r="U77" s="2720"/>
      <c r="V77" s="2720"/>
      <c r="W77" s="2720"/>
      <c r="X77" s="2720"/>
      <c r="Y77" s="2720"/>
      <c r="Z77" s="2720"/>
      <c r="AA77" s="2720"/>
      <c r="AB77" s="2720"/>
      <c r="AC77" s="2720"/>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9"/>
      <c r="O78" s="2749"/>
      <c r="P78" s="2757"/>
      <c r="Q78" s="2734"/>
      <c r="R78" s="2720"/>
      <c r="S78" s="2720"/>
      <c r="T78" s="2720"/>
      <c r="U78" s="2720"/>
      <c r="V78" s="2720"/>
      <c r="W78" s="2720"/>
      <c r="X78" s="2720"/>
      <c r="Y78" s="2720"/>
      <c r="Z78" s="2720"/>
      <c r="AA78" s="2720"/>
      <c r="AB78" s="2720"/>
      <c r="AC78" s="2720"/>
    </row>
    <row r="79" spans="1:29" ht="15.75" thickTop="1">
      <c r="A79" s="481"/>
      <c r="B79" s="485" t="s">
        <v>1726</v>
      </c>
      <c r="C79" s="525" t="s">
        <v>1721</v>
      </c>
      <c r="D79" s="525" t="s">
        <v>1722</v>
      </c>
      <c r="E79" s="525" t="s">
        <v>1723</v>
      </c>
      <c r="F79" s="525" t="s">
        <v>1724</v>
      </c>
      <c r="G79" s="525" t="s">
        <v>1725</v>
      </c>
      <c r="H79" s="486"/>
      <c r="I79" s="486"/>
      <c r="J79" s="486"/>
      <c r="K79" s="487"/>
      <c r="L79" s="488"/>
      <c r="M79" s="489"/>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9"/>
      <c r="O80" s="2749"/>
      <c r="P80" s="2757"/>
      <c r="Q80" s="2734"/>
      <c r="R80" s="2720"/>
      <c r="S80" s="2720"/>
      <c r="T80" s="2720"/>
      <c r="U80" s="2720"/>
      <c r="V80" s="2720"/>
      <c r="W80" s="2720"/>
      <c r="X80" s="2720"/>
      <c r="Y80" s="2720"/>
      <c r="Z80" s="2720"/>
      <c r="AA80" s="2720"/>
      <c r="AB80" s="2720"/>
      <c r="AC80" s="2720"/>
    </row>
    <row r="81" spans="1:29" ht="15.75" thickTop="1">
      <c r="A81" s="481"/>
      <c r="B81" s="485" t="s">
        <v>1727</v>
      </c>
      <c r="C81" s="525" t="s">
        <v>1721</v>
      </c>
      <c r="D81" s="525" t="s">
        <v>1722</v>
      </c>
      <c r="E81" s="525" t="s">
        <v>1723</v>
      </c>
      <c r="F81" s="525" t="s">
        <v>1724</v>
      </c>
      <c r="G81" s="525" t="s">
        <v>1725</v>
      </c>
      <c r="H81" s="486"/>
      <c r="I81" s="486"/>
      <c r="J81" s="486"/>
      <c r="K81" s="487"/>
      <c r="L81" s="488"/>
      <c r="M81" s="489"/>
      <c r="N81" s="2748"/>
      <c r="O81" s="2748"/>
      <c r="P81" s="2757"/>
      <c r="Q81" s="2734"/>
      <c r="R81" s="2720"/>
      <c r="S81" s="2720"/>
      <c r="T81" s="2720"/>
      <c r="U81" s="2720"/>
      <c r="V81" s="2720"/>
      <c r="W81" s="2720"/>
      <c r="X81" s="2720"/>
      <c r="Y81" s="2720"/>
      <c r="Z81" s="2720"/>
      <c r="AA81" s="2720"/>
      <c r="AB81" s="2720"/>
      <c r="AC81" s="2720"/>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9"/>
      <c r="O82" s="2749"/>
      <c r="P82" s="2757"/>
      <c r="Q82" s="2734"/>
      <c r="R82" s="2720"/>
      <c r="S82" s="2720"/>
      <c r="T82" s="2720"/>
      <c r="U82" s="2720"/>
      <c r="V82" s="2720"/>
      <c r="W82" s="2720"/>
      <c r="X82" s="2720"/>
      <c r="Y82" s="2720"/>
      <c r="Z82" s="2720"/>
      <c r="AA82" s="2720"/>
      <c r="AB82" s="2720"/>
      <c r="AC82" s="2720"/>
    </row>
    <row r="83" spans="1:29" ht="15.75" thickTop="1">
      <c r="A83" s="481"/>
      <c r="B83" s="493" t="s">
        <v>1813</v>
      </c>
      <c r="C83" s="606" t="s">
        <v>1799</v>
      </c>
      <c r="D83" s="606" t="s">
        <v>1800</v>
      </c>
      <c r="E83" s="606" t="s">
        <v>1801</v>
      </c>
      <c r="F83" s="606" t="s">
        <v>1802</v>
      </c>
      <c r="G83" s="606" t="s">
        <v>1803</v>
      </c>
      <c r="H83" s="486"/>
      <c r="I83" s="486"/>
      <c r="J83" s="486"/>
      <c r="K83" s="486"/>
      <c r="L83" s="486"/>
      <c r="M83" s="1124"/>
      <c r="N83" s="2749"/>
      <c r="O83" s="2749"/>
      <c r="P83" s="2757"/>
      <c r="Q83" s="2734"/>
      <c r="R83" s="2720"/>
      <c r="S83" s="2720"/>
      <c r="T83" s="2720"/>
      <c r="U83" s="2720"/>
      <c r="V83" s="2720"/>
      <c r="W83" s="2720"/>
      <c r="X83" s="2720"/>
      <c r="Y83" s="2720"/>
      <c r="Z83" s="2720"/>
      <c r="AA83" s="2720"/>
      <c r="AB83" s="2720"/>
      <c r="AC83" s="2720"/>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9"/>
      <c r="O84" s="2749"/>
      <c r="P84" s="2757"/>
      <c r="Q84" s="2734"/>
      <c r="R84" s="2720"/>
      <c r="S84" s="2720"/>
      <c r="T84" s="2720"/>
      <c r="U84" s="2720"/>
      <c r="V84" s="2720"/>
      <c r="W84" s="2720"/>
      <c r="X84" s="2720"/>
      <c r="Y84" s="2720"/>
      <c r="Z84" s="2720"/>
      <c r="AA84" s="2720"/>
      <c r="AB84" s="2720"/>
      <c r="AC84" s="2720"/>
    </row>
    <row r="85" spans="1:29" ht="15.75" thickTop="1">
      <c r="A85" s="481"/>
      <c r="B85" s="485" t="s">
        <v>1822</v>
      </c>
      <c r="C85" s="525" t="s">
        <v>1721</v>
      </c>
      <c r="D85" s="525" t="s">
        <v>1722</v>
      </c>
      <c r="E85" s="525" t="s">
        <v>1723</v>
      </c>
      <c r="F85" s="525" t="s">
        <v>1724</v>
      </c>
      <c r="G85" s="525" t="s">
        <v>1725</v>
      </c>
      <c r="H85" s="486"/>
      <c r="I85" s="486"/>
      <c r="J85" s="486"/>
      <c r="K85" s="487"/>
      <c r="L85" s="488"/>
      <c r="M85" s="489"/>
      <c r="N85" s="2748"/>
      <c r="O85" s="2748"/>
      <c r="P85" s="2757"/>
      <c r="Q85" s="2734"/>
      <c r="R85" s="2720"/>
      <c r="S85" s="2720"/>
      <c r="T85" s="2720"/>
      <c r="U85" s="2720"/>
      <c r="V85" s="2720"/>
      <c r="W85" s="2720"/>
      <c r="X85" s="2720"/>
      <c r="Y85" s="2720"/>
      <c r="Z85" s="2720"/>
      <c r="AA85" s="2720"/>
      <c r="AB85" s="2720"/>
      <c r="AC85" s="2720"/>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9"/>
      <c r="O86" s="2749"/>
      <c r="P86" s="2757"/>
      <c r="Q86" s="2734"/>
      <c r="R86" s="2720"/>
      <c r="S86" s="2720"/>
      <c r="T86" s="2720"/>
      <c r="U86" s="2720"/>
      <c r="V86" s="2720"/>
      <c r="W86" s="2720"/>
      <c r="X86" s="2720"/>
      <c r="Y86" s="2720"/>
      <c r="Z86" s="2720"/>
      <c r="AA86" s="2720"/>
      <c r="AB86" s="2720"/>
      <c r="AC86" s="2720"/>
    </row>
    <row r="87" spans="1:29" s="106" customFormat="1" ht="27.75" thickTop="1">
      <c r="A87" s="526"/>
      <c r="B87" s="485" t="s">
        <v>1823</v>
      </c>
      <c r="C87" s="501"/>
      <c r="D87" s="501"/>
      <c r="E87" s="501"/>
      <c r="F87" s="501"/>
      <c r="G87" s="501"/>
      <c r="H87" s="501"/>
      <c r="I87" s="501"/>
      <c r="J87" s="501"/>
      <c r="K87" s="501"/>
      <c r="L87" s="527"/>
      <c r="M87" s="528"/>
      <c r="N87" s="2747"/>
      <c r="O87" s="2747"/>
      <c r="P87" s="2757"/>
      <c r="Q87" s="2734"/>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9"/>
      <c r="O88" s="2749"/>
      <c r="P88" s="2757"/>
      <c r="Q88" s="2734"/>
      <c r="R88" s="2656"/>
      <c r="S88" s="2656"/>
      <c r="T88" s="2656"/>
      <c r="U88" s="2656"/>
      <c r="V88" s="2656"/>
      <c r="W88" s="2656"/>
      <c r="X88" s="2656"/>
      <c r="Y88" s="2656"/>
      <c r="Z88" s="2656"/>
      <c r="AA88" s="2656"/>
      <c r="AB88" s="2656"/>
      <c r="AC88" s="2656"/>
    </row>
    <row r="89" spans="1:29" s="106" customFormat="1" ht="15.75" thickTop="1">
      <c r="A89" s="526"/>
      <c r="B89" s="485" t="str">
        <f>B27</f>
        <v>楼层</v>
      </c>
      <c r="C89" s="501"/>
      <c r="D89" s="501"/>
      <c r="E89" s="501"/>
      <c r="F89" s="1922"/>
      <c r="G89" s="501"/>
      <c r="H89" s="501"/>
      <c r="I89" s="501"/>
      <c r="J89" s="501"/>
      <c r="K89" s="501"/>
      <c r="L89" s="501"/>
      <c r="M89" s="528"/>
      <c r="N89" s="2747"/>
      <c r="O89" s="2747"/>
      <c r="P89" s="2757"/>
      <c r="Q89" s="2734"/>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9"/>
      <c r="O90" s="2749"/>
      <c r="P90" s="2757"/>
      <c r="Q90" s="2734"/>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1"/>
      <c r="B93" s="485">
        <f>B29</f>
        <v>111</v>
      </c>
      <c r="C93" s="501"/>
      <c r="D93" s="501"/>
      <c r="E93" s="501"/>
      <c r="F93" s="501"/>
      <c r="G93" s="501"/>
      <c r="H93" s="501"/>
      <c r="I93" s="501"/>
      <c r="J93" s="501"/>
      <c r="K93" s="501"/>
      <c r="L93" s="527"/>
      <c r="M93" s="528"/>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507"/>
      <c r="D94" s="483"/>
      <c r="E94" s="483"/>
      <c r="F94" s="483"/>
      <c r="G94" s="483"/>
      <c r="H94" s="483"/>
      <c r="I94" s="483"/>
      <c r="J94" s="483"/>
      <c r="K94" s="483"/>
      <c r="L94" s="483"/>
      <c r="M94" s="484"/>
      <c r="N94" s="2749"/>
      <c r="O94" s="2749"/>
      <c r="P94" s="2757"/>
      <c r="Q94" s="2734"/>
      <c r="R94" s="2720"/>
      <c r="S94" s="2720"/>
      <c r="T94" s="2720"/>
      <c r="U94" s="2720"/>
      <c r="V94" s="2720"/>
      <c r="W94" s="2720"/>
      <c r="X94" s="2720"/>
      <c r="Y94" s="2720"/>
      <c r="Z94" s="2720"/>
      <c r="AA94" s="2720"/>
      <c r="AB94" s="2720"/>
      <c r="AC94" s="2720"/>
    </row>
    <row r="95" spans="1:29" ht="15.75" thickTop="1">
      <c r="A95" s="481"/>
      <c r="B95" s="485">
        <f>B30</f>
        <v>111</v>
      </c>
      <c r="C95" s="501"/>
      <c r="D95" s="501"/>
      <c r="E95" s="501"/>
      <c r="F95" s="501"/>
      <c r="G95" s="530"/>
      <c r="H95" s="530"/>
      <c r="I95" s="530"/>
      <c r="J95" s="530"/>
      <c r="K95" s="531"/>
      <c r="L95" s="532"/>
      <c r="M95" s="533"/>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507"/>
      <c r="D96" s="507"/>
      <c r="E96" s="507"/>
      <c r="F96" s="507"/>
      <c r="G96" s="483"/>
      <c r="H96" s="483"/>
      <c r="I96" s="483"/>
      <c r="J96" s="483"/>
      <c r="K96" s="483"/>
      <c r="L96" s="483"/>
      <c r="M96" s="484"/>
      <c r="N96" s="2749"/>
      <c r="O96" s="2749"/>
      <c r="P96" s="2757"/>
      <c r="Q96" s="2734"/>
      <c r="R96" s="2720"/>
      <c r="S96" s="2720"/>
      <c r="T96" s="2720"/>
      <c r="U96" s="2720"/>
      <c r="V96" s="2720"/>
      <c r="W96" s="2720"/>
      <c r="X96" s="2720"/>
      <c r="Y96" s="2720"/>
      <c r="Z96" s="2720"/>
      <c r="AA96" s="2720"/>
      <c r="AB96" s="2720"/>
      <c r="AC96" s="2720"/>
    </row>
    <row r="97" spans="1:29" ht="15.75" thickTop="1">
      <c r="A97" s="481"/>
      <c r="B97" s="485">
        <f>B31</f>
        <v>111</v>
      </c>
      <c r="C97" s="501"/>
      <c r="D97" s="501"/>
      <c r="E97" s="501"/>
      <c r="F97" s="501"/>
      <c r="G97" s="530"/>
      <c r="H97" s="530"/>
      <c r="I97" s="530"/>
      <c r="J97" s="530"/>
      <c r="K97" s="531"/>
      <c r="L97" s="532"/>
      <c r="M97" s="533"/>
      <c r="N97" s="2748"/>
      <c r="O97" s="2748"/>
      <c r="P97" s="2757"/>
      <c r="Q97" s="2734"/>
      <c r="R97" s="2720"/>
      <c r="S97" s="2720"/>
      <c r="T97" s="2720"/>
      <c r="U97" s="2720"/>
      <c r="V97" s="2720"/>
      <c r="W97" s="2720"/>
      <c r="X97" s="2720"/>
      <c r="Y97" s="2720"/>
      <c r="Z97" s="2720"/>
      <c r="AA97" s="2720"/>
      <c r="AB97" s="2720"/>
      <c r="AC97" s="2720"/>
    </row>
    <row r="98" spans="1:29" ht="15.75" thickBot="1">
      <c r="A98" s="481"/>
      <c r="B98" s="490"/>
      <c r="C98" s="507"/>
      <c r="D98" s="483"/>
      <c r="E98" s="483"/>
      <c r="F98" s="483"/>
      <c r="G98" s="483"/>
      <c r="H98" s="483"/>
      <c r="I98" s="483"/>
      <c r="J98" s="483"/>
      <c r="K98" s="483"/>
      <c r="L98" s="483"/>
      <c r="M98" s="484"/>
      <c r="N98" s="2749"/>
      <c r="O98" s="2749"/>
      <c r="P98" s="2757"/>
      <c r="Q98" s="2734"/>
      <c r="R98" s="2720"/>
      <c r="S98" s="2720"/>
      <c r="T98" s="2720"/>
      <c r="U98" s="2720"/>
      <c r="V98" s="2720"/>
      <c r="W98" s="2720"/>
      <c r="X98" s="2720"/>
      <c r="Y98" s="2720"/>
      <c r="Z98" s="2720"/>
      <c r="AA98" s="2720"/>
      <c r="AB98" s="2720"/>
      <c r="AC98" s="2720"/>
    </row>
    <row r="99" spans="1:29" ht="15.75" thickTop="1">
      <c r="A99" s="481"/>
      <c r="B99" s="493">
        <f>B32</f>
        <v>111</v>
      </c>
      <c r="C99" s="470"/>
      <c r="D99" s="470"/>
      <c r="E99" s="470"/>
      <c r="F99" s="470"/>
      <c r="G99" s="534"/>
      <c r="H99" s="534"/>
      <c r="I99" s="534"/>
      <c r="J99" s="534"/>
      <c r="K99" s="535"/>
      <c r="L99" s="536"/>
      <c r="M99" s="537"/>
      <c r="N99" s="2748"/>
      <c r="O99" s="2748"/>
      <c r="P99" s="2757"/>
      <c r="Q99" s="2734"/>
      <c r="R99" s="2720"/>
      <c r="S99" s="2720"/>
      <c r="T99" s="2720"/>
      <c r="U99" s="2720"/>
      <c r="V99" s="2720"/>
      <c r="W99" s="2720"/>
      <c r="X99" s="2720"/>
      <c r="Y99" s="2720"/>
      <c r="Z99" s="2720"/>
      <c r="AA99" s="2720"/>
      <c r="AB99" s="2720"/>
      <c r="AC99" s="2720"/>
    </row>
    <row r="100" spans="1:29" ht="15.75" thickBot="1">
      <c r="A100" s="1923"/>
      <c r="B100" s="516"/>
      <c r="C100" s="517"/>
      <c r="D100" s="517"/>
      <c r="E100" s="517"/>
      <c r="F100" s="517"/>
      <c r="G100" s="538"/>
      <c r="H100" s="538"/>
      <c r="I100" s="538"/>
      <c r="J100" s="538"/>
      <c r="K100" s="538"/>
      <c r="L100" s="538"/>
      <c r="M100" s="539"/>
      <c r="N100" s="2749"/>
      <c r="O100" s="2749"/>
      <c r="P100" s="2757"/>
      <c r="Q100" s="2734"/>
      <c r="R100" s="2720"/>
      <c r="S100" s="2720"/>
      <c r="T100" s="2720"/>
      <c r="U100" s="2720"/>
      <c r="V100" s="2720"/>
      <c r="W100" s="2720"/>
      <c r="X100" s="2720"/>
      <c r="Y100" s="2720"/>
      <c r="Z100" s="2720"/>
      <c r="AA100" s="2720"/>
      <c r="AB100" s="2720"/>
      <c r="AC100" s="2720"/>
    </row>
    <row r="101" spans="1:29">
      <c r="A101" s="474" t="s">
        <v>1694</v>
      </c>
      <c r="B101" s="475" t="s">
        <v>1736</v>
      </c>
      <c r="C101" s="477"/>
      <c r="D101" s="477"/>
      <c r="E101" s="477"/>
      <c r="F101" s="477"/>
      <c r="G101" s="477"/>
      <c r="H101" s="477"/>
      <c r="I101" s="477"/>
      <c r="J101" s="477"/>
      <c r="K101" s="478"/>
      <c r="L101" s="479"/>
      <c r="M101" s="480"/>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0" customFormat="1">
      <c r="A104" s="540"/>
      <c r="B104" s="541"/>
      <c r="C104" s="542"/>
      <c r="D104" s="542"/>
      <c r="E104" s="542"/>
      <c r="F104" s="542"/>
      <c r="G104" s="542"/>
      <c r="H104" s="542"/>
      <c r="I104" s="542"/>
      <c r="J104" s="543"/>
      <c r="K104" s="543"/>
      <c r="L104" s="544"/>
      <c r="M104" s="545"/>
      <c r="N104" s="2750"/>
      <c r="O104" s="2750"/>
      <c r="P104" s="2758"/>
      <c r="Q104" s="2741"/>
      <c r="R104" s="2742"/>
      <c r="S104" s="2742"/>
      <c r="T104" s="2742"/>
      <c r="U104" s="2742"/>
      <c r="V104" s="2742"/>
      <c r="W104" s="2742"/>
      <c r="X104" s="2742"/>
      <c r="Y104" s="2742"/>
      <c r="Z104" s="2742"/>
      <c r="AA104" s="2742"/>
      <c r="AB104" s="2742"/>
      <c r="AC104" s="2742"/>
    </row>
    <row r="105" spans="1:29" s="420" customFormat="1" ht="15.75" thickBot="1">
      <c r="A105" s="500"/>
      <c r="B105" s="490"/>
      <c r="C105" s="507"/>
      <c r="D105" s="483"/>
      <c r="E105" s="483"/>
      <c r="F105" s="483"/>
      <c r="G105" s="483"/>
      <c r="H105" s="483"/>
      <c r="I105" s="483"/>
      <c r="J105" s="483"/>
      <c r="K105" s="483"/>
      <c r="L105" s="483"/>
      <c r="M105" s="484"/>
      <c r="N105" s="2749"/>
      <c r="O105" s="2749"/>
      <c r="P105" s="2758"/>
      <c r="Q105" s="2741"/>
      <c r="R105" s="2742"/>
      <c r="S105" s="2742"/>
      <c r="T105" s="2742"/>
      <c r="U105" s="2742"/>
      <c r="V105" s="2742"/>
      <c r="W105" s="2742"/>
      <c r="X105" s="2742"/>
      <c r="Y105" s="2742"/>
      <c r="Z105" s="2742"/>
      <c r="AA105" s="2742"/>
      <c r="AB105" s="2742"/>
      <c r="AC105" s="2742"/>
    </row>
    <row r="106" spans="1:29" ht="15" thickTop="1">
      <c r="A106" s="546"/>
      <c r="B106" s="485" t="s">
        <v>1738</v>
      </c>
      <c r="C106" s="501"/>
      <c r="D106" s="501"/>
      <c r="E106" s="530"/>
      <c r="F106" s="530"/>
      <c r="G106" s="530"/>
      <c r="H106" s="530"/>
      <c r="I106" s="530"/>
      <c r="J106" s="530"/>
      <c r="K106" s="531"/>
      <c r="L106" s="532"/>
      <c r="M106" s="533"/>
      <c r="N106" s="2748"/>
      <c r="O106" s="2748"/>
      <c r="P106" s="2757"/>
      <c r="Q106" s="2734"/>
      <c r="R106" s="2720"/>
      <c r="S106" s="2720"/>
      <c r="T106" s="2720"/>
      <c r="U106" s="2720"/>
      <c r="V106" s="2720"/>
      <c r="W106" s="2720"/>
      <c r="X106" s="2720"/>
      <c r="Y106" s="2720"/>
      <c r="Z106" s="2720"/>
      <c r="AA106" s="2720"/>
      <c r="AB106" s="2720"/>
      <c r="AC106" s="2720"/>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6"/>
      <c r="B108" s="485" t="s">
        <v>1740</v>
      </c>
      <c r="C108" s="501"/>
      <c r="D108" s="501"/>
      <c r="E108" s="501"/>
      <c r="F108" s="530"/>
      <c r="G108" s="530"/>
      <c r="H108" s="530"/>
      <c r="I108" s="530"/>
      <c r="J108" s="530"/>
      <c r="K108" s="531"/>
      <c r="L108" s="532"/>
      <c r="M108" s="533"/>
      <c r="N108" s="2748"/>
      <c r="O108" s="2748"/>
      <c r="P108" s="2757"/>
      <c r="Q108" s="2734"/>
      <c r="R108" s="2720"/>
      <c r="S108" s="2720"/>
      <c r="T108" s="2720"/>
      <c r="U108" s="2720"/>
      <c r="V108" s="2720"/>
      <c r="W108" s="2720"/>
      <c r="X108" s="2720"/>
      <c r="Y108" s="2720"/>
      <c r="Z108" s="2720"/>
      <c r="AA108" s="2720"/>
      <c r="AB108" s="2720"/>
      <c r="AC108" s="2720"/>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8"/>
      <c r="O110" s="2748"/>
      <c r="P110" s="2757"/>
      <c r="Q110" s="2734"/>
      <c r="R110" s="2720"/>
      <c r="S110" s="2720"/>
      <c r="T110" s="2720"/>
      <c r="U110" s="2720"/>
      <c r="V110" s="2720"/>
      <c r="W110" s="2720"/>
      <c r="X110" s="2720"/>
      <c r="Y110" s="2720"/>
      <c r="Z110" s="2720"/>
      <c r="AA110" s="2720"/>
      <c r="AB110" s="2720"/>
      <c r="AC110" s="2720"/>
    </row>
    <row r="111" spans="1:29">
      <c r="A111" s="546"/>
      <c r="B111" s="493"/>
      <c r="C111" s="550">
        <v>0.5</v>
      </c>
      <c r="D111" s="550">
        <v>0.6</v>
      </c>
      <c r="E111" s="550">
        <v>0.7</v>
      </c>
      <c r="F111" s="550">
        <v>0.8</v>
      </c>
      <c r="G111" s="550">
        <v>0.9</v>
      </c>
      <c r="H111" s="550">
        <v>1.0001</v>
      </c>
      <c r="I111" s="569"/>
      <c r="J111" s="569"/>
      <c r="K111" s="570"/>
      <c r="L111" s="571"/>
      <c r="M111" s="572"/>
      <c r="N111" s="2748"/>
      <c r="O111" s="2748"/>
      <c r="P111" s="2757"/>
      <c r="Q111" s="2734"/>
      <c r="R111" s="2720"/>
      <c r="S111" s="2720"/>
      <c r="T111" s="2720"/>
      <c r="U111" s="2720"/>
      <c r="V111" s="2720"/>
      <c r="W111" s="2720"/>
      <c r="X111" s="2720"/>
      <c r="Y111" s="2720"/>
      <c r="Z111" s="2720"/>
      <c r="AA111" s="2720"/>
      <c r="AB111" s="2720"/>
      <c r="AC111" s="2720"/>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9"/>
      <c r="O112" s="2749"/>
      <c r="P112" s="2757"/>
      <c r="Q112" s="2734"/>
      <c r="R112" s="2720"/>
      <c r="S112" s="2720"/>
      <c r="T112" s="2720"/>
      <c r="U112" s="2720"/>
      <c r="V112" s="2720"/>
      <c r="W112" s="2720"/>
      <c r="X112" s="2720"/>
      <c r="Y112" s="2720"/>
      <c r="Z112" s="2720"/>
      <c r="AA112" s="2720"/>
      <c r="AB112" s="2720"/>
      <c r="AC112" s="2720"/>
    </row>
    <row r="113" spans="1:29" s="420" customFormat="1" ht="15" thickTop="1">
      <c r="A113" s="540"/>
      <c r="B113" s="485" t="s">
        <v>1824</v>
      </c>
      <c r="C113" s="501"/>
      <c r="D113" s="501"/>
      <c r="E113" s="501"/>
      <c r="F113" s="501"/>
      <c r="G113" s="501"/>
      <c r="H113" s="530"/>
      <c r="I113" s="530"/>
      <c r="J113" s="530"/>
      <c r="K113" s="531"/>
      <c r="L113" s="532"/>
      <c r="M113" s="533"/>
      <c r="N113" s="2750"/>
      <c r="O113" s="2750"/>
      <c r="P113" s="2758"/>
      <c r="Q113" s="2741"/>
      <c r="R113" s="2742"/>
      <c r="S113" s="2742"/>
      <c r="T113" s="2742"/>
      <c r="U113" s="2742"/>
      <c r="V113" s="2742"/>
      <c r="W113" s="2742"/>
      <c r="X113" s="2742"/>
      <c r="Y113" s="2742"/>
      <c r="Z113" s="2742"/>
      <c r="AA113" s="2742"/>
      <c r="AB113" s="2742"/>
      <c r="AC113" s="2742"/>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6"/>
      <c r="B115" s="485" t="s">
        <v>1741</v>
      </c>
      <c r="C115" s="501"/>
      <c r="D115" s="501"/>
      <c r="E115" s="530"/>
      <c r="F115" s="530"/>
      <c r="G115" s="530"/>
      <c r="H115" s="530"/>
      <c r="I115" s="530"/>
      <c r="J115" s="530"/>
      <c r="K115" s="531"/>
      <c r="L115" s="532"/>
      <c r="M115" s="533"/>
      <c r="N115" s="2748"/>
      <c r="O115" s="2748"/>
      <c r="P115" s="2757"/>
      <c r="Q115" s="2734"/>
      <c r="R115" s="2720"/>
      <c r="S115" s="2720"/>
      <c r="T115" s="2720"/>
      <c r="U115" s="2720"/>
      <c r="V115" s="2720"/>
      <c r="W115" s="2720"/>
      <c r="X115" s="2720"/>
      <c r="Y115" s="2720"/>
      <c r="Z115" s="2720"/>
      <c r="AA115" s="2720"/>
      <c r="AB115" s="2720"/>
      <c r="AC115" s="2720"/>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6"/>
      <c r="B117" s="485" t="s">
        <v>1742</v>
      </c>
      <c r="C117" s="501"/>
      <c r="D117" s="501"/>
      <c r="E117" s="501"/>
      <c r="F117" s="501"/>
      <c r="G117" s="501"/>
      <c r="H117" s="530"/>
      <c r="I117" s="530"/>
      <c r="J117" s="530"/>
      <c r="K117" s="531"/>
      <c r="L117" s="532"/>
      <c r="M117" s="533"/>
      <c r="N117" s="2748"/>
      <c r="O117" s="2748"/>
      <c r="P117" s="2757"/>
      <c r="Q117" s="2734"/>
      <c r="R117" s="2720"/>
      <c r="S117" s="2720"/>
      <c r="T117" s="2720"/>
      <c r="U117" s="2720"/>
      <c r="V117" s="2720"/>
      <c r="W117" s="2720"/>
      <c r="X117" s="2720"/>
      <c r="Y117" s="2720"/>
      <c r="Z117" s="2720"/>
      <c r="AA117" s="2720"/>
      <c r="AB117" s="2720"/>
      <c r="AC117" s="2720"/>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9"/>
      <c r="O118" s="2749"/>
      <c r="P118" s="2757"/>
      <c r="Q118" s="2734"/>
      <c r="R118" s="2720"/>
      <c r="S118" s="2720"/>
      <c r="T118" s="2720"/>
      <c r="U118" s="2720"/>
      <c r="V118" s="2720"/>
      <c r="W118" s="2720"/>
      <c r="X118" s="2720"/>
      <c r="Y118" s="2720"/>
      <c r="Z118" s="2720"/>
      <c r="AA118" s="2720"/>
      <c r="AB118" s="2720"/>
      <c r="AC118" s="2720"/>
    </row>
    <row r="119" spans="1:29" ht="15" thickTop="1">
      <c r="A119" s="546"/>
      <c r="B119" s="582" t="s">
        <v>1825</v>
      </c>
      <c r="C119" s="530"/>
      <c r="D119" s="530"/>
      <c r="E119" s="530"/>
      <c r="F119" s="530"/>
      <c r="G119" s="530"/>
      <c r="H119" s="530"/>
      <c r="I119" s="530"/>
      <c r="J119" s="530"/>
      <c r="K119" s="530"/>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9"/>
      <c r="O120" s="2749"/>
      <c r="P120" s="2757"/>
      <c r="Q120" s="2734"/>
      <c r="R120" s="2720"/>
      <c r="S120" s="2720"/>
      <c r="T120" s="2720"/>
      <c r="U120" s="2720"/>
      <c r="V120" s="2720"/>
      <c r="W120" s="2720"/>
      <c r="X120" s="2720"/>
      <c r="Y120" s="2720"/>
      <c r="Z120" s="2720"/>
      <c r="AA120" s="2720"/>
      <c r="AB120" s="2720"/>
      <c r="AC120" s="2720"/>
    </row>
    <row r="121" spans="1:29" s="420" customFormat="1" ht="15" thickTop="1">
      <c r="A121" s="540"/>
      <c r="B121" s="485" t="s">
        <v>1808</v>
      </c>
      <c r="C121" s="501"/>
      <c r="D121" s="501"/>
      <c r="E121" s="501"/>
      <c r="F121" s="530"/>
      <c r="G121" s="502"/>
      <c r="H121" s="502"/>
      <c r="I121" s="502"/>
      <c r="J121" s="502"/>
      <c r="K121" s="502"/>
      <c r="L121" s="503"/>
      <c r="M121" s="504"/>
      <c r="N121" s="2750"/>
      <c r="O121" s="2750"/>
      <c r="P121" s="2758"/>
      <c r="Q121" s="2741"/>
      <c r="R121" s="2742"/>
      <c r="S121" s="2742"/>
      <c r="T121" s="2742"/>
      <c r="U121" s="2742"/>
      <c r="V121" s="2742"/>
      <c r="W121" s="2742"/>
      <c r="X121" s="2742"/>
      <c r="Y121" s="2742"/>
      <c r="Z121" s="2742"/>
      <c r="AA121" s="2742"/>
      <c r="AB121" s="2742"/>
      <c r="AC121" s="2742"/>
    </row>
    <row r="122" spans="1:29" s="420" customFormat="1" ht="15.75" thickBot="1">
      <c r="A122" s="500"/>
      <c r="B122" s="482"/>
      <c r="C122" s="507"/>
      <c r="D122" s="507"/>
      <c r="E122" s="507"/>
      <c r="F122" s="507"/>
      <c r="G122" s="507"/>
      <c r="H122" s="507"/>
      <c r="I122" s="507"/>
      <c r="J122" s="507"/>
      <c r="K122" s="507"/>
      <c r="L122" s="507"/>
      <c r="M122" s="507"/>
      <c r="N122" s="2750"/>
      <c r="O122" s="2750"/>
      <c r="P122" s="2758"/>
      <c r="Q122" s="2741"/>
      <c r="R122" s="2742"/>
      <c r="S122" s="2742"/>
      <c r="T122" s="2742"/>
      <c r="U122" s="2742"/>
      <c r="V122" s="2742"/>
      <c r="W122" s="2742"/>
      <c r="X122" s="2742"/>
      <c r="Y122" s="2742"/>
      <c r="Z122" s="2742"/>
      <c r="AA122" s="2742"/>
      <c r="AB122" s="2742"/>
      <c r="AC122" s="2742"/>
    </row>
    <row r="123" spans="1:29" ht="15" thickTop="1">
      <c r="A123" s="546"/>
      <c r="B123" s="485" t="s">
        <v>1744</v>
      </c>
      <c r="C123" s="501"/>
      <c r="D123" s="501"/>
      <c r="E123" s="501"/>
      <c r="F123" s="530"/>
      <c r="G123" s="530"/>
      <c r="H123" s="530"/>
      <c r="I123" s="530"/>
      <c r="J123" s="530"/>
      <c r="K123" s="531"/>
      <c r="L123" s="532"/>
      <c r="M123" s="533"/>
      <c r="N123" s="2748"/>
      <c r="O123" s="2748"/>
      <c r="P123" s="2757"/>
      <c r="Q123" s="2734"/>
      <c r="R123" s="2720"/>
      <c r="S123" s="2720"/>
      <c r="T123" s="2720"/>
      <c r="U123" s="2720"/>
      <c r="V123" s="2720"/>
      <c r="W123" s="2720"/>
      <c r="X123" s="2720"/>
      <c r="Y123" s="2720"/>
      <c r="Z123" s="2720"/>
      <c r="AA123" s="2720"/>
      <c r="AB123" s="2720"/>
      <c r="AC123" s="2720"/>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8"/>
      <c r="O125" s="2748"/>
      <c r="P125" s="2758"/>
      <c r="Q125" s="2734"/>
      <c r="R125" s="2720"/>
      <c r="S125" s="2720"/>
      <c r="T125" s="2720"/>
      <c r="U125" s="2720"/>
      <c r="V125" s="2720"/>
      <c r="W125" s="2720"/>
      <c r="X125" s="2720"/>
      <c r="Y125" s="2720"/>
      <c r="Z125" s="2720"/>
      <c r="AA125" s="2720"/>
      <c r="AB125" s="2720"/>
      <c r="AC125" s="2720"/>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9"/>
      <c r="O126" s="2749"/>
      <c r="P126" s="2757"/>
      <c r="Q126" s="2734"/>
      <c r="R126" s="2720"/>
      <c r="S126" s="2720"/>
      <c r="T126" s="2720"/>
      <c r="U126" s="2720"/>
      <c r="V126" s="2720"/>
      <c r="W126" s="2720"/>
      <c r="X126" s="2720"/>
      <c r="Y126" s="2720"/>
      <c r="Z126" s="2720"/>
      <c r="AA126" s="2720"/>
      <c r="AB126" s="2720"/>
      <c r="AC126" s="2720"/>
    </row>
    <row r="127" spans="1:29" s="420" customFormat="1" ht="15" thickTop="1">
      <c r="A127" s="540"/>
      <c r="B127" s="485">
        <f>B45</f>
        <v>111</v>
      </c>
      <c r="C127" s="501"/>
      <c r="D127" s="501"/>
      <c r="E127" s="501"/>
      <c r="F127" s="501"/>
      <c r="G127" s="501"/>
      <c r="H127" s="502"/>
      <c r="I127" s="502"/>
      <c r="J127" s="502"/>
      <c r="K127" s="502"/>
      <c r="L127" s="503"/>
      <c r="M127" s="504"/>
      <c r="N127" s="2750"/>
      <c r="O127" s="2750"/>
      <c r="P127" s="2758"/>
      <c r="Q127" s="2741"/>
      <c r="R127" s="2742"/>
      <c r="S127" s="2742"/>
      <c r="T127" s="2742"/>
      <c r="U127" s="2742"/>
      <c r="V127" s="2742"/>
      <c r="W127" s="2742"/>
      <c r="X127" s="2742"/>
      <c r="Y127" s="2742"/>
      <c r="Z127" s="2742"/>
      <c r="AA127" s="2742"/>
      <c r="AB127" s="2742"/>
      <c r="AC127" s="2742"/>
    </row>
    <row r="128" spans="1:29" s="420" customFormat="1" ht="15.75" thickBot="1">
      <c r="A128" s="500"/>
      <c r="B128" s="490"/>
      <c r="C128" s="507"/>
      <c r="D128" s="483"/>
      <c r="E128" s="483"/>
      <c r="F128" s="483"/>
      <c r="G128" s="507"/>
      <c r="H128" s="509"/>
      <c r="I128" s="509"/>
      <c r="J128" s="509"/>
      <c r="K128" s="509"/>
      <c r="L128" s="509"/>
      <c r="M128" s="510"/>
      <c r="N128" s="2750"/>
      <c r="O128" s="2750"/>
      <c r="P128" s="2758"/>
      <c r="Q128" s="2741"/>
      <c r="R128" s="2742"/>
      <c r="S128" s="2742"/>
      <c r="T128" s="2742"/>
      <c r="U128" s="2742"/>
      <c r="V128" s="2742"/>
      <c r="W128" s="2742"/>
      <c r="X128" s="2742"/>
      <c r="Y128" s="2742"/>
      <c r="Z128" s="2742"/>
      <c r="AA128" s="2742"/>
      <c r="AB128" s="2742"/>
      <c r="AC128" s="2742"/>
    </row>
    <row r="129" spans="1:29" ht="15" thickTop="1">
      <c r="A129" s="546"/>
      <c r="B129" s="485">
        <f>B46</f>
        <v>111</v>
      </c>
      <c r="C129" s="501"/>
      <c r="D129" s="501"/>
      <c r="E129" s="501"/>
      <c r="F129" s="501"/>
      <c r="G129" s="530"/>
      <c r="H129" s="530"/>
      <c r="I129" s="530"/>
      <c r="J129" s="530"/>
      <c r="K129" s="531"/>
      <c r="L129" s="532"/>
      <c r="M129" s="533"/>
      <c r="N129" s="2748"/>
      <c r="O129" s="2748"/>
      <c r="P129" s="2757"/>
      <c r="Q129" s="2734"/>
      <c r="R129" s="2720"/>
      <c r="S129" s="2720"/>
      <c r="T129" s="2720"/>
      <c r="U129" s="2720"/>
      <c r="V129" s="2720"/>
      <c r="W129" s="2720"/>
      <c r="X129" s="2720"/>
      <c r="Y129" s="2720"/>
      <c r="Z129" s="2720"/>
      <c r="AA129" s="2720"/>
      <c r="AB129" s="2720"/>
      <c r="AC129" s="2720"/>
    </row>
    <row r="130" spans="1:29" ht="15.75" thickBot="1">
      <c r="A130" s="481"/>
      <c r="B130" s="490"/>
      <c r="C130" s="507"/>
      <c r="D130" s="507"/>
      <c r="E130" s="507"/>
      <c r="F130" s="507"/>
      <c r="G130" s="483"/>
      <c r="H130" s="483"/>
      <c r="I130" s="483"/>
      <c r="J130" s="483"/>
      <c r="K130" s="483"/>
      <c r="L130" s="483"/>
      <c r="M130" s="484"/>
      <c r="N130" s="2749"/>
      <c r="O130" s="2749"/>
      <c r="P130" s="2757"/>
      <c r="Q130" s="2734"/>
      <c r="R130" s="2720"/>
      <c r="S130" s="2720"/>
      <c r="T130" s="2720"/>
      <c r="U130" s="2720"/>
      <c r="V130" s="2720"/>
      <c r="W130" s="2720"/>
      <c r="X130" s="2720"/>
      <c r="Y130" s="2720"/>
      <c r="Z130" s="2720"/>
      <c r="AA130" s="2720"/>
      <c r="AB130" s="2720"/>
      <c r="AC130" s="2720"/>
    </row>
    <row r="131" spans="1:29" ht="15" thickTop="1">
      <c r="A131" s="546"/>
      <c r="B131" s="493">
        <f>B47</f>
        <v>111</v>
      </c>
      <c r="C131" s="470"/>
      <c r="D131" s="470"/>
      <c r="E131" s="470"/>
      <c r="F131" s="470"/>
      <c r="G131" s="534"/>
      <c r="H131" s="534"/>
      <c r="I131" s="534"/>
      <c r="J131" s="534"/>
      <c r="K131" s="470"/>
      <c r="L131" s="471"/>
      <c r="M131" s="537"/>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6"/>
      <c r="C132" s="517"/>
      <c r="D132" s="517"/>
      <c r="E132" s="517"/>
      <c r="F132" s="517"/>
      <c r="G132" s="538"/>
      <c r="H132" s="538"/>
      <c r="I132" s="538"/>
      <c r="J132" s="538"/>
      <c r="K132" s="538"/>
      <c r="L132" s="538"/>
      <c r="M132" s="539"/>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1826</v>
      </c>
      <c r="C1" s="1219" t="s">
        <v>1662</v>
      </c>
      <c r="D1" s="1220"/>
      <c r="E1" s="3358"/>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61136.619999999995</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3" t="s">
        <v>1769</v>
      </c>
      <c r="B4" s="354"/>
      <c r="C4" s="4083" t="s">
        <v>1770</v>
      </c>
      <c r="D4" s="4084"/>
      <c r="E4" s="4085" t="s">
        <v>1771</v>
      </c>
      <c r="F4" s="4086"/>
      <c r="G4" s="4083" t="s">
        <v>1772</v>
      </c>
      <c r="H4" s="4084"/>
      <c r="I4" s="4083" t="s">
        <v>1773</v>
      </c>
      <c r="J4" s="4084"/>
      <c r="K4" s="557" t="s">
        <v>1774</v>
      </c>
      <c r="L4" s="908"/>
      <c r="M4" s="909"/>
      <c r="N4" s="909"/>
      <c r="O4" s="909"/>
      <c r="P4" s="4087" t="s">
        <v>1775</v>
      </c>
      <c r="Q4" s="4088"/>
      <c r="R4" s="4093" t="s">
        <v>1771</v>
      </c>
      <c r="S4" s="4094"/>
      <c r="T4" s="4093" t="s">
        <v>1772</v>
      </c>
      <c r="U4" s="4094"/>
      <c r="V4" s="4099" t="s">
        <v>1773</v>
      </c>
      <c r="W4" s="4099"/>
      <c r="X4" s="1350"/>
      <c r="Y4" s="4093" t="s">
        <v>1775</v>
      </c>
      <c r="Z4" s="4094"/>
      <c r="AA4" s="4080" t="s">
        <v>1771</v>
      </c>
      <c r="AB4" s="4081" t="s">
        <v>1772</v>
      </c>
      <c r="AC4" s="4080" t="s">
        <v>1773</v>
      </c>
    </row>
    <row r="5" spans="1:29" ht="15">
      <c r="A5" s="356"/>
      <c r="B5" s="357"/>
      <c r="C5" s="4102" t="s">
        <v>1673</v>
      </c>
      <c r="D5" s="4103"/>
      <c r="E5" s="4109" t="s">
        <v>1674</v>
      </c>
      <c r="F5" s="4110"/>
      <c r="G5" s="4102" t="s">
        <v>1675</v>
      </c>
      <c r="H5" s="4103"/>
      <c r="I5" s="4102" t="s">
        <v>1676</v>
      </c>
      <c r="J5" s="4103"/>
      <c r="K5" s="557"/>
      <c r="L5" s="908"/>
      <c r="M5" s="909"/>
      <c r="N5" s="909"/>
      <c r="O5" s="909"/>
      <c r="P5" s="4089"/>
      <c r="Q5" s="4090"/>
      <c r="R5" s="4095"/>
      <c r="S5" s="4096"/>
      <c r="T5" s="4095"/>
      <c r="U5" s="4096"/>
      <c r="V5" s="4099"/>
      <c r="W5" s="4099"/>
      <c r="X5" s="1350"/>
      <c r="Y5" s="4095"/>
      <c r="Z5" s="4096"/>
      <c r="AA5" s="4081"/>
      <c r="AB5" s="4081"/>
      <c r="AC5" s="4081"/>
    </row>
    <row r="6" spans="1:29" ht="15.75" thickBot="1">
      <c r="A6" s="358"/>
      <c r="B6" s="359"/>
      <c r="C6" s="4100" t="s">
        <v>1677</v>
      </c>
      <c r="D6" s="4101"/>
      <c r="E6" s="4107" t="s">
        <v>1677</v>
      </c>
      <c r="F6" s="4108"/>
      <c r="G6" s="4100" t="s">
        <v>1677</v>
      </c>
      <c r="H6" s="4101"/>
      <c r="I6" s="4100" t="s">
        <v>1677</v>
      </c>
      <c r="J6" s="4101"/>
      <c r="K6" s="557" t="s">
        <v>1678</v>
      </c>
      <c r="L6" s="908"/>
      <c r="M6" s="909"/>
      <c r="N6" s="909"/>
      <c r="O6" s="909"/>
      <c r="P6" s="4091"/>
      <c r="Q6" s="4092"/>
      <c r="R6" s="4095"/>
      <c r="S6" s="4096"/>
      <c r="T6" s="4097"/>
      <c r="U6" s="4098"/>
      <c r="V6" s="4099"/>
      <c r="W6" s="4099"/>
      <c r="X6" s="1350"/>
      <c r="Y6" s="4097"/>
      <c r="Z6" s="4098"/>
      <c r="AA6" s="4082"/>
      <c r="AB6" s="4082"/>
      <c r="AC6" s="4082"/>
    </row>
    <row r="7" spans="1:29" s="106" customFormat="1" ht="15.75" thickBot="1">
      <c r="A7" s="360" t="s">
        <v>1679</v>
      </c>
      <c r="B7" s="361"/>
      <c r="C7" s="362">
        <f>'数据-取费表'!B2</f>
        <v>45226</v>
      </c>
      <c r="D7" s="363">
        <v>100</v>
      </c>
      <c r="E7" s="364"/>
      <c r="F7" s="365">
        <f>SUMIF(52:52,YEAR(E7)&amp;"-"&amp;MONTH(E7),53:53)</f>
        <v>0</v>
      </c>
      <c r="G7" s="364"/>
      <c r="H7" s="363">
        <f>SUMIF(52:52,YEAR(G7)&amp;"-"&amp;MONTH(G7),53:53)</f>
        <v>0</v>
      </c>
      <c r="I7" s="364"/>
      <c r="J7" s="363">
        <f>SUMIF(52:52,YEAR(I7)&amp;"-"&amp;MONTH(I7),53:53)</f>
        <v>0</v>
      </c>
      <c r="K7" s="558"/>
      <c r="L7" s="910"/>
      <c r="M7" s="911"/>
      <c r="N7" s="911"/>
      <c r="O7" s="911"/>
      <c r="P7" s="4104" t="s">
        <v>1680</v>
      </c>
      <c r="Q7" s="4106"/>
      <c r="R7" s="699" t="s">
        <v>14</v>
      </c>
      <c r="S7" s="700">
        <f t="shared" ref="S7:S15" si="0">F7</f>
        <v>0</v>
      </c>
      <c r="T7" s="699" t="s">
        <v>14</v>
      </c>
      <c r="U7" s="700">
        <f t="shared" ref="U7:U15" si="1">H7</f>
        <v>0</v>
      </c>
      <c r="V7" s="699" t="s">
        <v>14</v>
      </c>
      <c r="W7" s="700">
        <f t="shared" ref="W7:W15" si="2">J7</f>
        <v>0</v>
      </c>
      <c r="X7" s="701"/>
      <c r="Y7" s="4104" t="s">
        <v>1680</v>
      </c>
      <c r="Z7" s="4105"/>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0"/>
      <c r="M8" s="911"/>
      <c r="N8" s="911"/>
      <c r="O8" s="911"/>
      <c r="P8" s="4104" t="s">
        <v>1683</v>
      </c>
      <c r="Q8" s="4105"/>
      <c r="R8" s="699" t="s">
        <v>14</v>
      </c>
      <c r="S8" s="700">
        <f t="shared" si="0"/>
        <v>100</v>
      </c>
      <c r="T8" s="699" t="s">
        <v>14</v>
      </c>
      <c r="U8" s="700">
        <f t="shared" si="1"/>
        <v>100</v>
      </c>
      <c r="V8" s="699" t="s">
        <v>14</v>
      </c>
      <c r="W8" s="700">
        <f t="shared" si="2"/>
        <v>100</v>
      </c>
      <c r="X8" s="701"/>
      <c r="Y8" s="4104" t="s">
        <v>1683</v>
      </c>
      <c r="Z8" s="4105"/>
      <c r="AA8" s="702">
        <f t="shared" ref="AA8:AA40" si="3">D8/F8</f>
        <v>1</v>
      </c>
      <c r="AB8" s="702">
        <f t="shared" ref="AB8:AB40" si="4">D8/H8</f>
        <v>1</v>
      </c>
      <c r="AC8" s="702">
        <f t="shared" ref="AC8:AC40" si="5">D8/J8</f>
        <v>1</v>
      </c>
    </row>
    <row r="9" spans="1:29" s="106" customFormat="1">
      <c r="A9" s="367" t="s">
        <v>1684</v>
      </c>
      <c r="B9" s="61" t="s">
        <v>1685</v>
      </c>
      <c r="C9" s="368"/>
      <c r="D9" s="124">
        <v>100</v>
      </c>
      <c r="E9" s="371"/>
      <c r="F9" s="124">
        <f>SUMIF(57:57,E9,58:58)-SUMIF(57:57,C9,58:58)+100</f>
        <v>100</v>
      </c>
      <c r="G9" s="369"/>
      <c r="H9" s="124">
        <f>SUMIF(57:57,G9,58:58)-SUMIF(57:57,C9,58:58)+100</f>
        <v>100</v>
      </c>
      <c r="I9" s="369"/>
      <c r="J9" s="124">
        <f>SUMIF(57:57,I9,58:58)-SUMIF(57:57,C9,58:58)+100</f>
        <v>100</v>
      </c>
      <c r="K9" s="558"/>
      <c r="L9" s="910"/>
      <c r="M9" s="911"/>
      <c r="N9" s="911"/>
      <c r="O9" s="912"/>
      <c r="P9" s="4068" t="s">
        <v>1686</v>
      </c>
      <c r="Q9" s="1338" t="str">
        <f t="shared" ref="Q9:Q15" si="6">B9</f>
        <v>用途</v>
      </c>
      <c r="R9" s="699" t="s">
        <v>14</v>
      </c>
      <c r="S9" s="700">
        <f t="shared" si="0"/>
        <v>100</v>
      </c>
      <c r="T9" s="699" t="s">
        <v>14</v>
      </c>
      <c r="U9" s="700">
        <f t="shared" si="1"/>
        <v>100</v>
      </c>
      <c r="V9" s="699" t="s">
        <v>14</v>
      </c>
      <c r="W9" s="700">
        <f t="shared" si="2"/>
        <v>100</v>
      </c>
      <c r="X9" s="701"/>
      <c r="Y9" s="3943" t="s">
        <v>1687</v>
      </c>
      <c r="Z9" s="50" t="str">
        <f t="shared" ref="Z9:Z15" si="7">Q9</f>
        <v>用途</v>
      </c>
      <c r="AA9" s="702">
        <f t="shared" si="3"/>
        <v>1</v>
      </c>
      <c r="AB9" s="702">
        <f t="shared" si="4"/>
        <v>1</v>
      </c>
      <c r="AC9" s="702">
        <f t="shared" si="5"/>
        <v>1</v>
      </c>
    </row>
    <row r="10" spans="1:29" s="376" customFormat="1" ht="27">
      <c r="A10" s="372"/>
      <c r="B10" s="373" t="s">
        <v>1688</v>
      </c>
      <c r="C10" s="3359"/>
      <c r="D10" s="125">
        <v>100</v>
      </c>
      <c r="E10" s="3359"/>
      <c r="F10" s="125">
        <f>SUMIF(59:59,E10,60:60)-SUMIF(59:59,C10,60:60)+100</f>
        <v>100</v>
      </c>
      <c r="G10" s="3360"/>
      <c r="H10" s="125">
        <f>SUMIF(59:59,G10,60:60)-SUMIF(59:59,C10,60:60)+100</f>
        <v>100</v>
      </c>
      <c r="I10" s="3359"/>
      <c r="J10" s="125">
        <f>SUMIF(59:59,I10,60:60)-SUMIF(59:59,C10,60:60)+100</f>
        <v>100</v>
      </c>
      <c r="K10" s="558"/>
      <c r="L10" s="913"/>
      <c r="M10" s="914"/>
      <c r="N10" s="914"/>
      <c r="O10" s="915"/>
      <c r="P10" s="4068"/>
      <c r="Q10" s="1338" t="str">
        <f t="shared" si="6"/>
        <v>土地使用年限（年）</v>
      </c>
      <c r="R10" s="699" t="s">
        <v>14</v>
      </c>
      <c r="S10" s="700">
        <f t="shared" si="0"/>
        <v>100</v>
      </c>
      <c r="T10" s="699" t="s">
        <v>14</v>
      </c>
      <c r="U10" s="700">
        <f t="shared" si="1"/>
        <v>100</v>
      </c>
      <c r="V10" s="699" t="s">
        <v>14</v>
      </c>
      <c r="W10" s="700">
        <f t="shared" si="2"/>
        <v>100</v>
      </c>
      <c r="X10" s="701"/>
      <c r="Y10" s="3943"/>
      <c r="Z10" s="50"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6"/>
      <c r="M11" s="909"/>
      <c r="N11" s="909"/>
      <c r="O11" s="917"/>
      <c r="P11" s="4068"/>
      <c r="Q11" s="1338" t="str">
        <f t="shared" si="6"/>
        <v>容积率</v>
      </c>
      <c r="R11" s="699" t="s">
        <v>14</v>
      </c>
      <c r="S11" s="700">
        <f t="shared" si="0"/>
        <v>100</v>
      </c>
      <c r="T11" s="699" t="s">
        <v>14</v>
      </c>
      <c r="U11" s="700">
        <f t="shared" si="1"/>
        <v>100</v>
      </c>
      <c r="V11" s="699" t="s">
        <v>14</v>
      </c>
      <c r="W11" s="700">
        <f t="shared" si="2"/>
        <v>100</v>
      </c>
      <c r="X11" s="701"/>
      <c r="Y11" s="3943"/>
      <c r="Z11" s="50" t="str">
        <f t="shared" si="7"/>
        <v>容积率</v>
      </c>
      <c r="AA11" s="702">
        <f t="shared" si="3"/>
        <v>1</v>
      </c>
      <c r="AB11" s="702">
        <f t="shared" si="4"/>
        <v>1</v>
      </c>
      <c r="AC11" s="702">
        <f t="shared" si="5"/>
        <v>1</v>
      </c>
    </row>
    <row r="12" spans="1:29" s="106" customFormat="1" ht="15">
      <c r="A12" s="380"/>
      <c r="B12" s="1888">
        <v>111</v>
      </c>
      <c r="C12" s="381"/>
      <c r="D12" s="382">
        <v>100</v>
      </c>
      <c r="E12" s="383"/>
      <c r="F12" s="125">
        <f>SUMIF(64:64,E12,65:65)-SUMIF(64:64,C12,65:65)+100</f>
        <v>100</v>
      </c>
      <c r="G12" s="1965"/>
      <c r="H12" s="125">
        <f>SUMIF(64:64,G12,65:65)-SUMIF(64:64,C12,65:65)+100</f>
        <v>100</v>
      </c>
      <c r="I12" s="418"/>
      <c r="J12" s="125">
        <f>SUMIF(64:64,I12,65:65)-SUMIF(64:64,C12,65:65)+100</f>
        <v>100</v>
      </c>
      <c r="K12" s="560"/>
      <c r="L12" s="910"/>
      <c r="M12" s="911"/>
      <c r="N12" s="911"/>
      <c r="O12" s="912"/>
      <c r="P12" s="4068"/>
      <c r="Q12" s="1338">
        <f t="shared" si="6"/>
        <v>111</v>
      </c>
      <c r="R12" s="699" t="s">
        <v>14</v>
      </c>
      <c r="S12" s="700">
        <f t="shared" si="0"/>
        <v>100</v>
      </c>
      <c r="T12" s="699" t="s">
        <v>14</v>
      </c>
      <c r="U12" s="700">
        <f t="shared" si="1"/>
        <v>100</v>
      </c>
      <c r="V12" s="699" t="s">
        <v>14</v>
      </c>
      <c r="W12" s="700">
        <f t="shared" si="2"/>
        <v>100</v>
      </c>
      <c r="X12" s="701"/>
      <c r="Y12" s="3943"/>
      <c r="Z12" s="50">
        <f t="shared" si="7"/>
        <v>111</v>
      </c>
      <c r="AA12" s="702">
        <f>D12/F12</f>
        <v>1</v>
      </c>
      <c r="AB12" s="702">
        <f>D12/H12</f>
        <v>1</v>
      </c>
      <c r="AC12" s="702">
        <f>D12/J12</f>
        <v>1</v>
      </c>
    </row>
    <row r="13" spans="1:29" ht="15">
      <c r="A13" s="377"/>
      <c r="B13" s="1888">
        <v>111</v>
      </c>
      <c r="C13" s="383"/>
      <c r="D13" s="384">
        <v>100</v>
      </c>
      <c r="E13" s="383"/>
      <c r="F13" s="125">
        <f>SUMIF(66:66,E13,67:67)-SUMIF(66:66,C13,67:67)+100</f>
        <v>100</v>
      </c>
      <c r="G13" s="1965"/>
      <c r="H13" s="384">
        <f>SUMIF(66:66,G13,67:67)-SUMIF(66:66,C13,67:67)+100</f>
        <v>100</v>
      </c>
      <c r="I13" s="418"/>
      <c r="J13" s="384">
        <f>SUMIF(66:66,I13,67:67)-SUMIF(66:66,C13,67:67)+100</f>
        <v>100</v>
      </c>
      <c r="K13" s="560"/>
      <c r="L13" s="918"/>
      <c r="M13" s="909"/>
      <c r="N13" s="909"/>
      <c r="O13" s="917"/>
      <c r="P13" s="4068"/>
      <c r="Q13" s="1338">
        <f t="shared" si="6"/>
        <v>111</v>
      </c>
      <c r="R13" s="699" t="s">
        <v>14</v>
      </c>
      <c r="S13" s="700">
        <f t="shared" si="0"/>
        <v>100</v>
      </c>
      <c r="T13" s="699" t="s">
        <v>14</v>
      </c>
      <c r="U13" s="700">
        <f t="shared" si="1"/>
        <v>100</v>
      </c>
      <c r="V13" s="699" t="s">
        <v>14</v>
      </c>
      <c r="W13" s="700">
        <f t="shared" si="2"/>
        <v>100</v>
      </c>
      <c r="X13" s="701"/>
      <c r="Y13" s="3943"/>
      <c r="Z13" s="50">
        <f t="shared" si="7"/>
        <v>111</v>
      </c>
      <c r="AA13" s="702">
        <f t="shared" si="3"/>
        <v>1</v>
      </c>
      <c r="AB13" s="702">
        <f t="shared" si="4"/>
        <v>1</v>
      </c>
      <c r="AC13" s="702">
        <f t="shared" si="5"/>
        <v>1</v>
      </c>
    </row>
    <row r="14" spans="1:29" ht="15.75" thickBot="1">
      <c r="A14" s="385"/>
      <c r="B14" s="1890">
        <v>111</v>
      </c>
      <c r="C14" s="386"/>
      <c r="D14" s="387">
        <v>100</v>
      </c>
      <c r="E14" s="386"/>
      <c r="F14" s="387">
        <f>SUMIF(68:68,E14,69:69)-SUMIF(68:68,C14,69:69)+100</f>
        <v>100</v>
      </c>
      <c r="G14" s="1965"/>
      <c r="H14" s="387">
        <f>SUMIF(68:68,G14,69:69)-SUMIF(68:68,C14,69:69)+100</f>
        <v>100</v>
      </c>
      <c r="I14" s="418"/>
      <c r="J14" s="387">
        <f>SUMIF(68:68,I14,69:69)-SUMIF(68:68,C14,69:69)+100</f>
        <v>100</v>
      </c>
      <c r="K14" s="560"/>
      <c r="L14" s="918"/>
      <c r="M14" s="909"/>
      <c r="N14" s="909"/>
      <c r="O14" s="917"/>
      <c r="P14" s="4068"/>
      <c r="Q14" s="1338">
        <f t="shared" si="6"/>
        <v>111</v>
      </c>
      <c r="R14" s="699" t="s">
        <v>14</v>
      </c>
      <c r="S14" s="700">
        <f t="shared" si="0"/>
        <v>100</v>
      </c>
      <c r="T14" s="699" t="s">
        <v>14</v>
      </c>
      <c r="U14" s="700">
        <f t="shared" si="1"/>
        <v>100</v>
      </c>
      <c r="V14" s="699" t="s">
        <v>14</v>
      </c>
      <c r="W14" s="700">
        <f t="shared" si="2"/>
        <v>100</v>
      </c>
      <c r="X14" s="701"/>
      <c r="Y14" s="3943"/>
      <c r="Z14" s="50">
        <f t="shared" si="7"/>
        <v>111</v>
      </c>
      <c r="AA14" s="702">
        <f t="shared" si="3"/>
        <v>1</v>
      </c>
      <c r="AB14" s="702">
        <f t="shared" si="4"/>
        <v>1</v>
      </c>
      <c r="AC14" s="702">
        <f t="shared" si="5"/>
        <v>1</v>
      </c>
    </row>
    <row r="15" spans="1:29" ht="15">
      <c r="A15" s="389" t="s">
        <v>1690</v>
      </c>
      <c r="B15" s="59" t="s">
        <v>1827</v>
      </c>
      <c r="C15" s="1966">
        <f>估价对象房地状况!G3</f>
        <v>0</v>
      </c>
      <c r="D15" s="390">
        <v>100</v>
      </c>
      <c r="E15" s="391"/>
      <c r="F15" s="392">
        <f>SUMIF(70:70,E16,71:71)-SUMIF(70:70,C16,71:71)+100</f>
        <v>100</v>
      </c>
      <c r="G15" s="393"/>
      <c r="H15" s="390">
        <f>SUMIF(70:70,G16,71:71)-SUMIF(70:70,C16,71:71)+100</f>
        <v>100</v>
      </c>
      <c r="I15" s="391"/>
      <c r="J15" s="390">
        <f>SUMIF(70:70,I16,71:71)-SUMIF(70:70,C16,71:71)+100</f>
        <v>100</v>
      </c>
      <c r="K15" s="561"/>
      <c r="L15" s="918"/>
      <c r="M15" s="909"/>
      <c r="N15" s="909"/>
      <c r="O15" s="917"/>
      <c r="P15" s="4070" t="s">
        <v>1691</v>
      </c>
      <c r="Q15" s="1347" t="str">
        <f t="shared" si="6"/>
        <v>产业集聚程度</v>
      </c>
      <c r="R15" s="703" t="s">
        <v>14</v>
      </c>
      <c r="S15" s="704">
        <f t="shared" si="0"/>
        <v>100</v>
      </c>
      <c r="T15" s="703" t="s">
        <v>14</v>
      </c>
      <c r="U15" s="704">
        <f t="shared" si="1"/>
        <v>100</v>
      </c>
      <c r="V15" s="703" t="s">
        <v>14</v>
      </c>
      <c r="W15" s="704">
        <f t="shared" si="2"/>
        <v>100</v>
      </c>
      <c r="X15" s="1350"/>
      <c r="Y15" s="4070" t="s">
        <v>1691</v>
      </c>
      <c r="Z15" s="1351" t="str">
        <f t="shared" si="7"/>
        <v>产业集聚程度</v>
      </c>
      <c r="AA15" s="1348">
        <f t="shared" si="3"/>
        <v>1</v>
      </c>
      <c r="AB15" s="1348">
        <f t="shared" si="4"/>
        <v>1</v>
      </c>
      <c r="AC15" s="1348">
        <f t="shared" si="5"/>
        <v>1</v>
      </c>
    </row>
    <row r="16" spans="1:29" ht="15">
      <c r="A16" s="377"/>
      <c r="B16" s="395"/>
      <c r="C16" s="396"/>
      <c r="D16" s="397"/>
      <c r="E16" s="396"/>
      <c r="F16" s="398"/>
      <c r="G16" s="396"/>
      <c r="H16" s="399"/>
      <c r="I16" s="396"/>
      <c r="J16" s="397"/>
      <c r="K16" s="562"/>
      <c r="L16" s="918"/>
      <c r="M16" s="909"/>
      <c r="N16" s="909"/>
      <c r="O16" s="917"/>
      <c r="P16" s="4071"/>
      <c r="Q16" s="1347"/>
      <c r="R16" s="703"/>
      <c r="S16" s="704"/>
      <c r="T16" s="703"/>
      <c r="U16" s="704"/>
      <c r="V16" s="703"/>
      <c r="W16" s="704"/>
      <c r="X16" s="1350"/>
      <c r="Y16" s="4071"/>
      <c r="Z16" s="1351"/>
      <c r="AA16" s="1348">
        <v>1</v>
      </c>
      <c r="AB16" s="1348">
        <v>1</v>
      </c>
      <c r="AC16" s="1348">
        <v>1</v>
      </c>
    </row>
    <row r="17" spans="1:29" ht="15">
      <c r="A17" s="377"/>
      <c r="B17" s="400" t="s">
        <v>1259</v>
      </c>
      <c r="C17" s="1895">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18"/>
      <c r="M17" s="909"/>
      <c r="N17" s="909"/>
      <c r="O17" s="917"/>
      <c r="P17" s="4071"/>
      <c r="Q17" s="1347" t="str">
        <f>B17</f>
        <v>交通便捷度</v>
      </c>
      <c r="R17" s="703" t="s">
        <v>14</v>
      </c>
      <c r="S17" s="704">
        <f>F17</f>
        <v>100</v>
      </c>
      <c r="T17" s="703" t="s">
        <v>14</v>
      </c>
      <c r="U17" s="704">
        <f>H17</f>
        <v>100</v>
      </c>
      <c r="V17" s="703" t="s">
        <v>14</v>
      </c>
      <c r="W17" s="704">
        <f>J17</f>
        <v>100</v>
      </c>
      <c r="X17" s="1350"/>
      <c r="Y17" s="4071"/>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918"/>
      <c r="M18" s="909"/>
      <c r="N18" s="909"/>
      <c r="O18" s="917"/>
      <c r="P18" s="4071"/>
      <c r="Q18" s="1347"/>
      <c r="R18" s="703"/>
      <c r="S18" s="704"/>
      <c r="T18" s="703"/>
      <c r="U18" s="704"/>
      <c r="V18" s="703"/>
      <c r="W18" s="704"/>
      <c r="X18" s="1350"/>
      <c r="Y18" s="4071"/>
      <c r="Z18" s="1351"/>
      <c r="AA18" s="1348">
        <v>1</v>
      </c>
      <c r="AB18" s="1348">
        <v>1</v>
      </c>
      <c r="AC18" s="1348">
        <v>1</v>
      </c>
    </row>
    <row r="19" spans="1:29" ht="15">
      <c r="A19" s="377"/>
      <c r="B19" s="400" t="s">
        <v>1812</v>
      </c>
      <c r="C19" s="1895">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18"/>
      <c r="M19" s="909"/>
      <c r="N19" s="909"/>
      <c r="O19" s="917"/>
      <c r="P19" s="4071"/>
      <c r="Q19" s="1347" t="str">
        <f>B19</f>
        <v>公共配套设施</v>
      </c>
      <c r="R19" s="703" t="s">
        <v>14</v>
      </c>
      <c r="S19" s="704">
        <f>F19</f>
        <v>100</v>
      </c>
      <c r="T19" s="703" t="s">
        <v>14</v>
      </c>
      <c r="U19" s="704">
        <f>H19</f>
        <v>100</v>
      </c>
      <c r="V19" s="703" t="s">
        <v>14</v>
      </c>
      <c r="W19" s="704">
        <f>J19</f>
        <v>100</v>
      </c>
      <c r="X19" s="1350"/>
      <c r="Y19" s="4071"/>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918"/>
      <c r="M20" s="909"/>
      <c r="N20" s="909"/>
      <c r="O20" s="917"/>
      <c r="P20" s="4071"/>
      <c r="Q20" s="1347"/>
      <c r="R20" s="703"/>
      <c r="S20" s="704"/>
      <c r="T20" s="703"/>
      <c r="U20" s="704"/>
      <c r="V20" s="703"/>
      <c r="W20" s="704"/>
      <c r="X20" s="1350"/>
      <c r="Y20" s="4071"/>
      <c r="Z20" s="1351"/>
      <c r="AA20" s="1348">
        <v>1</v>
      </c>
      <c r="AB20" s="1348">
        <v>1</v>
      </c>
      <c r="AC20" s="1348">
        <v>1</v>
      </c>
    </row>
    <row r="21" spans="1:29" ht="15">
      <c r="A21" s="377"/>
      <c r="B21" s="1126" t="s">
        <v>1813</v>
      </c>
      <c r="C21" s="1895">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18"/>
      <c r="M21" s="909"/>
      <c r="N21" s="909"/>
      <c r="O21" s="917"/>
      <c r="P21" s="4071"/>
      <c r="Q21" s="1347" t="str">
        <f>B21</f>
        <v>基础设施水平</v>
      </c>
      <c r="R21" s="703" t="s">
        <v>14</v>
      </c>
      <c r="S21" s="704">
        <f>F21</f>
        <v>100</v>
      </c>
      <c r="T21" s="703" t="s">
        <v>14</v>
      </c>
      <c r="U21" s="704">
        <f>H21</f>
        <v>100</v>
      </c>
      <c r="V21" s="703" t="s">
        <v>14</v>
      </c>
      <c r="W21" s="704">
        <f>J21</f>
        <v>100</v>
      </c>
      <c r="X21" s="1350"/>
      <c r="Y21" s="4071"/>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918"/>
      <c r="M22" s="909"/>
      <c r="N22" s="909"/>
      <c r="O22" s="917"/>
      <c r="P22" s="4071"/>
      <c r="Q22" s="1347"/>
      <c r="R22" s="703"/>
      <c r="S22" s="704"/>
      <c r="T22" s="703"/>
      <c r="U22" s="704"/>
      <c r="V22" s="703"/>
      <c r="W22" s="704"/>
      <c r="X22" s="1350"/>
      <c r="Y22" s="4071"/>
      <c r="Z22" s="1351"/>
      <c r="AA22" s="1348">
        <v>1</v>
      </c>
      <c r="AB22" s="1348">
        <v>1</v>
      </c>
      <c r="AC22" s="1348">
        <v>1</v>
      </c>
    </row>
    <row r="23" spans="1:29" ht="15">
      <c r="A23" s="377"/>
      <c r="B23" s="400" t="s">
        <v>1814</v>
      </c>
      <c r="C23" s="1895">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18"/>
      <c r="M23" s="909"/>
      <c r="N23" s="909"/>
      <c r="O23" s="917"/>
      <c r="P23" s="4071"/>
      <c r="Q23" s="1347" t="str">
        <f>B23</f>
        <v>环境质量</v>
      </c>
      <c r="R23" s="703" t="s">
        <v>14</v>
      </c>
      <c r="S23" s="704">
        <f>F23</f>
        <v>100</v>
      </c>
      <c r="T23" s="703" t="s">
        <v>14</v>
      </c>
      <c r="U23" s="704">
        <f>H23</f>
        <v>100</v>
      </c>
      <c r="V23" s="703" t="s">
        <v>14</v>
      </c>
      <c r="W23" s="704">
        <f>J23</f>
        <v>100</v>
      </c>
      <c r="X23" s="1350"/>
      <c r="Y23" s="4071"/>
      <c r="Z23" s="1351" t="str">
        <f>Q23</f>
        <v>环境质量</v>
      </c>
      <c r="AA23" s="1348">
        <f t="shared" si="3"/>
        <v>1</v>
      </c>
      <c r="AB23" s="1348">
        <f t="shared" si="4"/>
        <v>1</v>
      </c>
      <c r="AC23" s="1348">
        <f t="shared" si="5"/>
        <v>1</v>
      </c>
    </row>
    <row r="24" spans="1:29" ht="15">
      <c r="A24" s="377"/>
      <c r="B24" s="1126"/>
      <c r="C24" s="396"/>
      <c r="D24" s="397"/>
      <c r="E24" s="1893"/>
      <c r="F24" s="398"/>
      <c r="G24" s="1892"/>
      <c r="H24" s="397"/>
      <c r="I24" s="1893"/>
      <c r="J24" s="397"/>
      <c r="K24" s="562"/>
      <c r="L24" s="918"/>
      <c r="M24" s="909"/>
      <c r="N24" s="909"/>
      <c r="O24" s="917"/>
      <c r="P24" s="4071"/>
      <c r="Q24" s="1347"/>
      <c r="R24" s="703"/>
      <c r="S24" s="704"/>
      <c r="T24" s="703"/>
      <c r="U24" s="704"/>
      <c r="V24" s="703"/>
      <c r="W24" s="704"/>
      <c r="X24" s="1350"/>
      <c r="Y24" s="4071"/>
      <c r="Z24" s="1351"/>
      <c r="AA24" s="1348">
        <v>1</v>
      </c>
      <c r="AB24" s="1348">
        <v>1</v>
      </c>
      <c r="AC24" s="1348">
        <v>1</v>
      </c>
    </row>
    <row r="25" spans="1:29" ht="15">
      <c r="A25" s="356"/>
      <c r="B25" s="1128">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8"/>
      <c r="M25" s="909"/>
      <c r="N25" s="909"/>
      <c r="O25" s="917"/>
      <c r="P25" s="4071"/>
      <c r="Q25" s="1347">
        <f>B25</f>
        <v>111</v>
      </c>
      <c r="R25" s="703" t="s">
        <v>14</v>
      </c>
      <c r="S25" s="704">
        <f>F25</f>
        <v>100</v>
      </c>
      <c r="T25" s="703" t="s">
        <v>14</v>
      </c>
      <c r="U25" s="704">
        <f>H25</f>
        <v>100</v>
      </c>
      <c r="V25" s="703" t="s">
        <v>14</v>
      </c>
      <c r="W25" s="704">
        <f>J25</f>
        <v>100</v>
      </c>
      <c r="X25" s="1350"/>
      <c r="Y25" s="4071"/>
      <c r="Z25" s="1351">
        <f>Q25</f>
        <v>111</v>
      </c>
      <c r="AA25" s="1348">
        <f t="shared" si="3"/>
        <v>1</v>
      </c>
      <c r="AB25" s="1348">
        <f t="shared" si="4"/>
        <v>1</v>
      </c>
      <c r="AC25" s="1348">
        <f t="shared" si="5"/>
        <v>1</v>
      </c>
    </row>
    <row r="26" spans="1:29" ht="15">
      <c r="A26" s="377"/>
      <c r="B26" s="1128">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8"/>
      <c r="M26" s="909"/>
      <c r="N26" s="909"/>
      <c r="O26" s="917"/>
      <c r="P26" s="4071"/>
      <c r="Q26" s="1347">
        <f t="shared" ref="Q26:Q40" si="11">B26</f>
        <v>111</v>
      </c>
      <c r="R26" s="703" t="s">
        <v>14</v>
      </c>
      <c r="S26" s="704">
        <f>F26</f>
        <v>100</v>
      </c>
      <c r="T26" s="703" t="s">
        <v>14</v>
      </c>
      <c r="U26" s="704">
        <f>H26</f>
        <v>100</v>
      </c>
      <c r="V26" s="703" t="s">
        <v>14</v>
      </c>
      <c r="W26" s="704">
        <f>J26</f>
        <v>100</v>
      </c>
      <c r="X26" s="1350"/>
      <c r="Y26" s="4071"/>
      <c r="Z26" s="1351">
        <f>Q26</f>
        <v>111</v>
      </c>
      <c r="AA26" s="1348">
        <f t="shared" si="3"/>
        <v>1</v>
      </c>
      <c r="AB26" s="1348">
        <f t="shared" si="4"/>
        <v>1</v>
      </c>
      <c r="AC26" s="1348">
        <f t="shared" si="5"/>
        <v>1</v>
      </c>
    </row>
    <row r="27" spans="1:29" s="106" customFormat="1" ht="15">
      <c r="A27" s="380"/>
      <c r="B27" s="1128">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0"/>
      <c r="M27" s="911"/>
      <c r="N27" s="911"/>
      <c r="O27" s="912"/>
      <c r="P27" s="4071"/>
      <c r="Q27" s="1338">
        <f t="shared" si="11"/>
        <v>111</v>
      </c>
      <c r="R27" s="699" t="s">
        <v>14</v>
      </c>
      <c r="S27" s="700">
        <f>F27</f>
        <v>100</v>
      </c>
      <c r="T27" s="699" t="s">
        <v>14</v>
      </c>
      <c r="U27" s="700">
        <f>H27</f>
        <v>100</v>
      </c>
      <c r="V27" s="699" t="s">
        <v>14</v>
      </c>
      <c r="W27" s="700">
        <f>J27</f>
        <v>100</v>
      </c>
      <c r="X27" s="701"/>
      <c r="Y27" s="4071"/>
      <c r="Z27" s="50">
        <f>Q27</f>
        <v>111</v>
      </c>
      <c r="AA27" s="1348">
        <f>D27/F27</f>
        <v>1</v>
      </c>
      <c r="AB27" s="1348">
        <f>D27/H27</f>
        <v>1</v>
      </c>
      <c r="AC27" s="1348">
        <f>D27/J27</f>
        <v>1</v>
      </c>
    </row>
    <row r="28" spans="1:29" ht="15.75" thickBot="1">
      <c r="A28" s="385"/>
      <c r="B28" s="1128">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8"/>
      <c r="M28" s="909"/>
      <c r="N28" s="909"/>
      <c r="O28" s="917"/>
      <c r="P28" s="4071"/>
      <c r="Q28" s="1347">
        <f t="shared" si="11"/>
        <v>111</v>
      </c>
      <c r="R28" s="703" t="s">
        <v>14</v>
      </c>
      <c r="S28" s="704">
        <f t="shared" ref="S28:S40" si="12">F28</f>
        <v>100</v>
      </c>
      <c r="T28" s="703" t="s">
        <v>14</v>
      </c>
      <c r="U28" s="704">
        <f t="shared" ref="U28:U40" si="13">H28</f>
        <v>100</v>
      </c>
      <c r="V28" s="703" t="s">
        <v>14</v>
      </c>
      <c r="W28" s="704">
        <f t="shared" ref="W28:W40" si="14">J28</f>
        <v>100</v>
      </c>
      <c r="X28" s="1350"/>
      <c r="Y28" s="4071"/>
      <c r="Z28" s="1351">
        <f t="shared" ref="Z28:Z40" si="15">Q28</f>
        <v>111</v>
      </c>
      <c r="AA28" s="1348">
        <f t="shared" si="3"/>
        <v>1</v>
      </c>
      <c r="AB28" s="1348">
        <f t="shared" si="4"/>
        <v>1</v>
      </c>
      <c r="AC28" s="1348">
        <f t="shared" si="5"/>
        <v>1</v>
      </c>
    </row>
    <row r="29" spans="1:29" ht="28.5">
      <c r="A29" s="415" t="s">
        <v>1694</v>
      </c>
      <c r="B29" s="61" t="s">
        <v>1817</v>
      </c>
      <c r="C29" s="1962"/>
      <c r="D29" s="416">
        <v>100</v>
      </c>
      <c r="E29" s="1962"/>
      <c r="F29" s="410">
        <f>SUMIF(88:88,E29,89:89)-SUMIF(88:88,C29,89:89)+100</f>
        <v>100</v>
      </c>
      <c r="G29" s="1962"/>
      <c r="H29" s="384">
        <f>SUMIF(88:88,G29,89:89)-SUMIF(88:88,C29,89:89)+100</f>
        <v>100</v>
      </c>
      <c r="I29" s="1962"/>
      <c r="J29" s="416">
        <f>SUMIF(88:88,I29,89:89)-SUMIF(88:88,C29,89:89)+100</f>
        <v>100</v>
      </c>
      <c r="K29" s="559"/>
      <c r="L29" s="918"/>
      <c r="M29" s="909"/>
      <c r="N29" s="909"/>
      <c r="O29" s="917"/>
      <c r="P29" s="4126" t="s">
        <v>1696</v>
      </c>
      <c r="Q29" s="1347" t="str">
        <f t="shared" si="11"/>
        <v>建筑类型</v>
      </c>
      <c r="R29" s="703" t="s">
        <v>14</v>
      </c>
      <c r="S29" s="704">
        <f t="shared" si="12"/>
        <v>100</v>
      </c>
      <c r="T29" s="703" t="s">
        <v>14</v>
      </c>
      <c r="U29" s="704">
        <f t="shared" si="13"/>
        <v>100</v>
      </c>
      <c r="V29" s="703" t="s">
        <v>14</v>
      </c>
      <c r="W29" s="704">
        <f t="shared" si="14"/>
        <v>100</v>
      </c>
      <c r="X29" s="1350"/>
      <c r="Y29" s="4075" t="s">
        <v>1696</v>
      </c>
      <c r="Z29" s="1351" t="str">
        <f t="shared" si="15"/>
        <v>建筑类型</v>
      </c>
      <c r="AA29" s="1348">
        <f t="shared" si="3"/>
        <v>1</v>
      </c>
      <c r="AB29" s="1348">
        <f t="shared" si="4"/>
        <v>1</v>
      </c>
      <c r="AC29" s="1348">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6"/>
      <c r="M30" s="919"/>
      <c r="N30" s="919"/>
      <c r="O30" s="920"/>
      <c r="P30" s="4075"/>
      <c r="Q30" s="705" t="str">
        <f t="shared" si="11"/>
        <v>项目建筑规模</v>
      </c>
      <c r="R30" s="706" t="s">
        <v>14</v>
      </c>
      <c r="S30" s="707" t="e">
        <f t="shared" si="12"/>
        <v>#N/A</v>
      </c>
      <c r="T30" s="706" t="s">
        <v>14</v>
      </c>
      <c r="U30" s="707" t="e">
        <f t="shared" si="13"/>
        <v>#N/A</v>
      </c>
      <c r="V30" s="706" t="s">
        <v>14</v>
      </c>
      <c r="W30" s="707" t="e">
        <f t="shared" si="14"/>
        <v>#N/A</v>
      </c>
      <c r="X30" s="708"/>
      <c r="Y30" s="4075"/>
      <c r="Z30" s="709" t="str">
        <f t="shared" si="15"/>
        <v>项目建筑规模</v>
      </c>
      <c r="AA30" s="1348" t="e">
        <f t="shared" si="3"/>
        <v>#N/A</v>
      </c>
      <c r="AB30" s="1348" t="e">
        <f t="shared" si="4"/>
        <v>#N/A</v>
      </c>
      <c r="AC30" s="1348"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8"/>
      <c r="M31" s="909"/>
      <c r="N31" s="909"/>
      <c r="O31" s="917"/>
      <c r="P31" s="4075"/>
      <c r="Q31" s="1347" t="str">
        <f t="shared" si="11"/>
        <v>建筑结构</v>
      </c>
      <c r="R31" s="703" t="s">
        <v>14</v>
      </c>
      <c r="S31" s="704">
        <f t="shared" si="12"/>
        <v>100</v>
      </c>
      <c r="T31" s="703" t="s">
        <v>14</v>
      </c>
      <c r="U31" s="704">
        <f t="shared" si="13"/>
        <v>100</v>
      </c>
      <c r="V31" s="703" t="s">
        <v>14</v>
      </c>
      <c r="W31" s="704">
        <f t="shared" si="14"/>
        <v>100</v>
      </c>
      <c r="X31" s="1350"/>
      <c r="Y31" s="4075"/>
      <c r="Z31" s="1351" t="str">
        <f t="shared" si="15"/>
        <v>建筑结构</v>
      </c>
      <c r="AA31" s="1348">
        <f t="shared" si="3"/>
        <v>1</v>
      </c>
      <c r="AB31" s="1348">
        <f t="shared" si="4"/>
        <v>1</v>
      </c>
      <c r="AC31" s="1348">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8"/>
      <c r="M32" s="909"/>
      <c r="N32" s="909"/>
      <c r="O32" s="917"/>
      <c r="P32" s="4075"/>
      <c r="Q32" s="1347" t="str">
        <f t="shared" si="11"/>
        <v>公共部分装修</v>
      </c>
      <c r="R32" s="703" t="s">
        <v>14</v>
      </c>
      <c r="S32" s="704">
        <f t="shared" si="12"/>
        <v>100</v>
      </c>
      <c r="T32" s="703" t="s">
        <v>14</v>
      </c>
      <c r="U32" s="704">
        <f t="shared" si="13"/>
        <v>100</v>
      </c>
      <c r="V32" s="703" t="s">
        <v>14</v>
      </c>
      <c r="W32" s="704">
        <f t="shared" si="14"/>
        <v>100</v>
      </c>
      <c r="X32" s="1350"/>
      <c r="Y32" s="4075"/>
      <c r="Z32" s="1351" t="str">
        <f t="shared" si="15"/>
        <v>公共部分装修</v>
      </c>
      <c r="AA32" s="1348">
        <f t="shared" si="3"/>
        <v>1</v>
      </c>
      <c r="AB32" s="1348">
        <f t="shared" si="4"/>
        <v>1</v>
      </c>
      <c r="AC32" s="1348">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8"/>
      <c r="M33" s="909"/>
      <c r="N33" s="909"/>
      <c r="O33" s="917"/>
      <c r="P33" s="4075"/>
      <c r="Q33" s="1347" t="str">
        <f t="shared" si="11"/>
        <v>成新度</v>
      </c>
      <c r="R33" s="703" t="s">
        <v>14</v>
      </c>
      <c r="S33" s="704" t="e">
        <f t="shared" si="12"/>
        <v>#N/A</v>
      </c>
      <c r="T33" s="703" t="s">
        <v>14</v>
      </c>
      <c r="U33" s="704" t="e">
        <f t="shared" si="13"/>
        <v>#N/A</v>
      </c>
      <c r="V33" s="703" t="s">
        <v>14</v>
      </c>
      <c r="W33" s="704" t="e">
        <f t="shared" si="14"/>
        <v>#N/A</v>
      </c>
      <c r="X33" s="1350"/>
      <c r="Y33" s="4075"/>
      <c r="Z33" s="1351" t="str">
        <f t="shared" si="15"/>
        <v>成新度</v>
      </c>
      <c r="AA33" s="1348" t="e">
        <f t="shared" si="3"/>
        <v>#N/A</v>
      </c>
      <c r="AB33" s="1348" t="e">
        <f t="shared" si="4"/>
        <v>#N/A</v>
      </c>
      <c r="AC33" s="1348"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0"/>
      <c r="M34" s="911"/>
      <c r="N34" s="911"/>
      <c r="O34" s="912"/>
      <c r="P34" s="4075"/>
      <c r="Q34" s="1338" t="str">
        <f t="shared" si="11"/>
        <v>物业管理</v>
      </c>
      <c r="R34" s="699" t="s">
        <v>14</v>
      </c>
      <c r="S34" s="700">
        <f t="shared" si="12"/>
        <v>100</v>
      </c>
      <c r="T34" s="699" t="s">
        <v>14</v>
      </c>
      <c r="U34" s="700">
        <f t="shared" si="13"/>
        <v>100</v>
      </c>
      <c r="V34" s="699" t="s">
        <v>14</v>
      </c>
      <c r="W34" s="700">
        <f t="shared" si="14"/>
        <v>100</v>
      </c>
      <c r="X34" s="701"/>
      <c r="Y34" s="4075"/>
      <c r="Z34" s="50"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8"/>
      <c r="M35" s="909"/>
      <c r="N35" s="909"/>
      <c r="O35" s="917"/>
      <c r="P35" s="4075" t="s">
        <v>1696</v>
      </c>
      <c r="Q35" s="1347" t="str">
        <f t="shared" si="11"/>
        <v>市政基础设施</v>
      </c>
      <c r="R35" s="703" t="s">
        <v>14</v>
      </c>
      <c r="S35" s="704">
        <f t="shared" si="12"/>
        <v>100</v>
      </c>
      <c r="T35" s="703" t="s">
        <v>14</v>
      </c>
      <c r="U35" s="704">
        <f t="shared" si="13"/>
        <v>100</v>
      </c>
      <c r="V35" s="703" t="s">
        <v>14</v>
      </c>
      <c r="W35" s="704">
        <f t="shared" si="14"/>
        <v>100</v>
      </c>
      <c r="X35" s="1350"/>
      <c r="Y35" s="4075" t="s">
        <v>1696</v>
      </c>
      <c r="Z35" s="1351" t="str">
        <f t="shared" si="15"/>
        <v>市政基础设施</v>
      </c>
      <c r="AA35" s="1348">
        <f t="shared" si="3"/>
        <v>1</v>
      </c>
      <c r="AB35" s="1348">
        <f t="shared" si="4"/>
        <v>1</v>
      </c>
      <c r="AC35" s="1348">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8"/>
      <c r="M36" s="909"/>
      <c r="N36" s="909"/>
      <c r="O36" s="917"/>
      <c r="P36" s="4075"/>
      <c r="Q36" s="1347" t="str">
        <f t="shared" si="11"/>
        <v>内部装修</v>
      </c>
      <c r="R36" s="703" t="s">
        <v>14</v>
      </c>
      <c r="S36" s="704">
        <f t="shared" si="12"/>
        <v>100</v>
      </c>
      <c r="T36" s="703" t="s">
        <v>14</v>
      </c>
      <c r="U36" s="704">
        <f t="shared" si="13"/>
        <v>100</v>
      </c>
      <c r="V36" s="703" t="s">
        <v>14</v>
      </c>
      <c r="W36" s="704">
        <f t="shared" si="14"/>
        <v>100</v>
      </c>
      <c r="X36" s="1350"/>
      <c r="Y36" s="4075"/>
      <c r="Z36" s="1351" t="str">
        <f t="shared" si="15"/>
        <v>内部装修</v>
      </c>
      <c r="AA36" s="1348">
        <f t="shared" si="3"/>
        <v>1</v>
      </c>
      <c r="AB36" s="1348">
        <f t="shared" si="4"/>
        <v>1</v>
      </c>
      <c r="AC36" s="1348">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8"/>
      <c r="M37" s="909"/>
      <c r="N37" s="909"/>
      <c r="O37" s="917"/>
      <c r="P37" s="4075"/>
      <c r="Q37" s="1347" t="str">
        <f t="shared" si="11"/>
        <v>内部装修状况</v>
      </c>
      <c r="R37" s="703" t="s">
        <v>14</v>
      </c>
      <c r="S37" s="704">
        <f t="shared" si="12"/>
        <v>100</v>
      </c>
      <c r="T37" s="703" t="s">
        <v>14</v>
      </c>
      <c r="U37" s="704">
        <f t="shared" si="13"/>
        <v>100</v>
      </c>
      <c r="V37" s="703" t="s">
        <v>14</v>
      </c>
      <c r="W37" s="704">
        <f t="shared" si="14"/>
        <v>100</v>
      </c>
      <c r="X37" s="1350"/>
      <c r="Y37" s="4075"/>
      <c r="Z37" s="1351" t="str">
        <f t="shared" si="15"/>
        <v>内部装修状况</v>
      </c>
      <c r="AA37" s="1348">
        <f t="shared" si="3"/>
        <v>1</v>
      </c>
      <c r="AB37" s="1348">
        <f t="shared" si="4"/>
        <v>1</v>
      </c>
      <c r="AC37" s="1348">
        <f t="shared" si="5"/>
        <v>1</v>
      </c>
    </row>
    <row r="38" spans="1:29" s="420" customFormat="1" ht="15">
      <c r="A38" s="417"/>
      <c r="B38" s="1128">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6"/>
      <c r="M38" s="919"/>
      <c r="N38" s="919"/>
      <c r="O38" s="920"/>
      <c r="P38" s="4075"/>
      <c r="Q38" s="705">
        <f t="shared" si="11"/>
        <v>111</v>
      </c>
      <c r="R38" s="706" t="s">
        <v>14</v>
      </c>
      <c r="S38" s="707">
        <f t="shared" si="12"/>
        <v>100</v>
      </c>
      <c r="T38" s="706" t="s">
        <v>14</v>
      </c>
      <c r="U38" s="707">
        <f t="shared" si="13"/>
        <v>100</v>
      </c>
      <c r="V38" s="706" t="s">
        <v>14</v>
      </c>
      <c r="W38" s="707">
        <f t="shared" si="14"/>
        <v>100</v>
      </c>
      <c r="X38" s="708"/>
      <c r="Y38" s="4075"/>
      <c r="Z38" s="709">
        <f t="shared" si="15"/>
        <v>111</v>
      </c>
      <c r="AA38" s="1348">
        <f t="shared" si="3"/>
        <v>1</v>
      </c>
      <c r="AB38" s="1348">
        <f t="shared" si="4"/>
        <v>1</v>
      </c>
      <c r="AC38" s="1348">
        <f t="shared" si="5"/>
        <v>1</v>
      </c>
    </row>
    <row r="39" spans="1:29" ht="15">
      <c r="A39" s="421"/>
      <c r="B39" s="1128">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8"/>
      <c r="M39" s="909"/>
      <c r="N39" s="909"/>
      <c r="O39" s="917"/>
      <c r="P39" s="4075"/>
      <c r="Q39" s="1347">
        <f t="shared" si="11"/>
        <v>111</v>
      </c>
      <c r="R39" s="703" t="s">
        <v>14</v>
      </c>
      <c r="S39" s="704">
        <f t="shared" si="12"/>
        <v>100</v>
      </c>
      <c r="T39" s="703" t="s">
        <v>14</v>
      </c>
      <c r="U39" s="704">
        <f t="shared" si="13"/>
        <v>100</v>
      </c>
      <c r="V39" s="703" t="s">
        <v>14</v>
      </c>
      <c r="W39" s="704">
        <f t="shared" si="14"/>
        <v>100</v>
      </c>
      <c r="X39" s="1350"/>
      <c r="Y39" s="4075"/>
      <c r="Z39" s="1351">
        <f t="shared" si="15"/>
        <v>111</v>
      </c>
      <c r="AA39" s="1348">
        <f t="shared" si="3"/>
        <v>1</v>
      </c>
      <c r="AB39" s="1348">
        <f t="shared" si="4"/>
        <v>1</v>
      </c>
      <c r="AC39" s="1348">
        <f t="shared" si="5"/>
        <v>1</v>
      </c>
    </row>
    <row r="40" spans="1:29" ht="15.75" thickBot="1">
      <c r="A40" s="427"/>
      <c r="B40" s="1890">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8"/>
      <c r="M40" s="909"/>
      <c r="N40" s="909"/>
      <c r="O40" s="917"/>
      <c r="P40" s="4076"/>
      <c r="Q40" s="1347">
        <f t="shared" si="11"/>
        <v>111</v>
      </c>
      <c r="R40" s="703" t="s">
        <v>14</v>
      </c>
      <c r="S40" s="704">
        <f t="shared" si="12"/>
        <v>100</v>
      </c>
      <c r="T40" s="703" t="s">
        <v>14</v>
      </c>
      <c r="U40" s="704">
        <f t="shared" si="13"/>
        <v>100</v>
      </c>
      <c r="V40" s="703" t="s">
        <v>14</v>
      </c>
      <c r="W40" s="704">
        <f t="shared" si="14"/>
        <v>100</v>
      </c>
      <c r="X40" s="1350"/>
      <c r="Y40" s="4076"/>
      <c r="Z40" s="1351">
        <f t="shared" si="15"/>
        <v>111</v>
      </c>
      <c r="AA40" s="1348">
        <f t="shared" si="3"/>
        <v>1</v>
      </c>
      <c r="AB40" s="1348">
        <f t="shared" si="4"/>
        <v>1</v>
      </c>
      <c r="AC40" s="1348">
        <f t="shared" si="5"/>
        <v>1</v>
      </c>
    </row>
    <row r="41" spans="1:29" ht="15">
      <c r="A41" s="428" t="s">
        <v>1708</v>
      </c>
      <c r="B41" s="429"/>
      <c r="C41" s="1149" t="s">
        <v>0</v>
      </c>
      <c r="D41" s="1150"/>
      <c r="E41" s="1151"/>
      <c r="F41" s="1152"/>
      <c r="G41" s="1153"/>
      <c r="H41" s="1154"/>
      <c r="I41" s="1151"/>
      <c r="J41" s="1154"/>
      <c r="K41" s="712"/>
      <c r="L41" s="921"/>
      <c r="M41" s="922"/>
      <c r="N41" s="909"/>
      <c r="O41" s="922"/>
      <c r="P41" s="4068" t="str">
        <f>A41</f>
        <v>成交单价（元/平方米）</v>
      </c>
      <c r="Q41" s="4068"/>
      <c r="R41" s="4069">
        <f>E41</f>
        <v>0</v>
      </c>
      <c r="S41" s="4069"/>
      <c r="T41" s="4069">
        <f>G41</f>
        <v>0</v>
      </c>
      <c r="U41" s="4069"/>
      <c r="V41" s="4069">
        <f>I41</f>
        <v>0</v>
      </c>
      <c r="W41" s="4069"/>
      <c r="X41" s="688"/>
      <c r="Y41" s="710"/>
      <c r="Z41" s="688"/>
      <c r="AA41" s="688"/>
      <c r="AB41" s="688"/>
      <c r="AC41" s="688"/>
    </row>
    <row r="42" spans="1:29" ht="15.75" thickBot="1">
      <c r="A42" s="435" t="s">
        <v>1793</v>
      </c>
      <c r="B42" s="436"/>
      <c r="C42" s="1155" t="e">
        <f>R43</f>
        <v>#DIV/0!</v>
      </c>
      <c r="D42" s="2312" t="s">
        <v>2138</v>
      </c>
      <c r="E42" s="1156" t="e">
        <f>R42</f>
        <v>#DIV/0!</v>
      </c>
      <c r="F42" s="2313"/>
      <c r="G42" s="1155" t="e">
        <f>T42</f>
        <v>#DIV/0!</v>
      </c>
      <c r="H42" s="2313"/>
      <c r="I42" s="1156" t="e">
        <f>V42</f>
        <v>#DIV/0!</v>
      </c>
      <c r="J42" s="2313"/>
      <c r="K42" s="2315">
        <f>F42+H42+J42</f>
        <v>0</v>
      </c>
      <c r="L42" s="921"/>
      <c r="M42" s="922"/>
      <c r="N42" s="909"/>
      <c r="O42" s="922"/>
      <c r="P42" s="4068" t="str">
        <f>A42</f>
        <v>比较价值（元/平方米）</v>
      </c>
      <c r="Q42" s="4068"/>
      <c r="R42" s="4069" t="e">
        <f>IF(F1="售价",ROUND(PRODUCT(R41,AA7:AA40),0),ROUND(PRODUCT(R41,AA7:AA40),1))</f>
        <v>#DIV/0!</v>
      </c>
      <c r="S42" s="4069"/>
      <c r="T42" s="4069" t="e">
        <f>IF(F1="售价",ROUND(PRODUCT(T41,AB7:AB40),0),ROUND(PRODUCT(T41,AB7:AB40),1))</f>
        <v>#DIV/0!</v>
      </c>
      <c r="U42" s="4069"/>
      <c r="V42" s="4069" t="e">
        <f>IF(F1="售价",ROUND(PRODUCT(V41,AC7:AC40),0),ROUND(PRODUCT(V41,AC7:AC40),1))</f>
        <v>#DIV/0!</v>
      </c>
      <c r="W42" s="4069"/>
      <c r="X42" s="688"/>
      <c r="Y42" s="688"/>
      <c r="Z42" s="688"/>
      <c r="AA42" s="688"/>
      <c r="AB42" s="688"/>
      <c r="AC42" s="688"/>
    </row>
    <row r="43" spans="1:29" ht="15.75" thickBot="1">
      <c r="A43" s="439" t="s">
        <v>1794</v>
      </c>
      <c r="B43" s="440"/>
      <c r="C43" s="1158" t="e">
        <f>R43</f>
        <v>#DIV/0!</v>
      </c>
      <c r="D43" s="1158"/>
      <c r="E43" s="1158"/>
      <c r="F43" s="1158"/>
      <c r="G43" s="1158"/>
      <c r="H43" s="1158"/>
      <c r="I43" s="1158"/>
      <c r="J43" s="1158"/>
      <c r="K43" s="713"/>
      <c r="L43" s="921"/>
      <c r="M43" s="922"/>
      <c r="N43" s="922"/>
      <c r="O43" s="922"/>
      <c r="P43" s="4065" t="str">
        <f>A43</f>
        <v>估价对象XX用房的比较价值（楼面单价，元/平方米）</v>
      </c>
      <c r="Q43" s="4066"/>
      <c r="R43" s="4067" t="e">
        <f>IF(F1="售价",ROUND(IF(D42="简单平均",AVERAGE(R42:V42),R42*F42+T42*H42+V42*J42),0),ROUND(IF(D42="简单平均",AVERAGE(R42:V42),R42*F42+T42*H42+V42*J42),1))</f>
        <v>#DIV/0!</v>
      </c>
      <c r="S43" s="4067"/>
      <c r="T43" s="4067"/>
      <c r="U43" s="4067"/>
      <c r="V43" s="4067"/>
      <c r="W43" s="4067"/>
      <c r="X43" s="688"/>
      <c r="Y43" s="688"/>
      <c r="Z43" s="688"/>
      <c r="AA43" s="688"/>
      <c r="AB43" s="688"/>
      <c r="AC43" s="688"/>
    </row>
    <row r="44" spans="1:29">
      <c r="A44" s="2720"/>
      <c r="B44" s="2720"/>
      <c r="C44" s="2720"/>
      <c r="D44" s="2720"/>
      <c r="E44" s="2720"/>
      <c r="F44" s="2720"/>
      <c r="G44" s="2724"/>
      <c r="H44" s="2720"/>
      <c r="I44" s="2720"/>
      <c r="J44" s="2720"/>
      <c r="K44" s="2725"/>
      <c r="L44" s="884"/>
      <c r="M44" s="922"/>
      <c r="N44" s="922"/>
      <c r="O44" s="922"/>
    </row>
    <row r="45" spans="1:29">
      <c r="A45" s="2720"/>
      <c r="B45" s="2720"/>
      <c r="C45" s="2720"/>
      <c r="D45" s="2720"/>
      <c r="E45" s="2720"/>
      <c r="F45" s="2720"/>
      <c r="G45" s="2720"/>
      <c r="H45" s="2720"/>
      <c r="I45" s="2720"/>
      <c r="J45" s="2720"/>
      <c r="K45" s="2725"/>
      <c r="L45" s="884"/>
      <c r="M45" s="922"/>
      <c r="N45" s="922"/>
      <c r="O45" s="922"/>
    </row>
    <row r="46" spans="1:29"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884"/>
      <c r="M46" s="922"/>
      <c r="N46" s="922"/>
      <c r="O46" s="922"/>
    </row>
    <row r="47" spans="1:29"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884"/>
      <c r="M47" s="922"/>
      <c r="N47" s="922"/>
      <c r="O47" s="922"/>
    </row>
    <row r="48" spans="1:29"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925"/>
      <c r="M48" s="923"/>
      <c r="N48" s="923"/>
      <c r="O48" s="923"/>
    </row>
    <row r="49" spans="1:17" s="449" customFormat="1">
      <c r="A49" s="2723"/>
      <c r="B49" s="2726"/>
      <c r="C49" s="2727"/>
      <c r="D49" s="2723"/>
      <c r="E49" s="2723"/>
      <c r="F49" s="2723"/>
      <c r="G49" s="2723"/>
      <c r="H49" s="2723"/>
      <c r="I49" s="2723"/>
      <c r="J49" s="2723"/>
      <c r="K49" s="2728"/>
      <c r="L49" s="925"/>
      <c r="M49" s="923"/>
      <c r="N49" s="923"/>
      <c r="O49" s="923"/>
    </row>
    <row r="50" spans="1:17">
      <c r="A50" s="2720"/>
      <c r="B50" s="2726"/>
      <c r="C50" s="2727"/>
      <c r="D50" s="2720"/>
      <c r="E50" s="2720"/>
      <c r="F50" s="2720"/>
      <c r="G50" s="2720"/>
      <c r="H50" s="2720"/>
      <c r="I50" s="2720"/>
      <c r="J50" s="2720"/>
      <c r="K50" s="2725"/>
      <c r="L50" s="884"/>
      <c r="M50" s="922"/>
      <c r="N50" s="922"/>
      <c r="O50" s="922"/>
    </row>
    <row r="51" spans="1:17" ht="21.75" thickBot="1">
      <c r="A51" s="692" t="s">
        <v>1798</v>
      </c>
      <c r="B51" s="688"/>
      <c r="C51" s="693"/>
      <c r="D51" s="693"/>
      <c r="E51" s="693"/>
      <c r="F51" s="694"/>
      <c r="G51" s="694"/>
      <c r="H51" s="693"/>
      <c r="I51" s="693"/>
      <c r="J51" s="693"/>
      <c r="K51" s="936"/>
      <c r="L51" s="937"/>
      <c r="M51" s="935"/>
      <c r="N51" s="935"/>
      <c r="O51" s="935"/>
      <c r="P51" s="450"/>
      <c r="Q51" s="451"/>
    </row>
    <row r="52" spans="1:17" s="455" customFormat="1" ht="15">
      <c r="A52" s="452" t="s">
        <v>1679</v>
      </c>
      <c r="B52" s="453"/>
      <c r="C52" s="1179" t="str">
        <f>YEAR(C7)&amp;"-"&amp;MONTH(C7)</f>
        <v>2023-10</v>
      </c>
      <c r="D52" s="1180">
        <f>EDATE(C52,-1)</f>
        <v>45170</v>
      </c>
      <c r="E52" s="1180">
        <f t="shared" ref="E52:O52" si="16">EDATE(D52,-1)</f>
        <v>45139</v>
      </c>
      <c r="F52" s="1180">
        <f t="shared" si="16"/>
        <v>45108</v>
      </c>
      <c r="G52" s="1180">
        <f t="shared" si="16"/>
        <v>45078</v>
      </c>
      <c r="H52" s="1180">
        <f t="shared" si="16"/>
        <v>45047</v>
      </c>
      <c r="I52" s="1180">
        <f t="shared" si="16"/>
        <v>45017</v>
      </c>
      <c r="J52" s="1180">
        <f t="shared" si="16"/>
        <v>44986</v>
      </c>
      <c r="K52" s="1180">
        <f t="shared" si="16"/>
        <v>44958</v>
      </c>
      <c r="L52" s="1180">
        <f t="shared" si="16"/>
        <v>44927</v>
      </c>
      <c r="M52" s="1180">
        <f t="shared" si="16"/>
        <v>44896</v>
      </c>
      <c r="N52" s="1180">
        <f t="shared" si="16"/>
        <v>44866</v>
      </c>
      <c r="O52" s="1180">
        <f t="shared" si="16"/>
        <v>44835</v>
      </c>
      <c r="P52" s="454"/>
    </row>
    <row r="53" spans="1:17" s="106" customFormat="1" ht="15">
      <c r="A53" s="456"/>
      <c r="B53" s="457"/>
      <c r="C53" s="1178">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5"/>
      <c r="O54" s="2766"/>
      <c r="P54" s="451"/>
      <c r="Q54" s="451"/>
    </row>
    <row r="55" spans="1:17" s="106" customFormat="1" ht="15">
      <c r="A55" s="468" t="s">
        <v>1681</v>
      </c>
      <c r="B55" s="457"/>
      <c r="C55" s="469" t="s">
        <v>1776</v>
      </c>
      <c r="D55" s="470"/>
      <c r="E55" s="470"/>
      <c r="F55" s="470"/>
      <c r="G55" s="470"/>
      <c r="H55" s="470"/>
      <c r="I55" s="470"/>
      <c r="J55" s="470"/>
      <c r="K55" s="470"/>
      <c r="L55" s="471"/>
      <c r="M55" s="472"/>
      <c r="N55" s="927"/>
      <c r="O55" s="927"/>
      <c r="P55" s="473"/>
      <c r="Q55" s="451"/>
    </row>
    <row r="56" spans="1:17" s="106" customFormat="1" ht="15.75" thickBot="1">
      <c r="A56" s="468"/>
      <c r="B56" s="457"/>
      <c r="C56" s="585">
        <v>100</v>
      </c>
      <c r="D56" s="459"/>
      <c r="E56" s="459"/>
      <c r="F56" s="459"/>
      <c r="G56" s="459"/>
      <c r="H56" s="459"/>
      <c r="I56" s="459"/>
      <c r="J56" s="459"/>
      <c r="K56" s="459"/>
      <c r="L56" s="459"/>
      <c r="M56" s="461"/>
      <c r="N56" s="927"/>
      <c r="O56" s="927"/>
      <c r="P56" s="451"/>
      <c r="Q56" s="451"/>
    </row>
    <row r="57" spans="1:17">
      <c r="A57" s="474" t="s">
        <v>1719</v>
      </c>
      <c r="B57" s="475" t="s">
        <v>1685</v>
      </c>
      <c r="C57" s="476">
        <f>C9</f>
        <v>0</v>
      </c>
      <c r="D57" s="477"/>
      <c r="E57" s="477"/>
      <c r="F57" s="477"/>
      <c r="G57" s="477"/>
      <c r="H57" s="477"/>
      <c r="I57" s="477"/>
      <c r="J57" s="477"/>
      <c r="K57" s="478"/>
      <c r="L57" s="479"/>
      <c r="M57" s="480"/>
      <c r="N57" s="928"/>
      <c r="O57" s="928"/>
      <c r="P57" s="40"/>
      <c r="Q57" s="451"/>
    </row>
    <row r="58" spans="1:17" ht="15.75" thickBot="1">
      <c r="A58" s="481"/>
      <c r="B58" s="482"/>
      <c r="C58" s="483">
        <v>100</v>
      </c>
      <c r="D58" s="483"/>
      <c r="E58" s="483"/>
      <c r="F58" s="483"/>
      <c r="G58" s="483"/>
      <c r="H58" s="483"/>
      <c r="I58" s="483"/>
      <c r="J58" s="483"/>
      <c r="K58" s="483"/>
      <c r="L58" s="483"/>
      <c r="M58" s="484"/>
      <c r="N58" s="929"/>
      <c r="O58" s="929"/>
      <c r="P58" s="40"/>
      <c r="Q58" s="451"/>
    </row>
    <row r="59" spans="1:17" ht="27.75" thickTop="1">
      <c r="A59" s="481"/>
      <c r="B59" s="485" t="s">
        <v>1688</v>
      </c>
      <c r="C59" s="530"/>
      <c r="D59" s="530"/>
      <c r="E59" s="530"/>
      <c r="F59" s="530"/>
      <c r="G59" s="530"/>
      <c r="H59" s="530"/>
      <c r="I59" s="530"/>
      <c r="J59" s="530"/>
      <c r="K59" s="531"/>
      <c r="L59" s="532"/>
      <c r="M59" s="533"/>
      <c r="N59" s="928"/>
      <c r="O59" s="928"/>
      <c r="P59" s="40"/>
      <c r="Q59" s="451"/>
    </row>
    <row r="60" spans="1:17" ht="15.75" thickBot="1">
      <c r="A60" s="481"/>
      <c r="B60" s="490"/>
      <c r="C60" s="483"/>
      <c r="D60" s="483"/>
      <c r="E60" s="483"/>
      <c r="F60" s="483"/>
      <c r="G60" s="483"/>
      <c r="H60" s="483"/>
      <c r="I60" s="483"/>
      <c r="J60" s="483"/>
      <c r="K60" s="483"/>
      <c r="L60" s="483"/>
      <c r="M60" s="484"/>
      <c r="N60" s="929"/>
      <c r="O60" s="929"/>
      <c r="P60" s="40"/>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9"/>
      <c r="O61" s="929"/>
      <c r="P61" s="40"/>
      <c r="Q61" s="451"/>
    </row>
    <row r="62" spans="1:17" ht="15">
      <c r="A62" s="481"/>
      <c r="B62" s="495"/>
      <c r="C62" s="496">
        <v>0</v>
      </c>
      <c r="D62" s="496">
        <v>2</v>
      </c>
      <c r="E62" s="496"/>
      <c r="F62" s="496"/>
      <c r="G62" s="496"/>
      <c r="H62" s="496"/>
      <c r="I62" s="496"/>
      <c r="J62" s="496"/>
      <c r="K62" s="497"/>
      <c r="L62" s="498"/>
      <c r="M62" s="499"/>
      <c r="N62" s="928"/>
      <c r="O62" s="928"/>
      <c r="P62" s="40"/>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9"/>
      <c r="O63" s="929"/>
      <c r="P63" s="40"/>
      <c r="Q63" s="451"/>
    </row>
    <row r="64" spans="1:17" s="420" customFormat="1" ht="15.75" thickTop="1">
      <c r="A64" s="500"/>
      <c r="B64" s="485">
        <f>B12</f>
        <v>111</v>
      </c>
      <c r="C64" s="501"/>
      <c r="D64" s="501"/>
      <c r="E64" s="501"/>
      <c r="F64" s="501"/>
      <c r="G64" s="501"/>
      <c r="H64" s="502"/>
      <c r="I64" s="502"/>
      <c r="J64" s="502"/>
      <c r="K64" s="502"/>
      <c r="L64" s="503"/>
      <c r="M64" s="504"/>
      <c r="N64" s="930"/>
      <c r="O64" s="930"/>
      <c r="P64" s="505"/>
      <c r="Q64" s="506"/>
    </row>
    <row r="65" spans="1:17" s="420" customFormat="1" ht="15.75" thickBot="1">
      <c r="A65" s="500"/>
      <c r="B65" s="490"/>
      <c r="C65" s="507"/>
      <c r="D65" s="483"/>
      <c r="E65" s="483"/>
      <c r="F65" s="483"/>
      <c r="G65" s="483"/>
      <c r="H65" s="483"/>
      <c r="I65" s="483"/>
      <c r="J65" s="483"/>
      <c r="K65" s="483"/>
      <c r="L65" s="483"/>
      <c r="M65" s="484"/>
      <c r="N65" s="929"/>
      <c r="O65" s="929"/>
      <c r="P65" s="505"/>
      <c r="Q65" s="506"/>
    </row>
    <row r="66" spans="1:17" s="420" customFormat="1" ht="15.75" thickTop="1">
      <c r="A66" s="500"/>
      <c r="B66" s="485">
        <f>B13</f>
        <v>111</v>
      </c>
      <c r="C66" s="501"/>
      <c r="D66" s="501"/>
      <c r="E66" s="501"/>
      <c r="F66" s="501"/>
      <c r="G66" s="501"/>
      <c r="H66" s="502"/>
      <c r="I66" s="502"/>
      <c r="J66" s="502"/>
      <c r="K66" s="502"/>
      <c r="L66" s="503"/>
      <c r="M66" s="504"/>
      <c r="N66" s="930"/>
      <c r="O66" s="930"/>
      <c r="P66" s="419"/>
      <c r="Q66" s="508"/>
    </row>
    <row r="67" spans="1:17" s="420" customFormat="1" ht="15.75" thickBot="1">
      <c r="A67" s="500"/>
      <c r="B67" s="490"/>
      <c r="C67" s="507"/>
      <c r="D67" s="483"/>
      <c r="E67" s="483"/>
      <c r="F67" s="483"/>
      <c r="G67" s="507"/>
      <c r="H67" s="509"/>
      <c r="I67" s="509"/>
      <c r="J67" s="509"/>
      <c r="K67" s="509"/>
      <c r="L67" s="509"/>
      <c r="M67" s="510"/>
      <c r="N67" s="930"/>
      <c r="O67" s="930"/>
      <c r="P67" s="505"/>
      <c r="Q67" s="506"/>
    </row>
    <row r="68" spans="1:17" s="420" customFormat="1" ht="15.75" thickTop="1">
      <c r="A68" s="500"/>
      <c r="B68" s="493">
        <f>B14</f>
        <v>111</v>
      </c>
      <c r="C68" s="470"/>
      <c r="D68" s="470"/>
      <c r="E68" s="470"/>
      <c r="F68" s="470"/>
      <c r="G68" s="470"/>
      <c r="H68" s="511"/>
      <c r="I68" s="511"/>
      <c r="J68" s="511"/>
      <c r="K68" s="511"/>
      <c r="L68" s="512"/>
      <c r="M68" s="513"/>
      <c r="N68" s="930"/>
      <c r="O68" s="930"/>
      <c r="P68" s="514"/>
      <c r="Q68" s="506"/>
    </row>
    <row r="69" spans="1:17" s="420" customFormat="1" ht="15.75" thickBot="1">
      <c r="A69" s="515"/>
      <c r="B69" s="516"/>
      <c r="C69" s="517"/>
      <c r="D69" s="517"/>
      <c r="E69" s="517"/>
      <c r="F69" s="517"/>
      <c r="G69" s="517"/>
      <c r="H69" s="518"/>
      <c r="I69" s="518"/>
      <c r="J69" s="518"/>
      <c r="K69" s="518"/>
      <c r="L69" s="518"/>
      <c r="M69" s="519"/>
      <c r="N69" s="930"/>
      <c r="O69" s="930"/>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8"/>
      <c r="O70" s="928"/>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9"/>
      <c r="O71" s="929"/>
      <c r="P71" s="40"/>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8"/>
      <c r="O72" s="928"/>
      <c r="P72" s="40"/>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9"/>
      <c r="O73" s="929"/>
      <c r="P73" s="40"/>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8"/>
      <c r="O74" s="928"/>
      <c r="P74" s="40"/>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9"/>
      <c r="O75" s="929"/>
      <c r="P75" s="40"/>
      <c r="Q75" s="451"/>
    </row>
    <row r="76" spans="1:17" ht="15.75" thickTop="1">
      <c r="A76" s="481"/>
      <c r="B76" s="493" t="s">
        <v>1813</v>
      </c>
      <c r="C76" s="606" t="s">
        <v>1799</v>
      </c>
      <c r="D76" s="606" t="s">
        <v>1800</v>
      </c>
      <c r="E76" s="606" t="s">
        <v>1801</v>
      </c>
      <c r="F76" s="606" t="s">
        <v>1802</v>
      </c>
      <c r="G76" s="606" t="s">
        <v>1803</v>
      </c>
      <c r="H76" s="486"/>
      <c r="I76" s="486"/>
      <c r="J76" s="486"/>
      <c r="K76" s="486"/>
      <c r="L76" s="486"/>
      <c r="M76" s="1124"/>
      <c r="N76" s="929"/>
      <c r="O76" s="929"/>
      <c r="P76" s="40"/>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9"/>
      <c r="O77" s="929"/>
      <c r="P77" s="40"/>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8"/>
      <c r="O78" s="928"/>
      <c r="P78" s="40"/>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9"/>
      <c r="O79" s="929"/>
      <c r="P79" s="40"/>
      <c r="Q79" s="451"/>
    </row>
    <row r="80" spans="1:17" s="106" customFormat="1" ht="15.75" thickTop="1">
      <c r="A80" s="526"/>
      <c r="B80" s="485">
        <f>B25</f>
        <v>111</v>
      </c>
      <c r="C80" s="501"/>
      <c r="D80" s="501"/>
      <c r="E80" s="501"/>
      <c r="F80" s="501"/>
      <c r="G80" s="501"/>
      <c r="H80" s="501"/>
      <c r="I80" s="501"/>
      <c r="J80" s="501"/>
      <c r="K80" s="501"/>
      <c r="L80" s="527"/>
      <c r="M80" s="528"/>
      <c r="N80" s="927"/>
      <c r="O80" s="927"/>
      <c r="P80" s="40"/>
      <c r="Q80" s="451"/>
    </row>
    <row r="81" spans="1:17" s="106" customFormat="1" ht="15.75" thickBot="1">
      <c r="A81" s="526"/>
      <c r="B81" s="490"/>
      <c r="C81" s="507"/>
      <c r="D81" s="483"/>
      <c r="E81" s="483"/>
      <c r="F81" s="483"/>
      <c r="G81" s="483"/>
      <c r="H81" s="483"/>
      <c r="I81" s="483"/>
      <c r="J81" s="483"/>
      <c r="K81" s="483"/>
      <c r="L81" s="483"/>
      <c r="M81" s="484"/>
      <c r="N81" s="929"/>
      <c r="O81" s="929"/>
      <c r="P81" s="40"/>
      <c r="Q81" s="451"/>
    </row>
    <row r="82" spans="1:17" s="106" customFormat="1" ht="15.75" thickTop="1">
      <c r="A82" s="526"/>
      <c r="B82" s="485">
        <f>B26</f>
        <v>111</v>
      </c>
      <c r="C82" s="501"/>
      <c r="D82" s="501"/>
      <c r="E82" s="501"/>
      <c r="F82" s="501"/>
      <c r="G82" s="501"/>
      <c r="H82" s="501"/>
      <c r="I82" s="501"/>
      <c r="J82" s="501"/>
      <c r="K82" s="501"/>
      <c r="L82" s="527"/>
      <c r="M82" s="528"/>
      <c r="N82" s="927"/>
      <c r="O82" s="927"/>
      <c r="P82" s="40"/>
      <c r="Q82" s="451"/>
    </row>
    <row r="83" spans="1:17" s="106" customFormat="1" ht="15.75" thickBot="1">
      <c r="A83" s="526"/>
      <c r="B83" s="490"/>
      <c r="C83" s="507"/>
      <c r="D83" s="483"/>
      <c r="E83" s="483"/>
      <c r="F83" s="483"/>
      <c r="G83" s="483"/>
      <c r="H83" s="483"/>
      <c r="I83" s="483"/>
      <c r="J83" s="483"/>
      <c r="K83" s="483"/>
      <c r="L83" s="483"/>
      <c r="M83" s="484"/>
      <c r="N83" s="929"/>
      <c r="O83" s="929"/>
      <c r="P83" s="40"/>
      <c r="Q83" s="451"/>
    </row>
    <row r="84" spans="1:17" s="420" customFormat="1" ht="15.75" thickTop="1">
      <c r="A84" s="500"/>
      <c r="B84" s="485">
        <f>B27</f>
        <v>111</v>
      </c>
      <c r="C84" s="501"/>
      <c r="D84" s="501"/>
      <c r="E84" s="501"/>
      <c r="F84" s="501"/>
      <c r="G84" s="501"/>
      <c r="H84" s="501"/>
      <c r="I84" s="501"/>
      <c r="J84" s="501"/>
      <c r="K84" s="501"/>
      <c r="L84" s="527"/>
      <c r="M84" s="528"/>
      <c r="N84" s="930"/>
      <c r="O84" s="930"/>
      <c r="P84" s="505"/>
      <c r="Q84" s="506"/>
    </row>
    <row r="85" spans="1:17" s="420" customFormat="1" ht="15.75" thickBot="1">
      <c r="A85" s="500"/>
      <c r="B85" s="490"/>
      <c r="C85" s="507"/>
      <c r="D85" s="483"/>
      <c r="E85" s="483"/>
      <c r="F85" s="483"/>
      <c r="G85" s="483"/>
      <c r="H85" s="483"/>
      <c r="I85" s="483"/>
      <c r="J85" s="483"/>
      <c r="K85" s="483"/>
      <c r="L85" s="483"/>
      <c r="M85" s="484"/>
      <c r="N85" s="930"/>
      <c r="O85" s="930"/>
      <c r="P85" s="505"/>
      <c r="Q85" s="506"/>
    </row>
    <row r="86" spans="1:17" ht="15.75" thickTop="1">
      <c r="A86" s="481"/>
      <c r="B86" s="493">
        <f>B28</f>
        <v>111</v>
      </c>
      <c r="C86" s="470"/>
      <c r="D86" s="470"/>
      <c r="E86" s="470"/>
      <c r="F86" s="470"/>
      <c r="G86" s="534"/>
      <c r="H86" s="534"/>
      <c r="I86" s="534"/>
      <c r="J86" s="534"/>
      <c r="K86" s="535"/>
      <c r="L86" s="536"/>
      <c r="M86" s="537"/>
      <c r="N86" s="928"/>
      <c r="O86" s="928"/>
      <c r="P86" s="40"/>
      <c r="Q86" s="451"/>
    </row>
    <row r="87" spans="1:17" ht="15.75" thickBot="1">
      <c r="A87" s="1923"/>
      <c r="B87" s="516"/>
      <c r="C87" s="517"/>
      <c r="D87" s="517"/>
      <c r="E87" s="517"/>
      <c r="F87" s="517"/>
      <c r="G87" s="538"/>
      <c r="H87" s="538"/>
      <c r="I87" s="538"/>
      <c r="J87" s="538"/>
      <c r="K87" s="538"/>
      <c r="L87" s="538"/>
      <c r="M87" s="539"/>
      <c r="N87" s="929"/>
      <c r="O87" s="929"/>
      <c r="P87" s="40"/>
      <c r="Q87" s="451"/>
    </row>
    <row r="88" spans="1:17">
      <c r="A88" s="474" t="s">
        <v>1694</v>
      </c>
      <c r="B88" s="475" t="s">
        <v>1736</v>
      </c>
      <c r="C88" s="477"/>
      <c r="D88" s="477"/>
      <c r="E88" s="477"/>
      <c r="F88" s="477"/>
      <c r="G88" s="477"/>
      <c r="H88" s="477"/>
      <c r="I88" s="477"/>
      <c r="J88" s="477"/>
      <c r="K88" s="478"/>
      <c r="L88" s="479"/>
      <c r="M88" s="480"/>
      <c r="N88" s="928"/>
      <c r="O88" s="928"/>
      <c r="P88" s="40"/>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9"/>
      <c r="O89" s="929"/>
      <c r="P89" s="40"/>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7"/>
      <c r="O90" s="927"/>
      <c r="P90" s="40"/>
      <c r="Q90" s="451"/>
    </row>
    <row r="91" spans="1:17" s="420" customFormat="1">
      <c r="A91" s="540"/>
      <c r="B91" s="541"/>
      <c r="C91" s="542"/>
      <c r="D91" s="542"/>
      <c r="E91" s="542"/>
      <c r="F91" s="542"/>
      <c r="G91" s="542"/>
      <c r="H91" s="542"/>
      <c r="I91" s="542"/>
      <c r="J91" s="543"/>
      <c r="K91" s="543"/>
      <c r="L91" s="544"/>
      <c r="M91" s="545"/>
      <c r="N91" s="930"/>
      <c r="O91" s="930"/>
      <c r="P91" s="505"/>
      <c r="Q91" s="506"/>
    </row>
    <row r="92" spans="1:17" s="420" customFormat="1" ht="15.75" thickBot="1">
      <c r="A92" s="500"/>
      <c r="B92" s="490"/>
      <c r="C92" s="507"/>
      <c r="D92" s="483"/>
      <c r="E92" s="483"/>
      <c r="F92" s="483"/>
      <c r="G92" s="483"/>
      <c r="H92" s="483"/>
      <c r="I92" s="483"/>
      <c r="J92" s="483"/>
      <c r="K92" s="483"/>
      <c r="L92" s="483"/>
      <c r="M92" s="484"/>
      <c r="N92" s="929"/>
      <c r="O92" s="929"/>
      <c r="P92" s="505"/>
      <c r="Q92" s="506"/>
    </row>
    <row r="93" spans="1:17" ht="15" thickTop="1">
      <c r="A93" s="546"/>
      <c r="B93" s="485" t="s">
        <v>1738</v>
      </c>
      <c r="C93" s="501"/>
      <c r="D93" s="501"/>
      <c r="E93" s="530"/>
      <c r="F93" s="530"/>
      <c r="G93" s="530"/>
      <c r="H93" s="530"/>
      <c r="I93" s="530"/>
      <c r="J93" s="530"/>
      <c r="K93" s="531"/>
      <c r="L93" s="532"/>
      <c r="M93" s="533"/>
      <c r="N93" s="928"/>
      <c r="O93" s="928"/>
      <c r="P93" s="40"/>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9"/>
      <c r="O94" s="929"/>
      <c r="P94" s="40"/>
      <c r="Q94" s="451"/>
    </row>
    <row r="95" spans="1:17" ht="15" thickTop="1">
      <c r="A95" s="546"/>
      <c r="B95" s="485" t="s">
        <v>1740</v>
      </c>
      <c r="C95" s="501"/>
      <c r="D95" s="501"/>
      <c r="E95" s="501"/>
      <c r="F95" s="530"/>
      <c r="G95" s="530"/>
      <c r="H95" s="530"/>
      <c r="I95" s="530"/>
      <c r="J95" s="530"/>
      <c r="K95" s="531"/>
      <c r="L95" s="532"/>
      <c r="M95" s="533"/>
      <c r="N95" s="928"/>
      <c r="O95" s="928"/>
      <c r="P95" s="40"/>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9"/>
      <c r="O96" s="929"/>
      <c r="P96" s="40"/>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8"/>
      <c r="O97" s="928"/>
      <c r="P97" s="40"/>
      <c r="Q97" s="451"/>
    </row>
    <row r="98" spans="1:17">
      <c r="A98" s="546"/>
      <c r="B98" s="493"/>
      <c r="C98" s="550">
        <v>0.5</v>
      </c>
      <c r="D98" s="550">
        <v>0.6</v>
      </c>
      <c r="E98" s="550">
        <v>0.7</v>
      </c>
      <c r="F98" s="550">
        <v>0.8</v>
      </c>
      <c r="G98" s="550">
        <v>0.9</v>
      </c>
      <c r="H98" s="550">
        <v>1.0001</v>
      </c>
      <c r="I98" s="569"/>
      <c r="J98" s="569"/>
      <c r="K98" s="570"/>
      <c r="L98" s="571"/>
      <c r="M98" s="572"/>
      <c r="N98" s="928"/>
      <c r="O98" s="928"/>
      <c r="P98" s="40"/>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9"/>
      <c r="O99" s="929"/>
      <c r="P99" s="40"/>
      <c r="Q99" s="451"/>
    </row>
    <row r="100" spans="1:17" s="420" customFormat="1" ht="15" thickTop="1">
      <c r="A100" s="540"/>
      <c r="B100" s="485" t="s">
        <v>1741</v>
      </c>
      <c r="C100" s="501"/>
      <c r="D100" s="501"/>
      <c r="E100" s="501"/>
      <c r="F100" s="501"/>
      <c r="G100" s="501"/>
      <c r="H100" s="530"/>
      <c r="I100" s="530"/>
      <c r="J100" s="530"/>
      <c r="K100" s="531"/>
      <c r="L100" s="532"/>
      <c r="M100" s="533"/>
      <c r="N100" s="930"/>
      <c r="O100" s="930"/>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0"/>
      <c r="O101" s="930"/>
      <c r="P101" s="505"/>
      <c r="Q101" s="506"/>
    </row>
    <row r="102" spans="1:17" ht="15" thickTop="1">
      <c r="A102" s="546"/>
      <c r="B102" s="485" t="s">
        <v>1742</v>
      </c>
      <c r="C102" s="501"/>
      <c r="D102" s="501"/>
      <c r="E102" s="501"/>
      <c r="F102" s="501"/>
      <c r="G102" s="501"/>
      <c r="H102" s="530"/>
      <c r="I102" s="530"/>
      <c r="J102" s="530"/>
      <c r="K102" s="531"/>
      <c r="L102" s="532"/>
      <c r="M102" s="533"/>
      <c r="N102" s="928"/>
      <c r="O102" s="928"/>
      <c r="P102" s="40"/>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9"/>
      <c r="O103" s="929"/>
      <c r="P103" s="40"/>
      <c r="Q103" s="451"/>
    </row>
    <row r="104" spans="1:17" ht="15" thickTop="1">
      <c r="A104" s="546"/>
      <c r="B104" s="485" t="s">
        <v>1744</v>
      </c>
      <c r="C104" s="501"/>
      <c r="D104" s="501"/>
      <c r="E104" s="501"/>
      <c r="F104" s="501"/>
      <c r="G104" s="501"/>
      <c r="H104" s="530"/>
      <c r="I104" s="530"/>
      <c r="J104" s="530"/>
      <c r="K104" s="531"/>
      <c r="L104" s="532"/>
      <c r="M104" s="533"/>
      <c r="N104" s="928"/>
      <c r="O104" s="928"/>
      <c r="P104" s="40"/>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9"/>
      <c r="O105" s="929"/>
      <c r="P105" s="40"/>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9"/>
      <c r="O106" s="929"/>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9"/>
      <c r="O107" s="929"/>
      <c r="P107" s="40"/>
      <c r="Q107" s="451"/>
    </row>
    <row r="108" spans="1:17" s="420" customFormat="1" ht="15" thickTop="1">
      <c r="A108" s="540"/>
      <c r="B108" s="485">
        <f>B38</f>
        <v>111</v>
      </c>
      <c r="C108" s="501"/>
      <c r="D108" s="501"/>
      <c r="E108" s="501"/>
      <c r="F108" s="501"/>
      <c r="G108" s="501"/>
      <c r="H108" s="502"/>
      <c r="I108" s="502"/>
      <c r="J108" s="502"/>
      <c r="K108" s="502"/>
      <c r="L108" s="503"/>
      <c r="M108" s="504"/>
      <c r="N108" s="930"/>
      <c r="O108" s="930"/>
      <c r="P108" s="505"/>
      <c r="Q108" s="506"/>
    </row>
    <row r="109" spans="1:17" s="420" customFormat="1" ht="15.75" thickBot="1">
      <c r="A109" s="500"/>
      <c r="B109" s="482"/>
      <c r="C109" s="507"/>
      <c r="D109" s="483"/>
      <c r="E109" s="483"/>
      <c r="F109" s="483"/>
      <c r="G109" s="507"/>
      <c r="H109" s="509"/>
      <c r="I109" s="509"/>
      <c r="J109" s="509"/>
      <c r="K109" s="509"/>
      <c r="L109" s="509"/>
      <c r="M109" s="510"/>
      <c r="N109" s="930"/>
      <c r="O109" s="930"/>
      <c r="P109" s="505"/>
      <c r="Q109" s="506"/>
    </row>
    <row r="110" spans="1:17" ht="15" thickTop="1">
      <c r="A110" s="546"/>
      <c r="B110" s="485">
        <f>B39</f>
        <v>111</v>
      </c>
      <c r="C110" s="501"/>
      <c r="D110" s="501"/>
      <c r="E110" s="501"/>
      <c r="F110" s="501"/>
      <c r="G110" s="501"/>
      <c r="H110" s="502"/>
      <c r="I110" s="502"/>
      <c r="J110" s="502"/>
      <c r="K110" s="502"/>
      <c r="L110" s="503"/>
      <c r="M110" s="504"/>
      <c r="N110" s="928"/>
      <c r="O110" s="928"/>
      <c r="P110" s="40"/>
      <c r="Q110" s="451"/>
    </row>
    <row r="111" spans="1:17" ht="15.75" thickBot="1">
      <c r="A111" s="481"/>
      <c r="B111" s="490"/>
      <c r="C111" s="507"/>
      <c r="D111" s="483"/>
      <c r="E111" s="483"/>
      <c r="F111" s="483"/>
      <c r="G111" s="507"/>
      <c r="H111" s="509"/>
      <c r="I111" s="509"/>
      <c r="J111" s="509"/>
      <c r="K111" s="509"/>
      <c r="L111" s="509"/>
      <c r="M111" s="510"/>
      <c r="N111" s="929"/>
      <c r="O111" s="929"/>
      <c r="P111" s="40"/>
      <c r="Q111" s="451"/>
    </row>
    <row r="112" spans="1:17" ht="15" thickTop="1">
      <c r="A112" s="546"/>
      <c r="B112" s="493">
        <f>B40</f>
        <v>111</v>
      </c>
      <c r="C112" s="470"/>
      <c r="D112" s="470"/>
      <c r="E112" s="470"/>
      <c r="F112" s="470"/>
      <c r="G112" s="534"/>
      <c r="H112" s="534"/>
      <c r="I112" s="534"/>
      <c r="J112" s="534"/>
      <c r="K112" s="470"/>
      <c r="L112" s="471"/>
      <c r="M112" s="537"/>
      <c r="N112" s="928"/>
      <c r="O112" s="928"/>
      <c r="P112" s="40"/>
      <c r="Q112" s="451"/>
    </row>
    <row r="113" spans="1:17" ht="15.75" thickBot="1">
      <c r="A113" s="1923"/>
      <c r="B113" s="516"/>
      <c r="C113" s="517"/>
      <c r="D113" s="517"/>
      <c r="E113" s="517"/>
      <c r="F113" s="517"/>
      <c r="G113" s="538"/>
      <c r="H113" s="538"/>
      <c r="I113" s="538"/>
      <c r="J113" s="538"/>
      <c r="K113" s="538"/>
      <c r="L113" s="538"/>
      <c r="M113" s="539"/>
      <c r="N113" s="929"/>
      <c r="O113" s="929"/>
      <c r="P113" s="40"/>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3298</v>
      </c>
      <c r="C1" s="1219" t="s">
        <v>1662</v>
      </c>
      <c r="D1" s="1220"/>
      <c r="E1" s="3358"/>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1160"/>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3"/>
      <c r="H3" s="903"/>
      <c r="I3" s="903"/>
      <c r="J3" s="903"/>
      <c r="K3" s="905"/>
      <c r="L3" s="2729"/>
      <c r="M3" s="2730" t="e">
        <f ca="1">IF(C2="——",IF(B37="元/平方米",ROUND(C39*D3/10000,0),ROUND(F3*C39/10000,0)),IF(B37="元/平方米",ROUND(C39*D3/10000,0),ROUND(F3*C39/10000,0))-D2)</f>
        <v>#DIV/0!</v>
      </c>
      <c r="N3" s="2730"/>
      <c r="O3" s="2730"/>
      <c r="P3" s="1160"/>
      <c r="Q3" s="697"/>
      <c r="R3" s="697"/>
      <c r="S3" s="697"/>
      <c r="T3" s="697"/>
      <c r="U3" s="697"/>
      <c r="V3" s="697"/>
      <c r="W3" s="697"/>
      <c r="X3" s="697"/>
      <c r="Y3" s="697"/>
      <c r="Z3" s="697"/>
      <c r="AA3" s="697"/>
      <c r="AB3" s="714"/>
      <c r="AC3" s="711"/>
    </row>
    <row r="4" spans="1:29" ht="15">
      <c r="A4" s="353" t="s">
        <v>1769</v>
      </c>
      <c r="B4" s="354"/>
      <c r="C4" s="4083" t="s">
        <v>1770</v>
      </c>
      <c r="D4" s="4084"/>
      <c r="E4" s="4085" t="s">
        <v>1771</v>
      </c>
      <c r="F4" s="4086"/>
      <c r="G4" s="4083" t="s">
        <v>1772</v>
      </c>
      <c r="H4" s="4084"/>
      <c r="I4" s="4083" t="s">
        <v>1773</v>
      </c>
      <c r="J4" s="4084"/>
      <c r="K4" s="557" t="s">
        <v>1774</v>
      </c>
      <c r="L4" s="2710"/>
      <c r="M4" s="2711"/>
      <c r="N4" s="2711"/>
      <c r="O4" s="2711"/>
      <c r="P4" s="4087" t="s">
        <v>1775</v>
      </c>
      <c r="Q4" s="4088"/>
      <c r="R4" s="4093" t="s">
        <v>1771</v>
      </c>
      <c r="S4" s="4094"/>
      <c r="T4" s="4093" t="s">
        <v>1772</v>
      </c>
      <c r="U4" s="4094"/>
      <c r="V4" s="4099" t="s">
        <v>1773</v>
      </c>
      <c r="W4" s="4099"/>
      <c r="X4" s="1350"/>
      <c r="Y4" s="4093" t="s">
        <v>1775</v>
      </c>
      <c r="Z4" s="4094"/>
      <c r="AA4" s="4080" t="s">
        <v>1771</v>
      </c>
      <c r="AB4" s="4081" t="s">
        <v>1772</v>
      </c>
      <c r="AC4" s="4080" t="s">
        <v>1773</v>
      </c>
    </row>
    <row r="5" spans="1:29" ht="15">
      <c r="A5" s="356"/>
      <c r="B5" s="357"/>
      <c r="C5" s="4102" t="s">
        <v>1673</v>
      </c>
      <c r="D5" s="4103"/>
      <c r="E5" s="4109" t="s">
        <v>1674</v>
      </c>
      <c r="F5" s="4110"/>
      <c r="G5" s="4102" t="s">
        <v>1675</v>
      </c>
      <c r="H5" s="4103"/>
      <c r="I5" s="4102" t="s">
        <v>1676</v>
      </c>
      <c r="J5" s="4103"/>
      <c r="K5" s="557"/>
      <c r="L5" s="2710"/>
      <c r="M5" s="2711"/>
      <c r="N5" s="2711"/>
      <c r="O5" s="2711"/>
      <c r="P5" s="4089"/>
      <c r="Q5" s="4090"/>
      <c r="R5" s="4095"/>
      <c r="S5" s="4096"/>
      <c r="T5" s="4095"/>
      <c r="U5" s="4096"/>
      <c r="V5" s="4099"/>
      <c r="W5" s="4099"/>
      <c r="X5" s="1350"/>
      <c r="Y5" s="4095"/>
      <c r="Z5" s="4096"/>
      <c r="AA5" s="4081"/>
      <c r="AB5" s="4081"/>
      <c r="AC5" s="4081"/>
    </row>
    <row r="6" spans="1:29" ht="15.75" thickBot="1">
      <c r="A6" s="358"/>
      <c r="B6" s="359"/>
      <c r="C6" s="4100" t="s">
        <v>1677</v>
      </c>
      <c r="D6" s="4101"/>
      <c r="E6" s="4107" t="s">
        <v>1677</v>
      </c>
      <c r="F6" s="4108"/>
      <c r="G6" s="4100" t="s">
        <v>1677</v>
      </c>
      <c r="H6" s="4101"/>
      <c r="I6" s="4100" t="s">
        <v>1677</v>
      </c>
      <c r="J6" s="4101"/>
      <c r="K6" s="557" t="s">
        <v>1678</v>
      </c>
      <c r="L6" s="2710"/>
      <c r="M6" s="2711"/>
      <c r="N6" s="2711"/>
      <c r="O6" s="2711"/>
      <c r="P6" s="4091"/>
      <c r="Q6" s="4092"/>
      <c r="R6" s="4095"/>
      <c r="S6" s="4096"/>
      <c r="T6" s="4097"/>
      <c r="U6" s="4098"/>
      <c r="V6" s="4099"/>
      <c r="W6" s="4099"/>
      <c r="X6" s="1350"/>
      <c r="Y6" s="4097"/>
      <c r="Z6" s="4098"/>
      <c r="AA6" s="4082"/>
      <c r="AB6" s="4082"/>
      <c r="AC6" s="4082"/>
    </row>
    <row r="7" spans="1:29" s="106" customFormat="1" ht="15.75" thickBot="1">
      <c r="A7" s="360" t="s">
        <v>1679</v>
      </c>
      <c r="B7" s="361"/>
      <c r="C7" s="362">
        <f>'数据-取费表'!B2</f>
        <v>45226</v>
      </c>
      <c r="D7" s="363">
        <v>100</v>
      </c>
      <c r="E7" s="364"/>
      <c r="F7" s="365">
        <f>SUMIF(48:48,YEAR(E7)&amp;"-"&amp;MONTH(E7),49:49)</f>
        <v>0</v>
      </c>
      <c r="G7" s="364"/>
      <c r="H7" s="363">
        <f>SUMIF(48:48,YEAR(G7)&amp;"-"&amp;MONTH(G7),49:49)</f>
        <v>0</v>
      </c>
      <c r="I7" s="364"/>
      <c r="J7" s="363">
        <f>SUMIF(48:48,YEAR(I7)&amp;"-"&amp;MONTH(I7),49:49)</f>
        <v>0</v>
      </c>
      <c r="K7" s="558"/>
      <c r="L7" s="2712"/>
      <c r="M7" s="2713"/>
      <c r="N7" s="2713"/>
      <c r="O7" s="2713"/>
      <c r="P7" s="4104" t="s">
        <v>1680</v>
      </c>
      <c r="Q7" s="4106"/>
      <c r="R7" s="699" t="s">
        <v>14</v>
      </c>
      <c r="S7" s="700">
        <f t="shared" ref="S7:S14" si="0">F7</f>
        <v>0</v>
      </c>
      <c r="T7" s="699" t="s">
        <v>14</v>
      </c>
      <c r="U7" s="700">
        <f t="shared" ref="U7:U14" si="1">H7</f>
        <v>0</v>
      </c>
      <c r="V7" s="699" t="s">
        <v>14</v>
      </c>
      <c r="W7" s="700">
        <f t="shared" ref="W7:W14" si="2">J7</f>
        <v>0</v>
      </c>
      <c r="X7" s="701"/>
      <c r="Y7" s="4104" t="s">
        <v>1680</v>
      </c>
      <c r="Z7" s="4105"/>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2"/>
      <c r="M8" s="2713"/>
      <c r="N8" s="2713"/>
      <c r="O8" s="2713"/>
      <c r="P8" s="4104" t="s">
        <v>1683</v>
      </c>
      <c r="Q8" s="4105"/>
      <c r="R8" s="699" t="s">
        <v>14</v>
      </c>
      <c r="S8" s="700">
        <f t="shared" si="0"/>
        <v>100</v>
      </c>
      <c r="T8" s="699" t="s">
        <v>14</v>
      </c>
      <c r="U8" s="700">
        <f t="shared" si="1"/>
        <v>100</v>
      </c>
      <c r="V8" s="699" t="s">
        <v>14</v>
      </c>
      <c r="W8" s="700">
        <f t="shared" si="2"/>
        <v>100</v>
      </c>
      <c r="X8" s="701"/>
      <c r="Y8" s="4104" t="s">
        <v>1683</v>
      </c>
      <c r="Z8" s="4105"/>
      <c r="AA8" s="702">
        <f t="shared" ref="AA8:AA36" si="3">D8/F8</f>
        <v>1</v>
      </c>
      <c r="AB8" s="702">
        <f t="shared" ref="AB8:AB36" si="4">D8/H8</f>
        <v>1</v>
      </c>
      <c r="AC8" s="702">
        <f t="shared" ref="AC8:AC36" si="5">D8/J8</f>
        <v>1</v>
      </c>
    </row>
    <row r="9" spans="1:29" s="106" customFormat="1">
      <c r="A9" s="58"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2"/>
      <c r="M9" s="2713"/>
      <c r="N9" s="2713"/>
      <c r="O9" s="2713"/>
      <c r="P9" s="4068" t="s">
        <v>1686</v>
      </c>
      <c r="Q9" s="1338" t="str">
        <f t="shared" ref="Q9:Q14" si="6">B9</f>
        <v>用途</v>
      </c>
      <c r="R9" s="699" t="s">
        <v>14</v>
      </c>
      <c r="S9" s="700">
        <f t="shared" si="0"/>
        <v>100</v>
      </c>
      <c r="T9" s="699" t="s">
        <v>14</v>
      </c>
      <c r="U9" s="700">
        <f t="shared" si="1"/>
        <v>100</v>
      </c>
      <c r="V9" s="699" t="s">
        <v>14</v>
      </c>
      <c r="W9" s="700">
        <f t="shared" si="2"/>
        <v>100</v>
      </c>
      <c r="X9" s="701"/>
      <c r="Y9" s="3943" t="s">
        <v>1687</v>
      </c>
      <c r="Z9" s="50" t="str">
        <f t="shared" ref="Z9:Z14" si="7">Q9</f>
        <v>用途</v>
      </c>
      <c r="AA9" s="702">
        <f t="shared" si="3"/>
        <v>1</v>
      </c>
      <c r="AB9" s="702">
        <f t="shared" si="4"/>
        <v>1</v>
      </c>
      <c r="AC9" s="702">
        <f t="shared" si="5"/>
        <v>1</v>
      </c>
    </row>
    <row r="10" spans="1:29" s="376" customFormat="1" ht="27">
      <c r="A10" s="587"/>
      <c r="B10" s="588" t="s">
        <v>1688</v>
      </c>
      <c r="C10" s="3359"/>
      <c r="D10" s="125">
        <v>100</v>
      </c>
      <c r="E10" s="3359"/>
      <c r="F10" s="125">
        <f>SUMIF(55:55,E10,56:56)-SUMIF(55:55,C10,56:56)+100</f>
        <v>100</v>
      </c>
      <c r="G10" s="3360"/>
      <c r="H10" s="125">
        <f>SUMIF(55:55,G10,56:56)-SUMIF(55:55,C10,56:56)+100</f>
        <v>100</v>
      </c>
      <c r="I10" s="3359"/>
      <c r="J10" s="125">
        <f>SUMIF(55:55,I10,56:56)-SUMIF(55:55,C10,56:56)+100</f>
        <v>100</v>
      </c>
      <c r="K10" s="558"/>
      <c r="L10" s="2714"/>
      <c r="M10" s="2715"/>
      <c r="N10" s="2715"/>
      <c r="O10" s="2715"/>
      <c r="P10" s="4068"/>
      <c r="Q10" s="1338" t="str">
        <f t="shared" si="6"/>
        <v>土地使用年限（年）</v>
      </c>
      <c r="R10" s="699" t="s">
        <v>14</v>
      </c>
      <c r="S10" s="700">
        <f t="shared" si="0"/>
        <v>100</v>
      </c>
      <c r="T10" s="699" t="s">
        <v>14</v>
      </c>
      <c r="U10" s="700">
        <f t="shared" si="1"/>
        <v>100</v>
      </c>
      <c r="V10" s="699" t="s">
        <v>14</v>
      </c>
      <c r="W10" s="700">
        <f t="shared" si="2"/>
        <v>100</v>
      </c>
      <c r="X10" s="701"/>
      <c r="Y10" s="3943"/>
      <c r="Z10" s="50"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6"/>
      <c r="M11" s="2711"/>
      <c r="N11" s="2711"/>
      <c r="O11" s="2711"/>
      <c r="P11" s="4068"/>
      <c r="Q11" s="1338">
        <f t="shared" si="6"/>
        <v>111</v>
      </c>
      <c r="R11" s="699" t="s">
        <v>14</v>
      </c>
      <c r="S11" s="700">
        <f t="shared" si="0"/>
        <v>100</v>
      </c>
      <c r="T11" s="699" t="s">
        <v>14</v>
      </c>
      <c r="U11" s="700">
        <f t="shared" si="1"/>
        <v>100</v>
      </c>
      <c r="V11" s="699" t="s">
        <v>14</v>
      </c>
      <c r="W11" s="700">
        <f t="shared" si="2"/>
        <v>100</v>
      </c>
      <c r="X11" s="701"/>
      <c r="Y11" s="3943"/>
      <c r="Z11" s="50">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2"/>
      <c r="M12" s="2713"/>
      <c r="N12" s="2713"/>
      <c r="O12" s="2713"/>
      <c r="P12" s="4068"/>
      <c r="Q12" s="1338">
        <f t="shared" si="6"/>
        <v>111</v>
      </c>
      <c r="R12" s="699" t="s">
        <v>14</v>
      </c>
      <c r="S12" s="700">
        <f t="shared" si="0"/>
        <v>100</v>
      </c>
      <c r="T12" s="699" t="s">
        <v>14</v>
      </c>
      <c r="U12" s="700">
        <f t="shared" si="1"/>
        <v>100</v>
      </c>
      <c r="V12" s="699" t="s">
        <v>14</v>
      </c>
      <c r="W12" s="700">
        <f t="shared" si="2"/>
        <v>100</v>
      </c>
      <c r="X12" s="701"/>
      <c r="Y12" s="3943"/>
      <c r="Z12" s="50">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7"/>
      <c r="M13" s="2711"/>
      <c r="N13" s="2711"/>
      <c r="O13" s="2711"/>
      <c r="P13" s="4068"/>
      <c r="Q13" s="1338">
        <f t="shared" si="6"/>
        <v>111</v>
      </c>
      <c r="R13" s="699" t="s">
        <v>14</v>
      </c>
      <c r="S13" s="700">
        <f t="shared" si="0"/>
        <v>100</v>
      </c>
      <c r="T13" s="699" t="s">
        <v>14</v>
      </c>
      <c r="U13" s="700">
        <f t="shared" si="1"/>
        <v>100</v>
      </c>
      <c r="V13" s="699" t="s">
        <v>14</v>
      </c>
      <c r="W13" s="700">
        <f t="shared" si="2"/>
        <v>100</v>
      </c>
      <c r="X13" s="701"/>
      <c r="Y13" s="3943"/>
      <c r="Z13" s="50">
        <f t="shared" si="7"/>
        <v>111</v>
      </c>
      <c r="AA13" s="702">
        <f t="shared" si="3"/>
        <v>1</v>
      </c>
      <c r="AB13" s="702">
        <f t="shared" si="4"/>
        <v>1</v>
      </c>
      <c r="AC13" s="702">
        <f t="shared" si="5"/>
        <v>1</v>
      </c>
    </row>
    <row r="14" spans="1:29" ht="15">
      <c r="A14" s="353" t="s">
        <v>1690</v>
      </c>
      <c r="B14" s="575" t="s">
        <v>1833</v>
      </c>
      <c r="C14" s="1966">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7"/>
      <c r="M14" s="2711"/>
      <c r="N14" s="2711"/>
      <c r="O14" s="2711"/>
      <c r="P14" s="4070" t="s">
        <v>1691</v>
      </c>
      <c r="Q14" s="1347" t="str">
        <f t="shared" si="6"/>
        <v>交通便捷度</v>
      </c>
      <c r="R14" s="703" t="s">
        <v>14</v>
      </c>
      <c r="S14" s="704">
        <f t="shared" si="0"/>
        <v>100</v>
      </c>
      <c r="T14" s="703" t="s">
        <v>14</v>
      </c>
      <c r="U14" s="704">
        <f t="shared" si="1"/>
        <v>100</v>
      </c>
      <c r="V14" s="703" t="s">
        <v>14</v>
      </c>
      <c r="W14" s="704">
        <f t="shared" si="2"/>
        <v>100</v>
      </c>
      <c r="X14" s="1350"/>
      <c r="Y14" s="4070" t="s">
        <v>1691</v>
      </c>
      <c r="Z14" s="1351" t="str">
        <f t="shared" si="7"/>
        <v>交通便捷度</v>
      </c>
      <c r="AA14" s="1348">
        <f t="shared" si="3"/>
        <v>1</v>
      </c>
      <c r="AB14" s="1348">
        <f t="shared" si="4"/>
        <v>1</v>
      </c>
      <c r="AC14" s="1348">
        <f t="shared" si="5"/>
        <v>1</v>
      </c>
    </row>
    <row r="15" spans="1:29" ht="15">
      <c r="A15" s="356"/>
      <c r="B15" s="593"/>
      <c r="C15" s="396"/>
      <c r="D15" s="397"/>
      <c r="E15" s="396"/>
      <c r="F15" s="398"/>
      <c r="G15" s="396"/>
      <c r="H15" s="399"/>
      <c r="I15" s="396"/>
      <c r="J15" s="397"/>
      <c r="K15" s="562"/>
      <c r="L15" s="2717"/>
      <c r="M15" s="2711"/>
      <c r="N15" s="2711"/>
      <c r="O15" s="2711"/>
      <c r="P15" s="4071"/>
      <c r="Q15" s="1347"/>
      <c r="R15" s="703"/>
      <c r="S15" s="704"/>
      <c r="T15" s="703"/>
      <c r="U15" s="704"/>
      <c r="V15" s="703"/>
      <c r="W15" s="704"/>
      <c r="X15" s="1350"/>
      <c r="Y15" s="4071"/>
      <c r="Z15" s="1351"/>
      <c r="AA15" s="1348">
        <v>1</v>
      </c>
      <c r="AB15" s="1348">
        <v>1</v>
      </c>
      <c r="AC15" s="1348">
        <v>1</v>
      </c>
    </row>
    <row r="16" spans="1:29" ht="15">
      <c r="A16" s="356"/>
      <c r="B16" s="577" t="s">
        <v>1812</v>
      </c>
      <c r="C16" s="1895">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7"/>
      <c r="M16" s="2711"/>
      <c r="N16" s="2711"/>
      <c r="O16" s="2711"/>
      <c r="P16" s="4071"/>
      <c r="Q16" s="1347" t="str">
        <f>B16</f>
        <v>公共配套设施</v>
      </c>
      <c r="R16" s="703" t="s">
        <v>14</v>
      </c>
      <c r="S16" s="704">
        <f>F16</f>
        <v>100</v>
      </c>
      <c r="T16" s="703" t="s">
        <v>14</v>
      </c>
      <c r="U16" s="704">
        <f>H16</f>
        <v>100</v>
      </c>
      <c r="V16" s="703" t="s">
        <v>14</v>
      </c>
      <c r="W16" s="704">
        <f>J16</f>
        <v>100</v>
      </c>
      <c r="X16" s="1350"/>
      <c r="Y16" s="4071"/>
      <c r="Z16" s="1351" t="str">
        <f>Q16</f>
        <v>公共配套设施</v>
      </c>
      <c r="AA16" s="1348">
        <f t="shared" si="3"/>
        <v>1</v>
      </c>
      <c r="AB16" s="1348">
        <f t="shared" si="4"/>
        <v>1</v>
      </c>
      <c r="AC16" s="1348">
        <f t="shared" si="5"/>
        <v>1</v>
      </c>
    </row>
    <row r="17" spans="1:29" ht="15">
      <c r="A17" s="356"/>
      <c r="B17" s="578"/>
      <c r="C17" s="1896"/>
      <c r="D17" s="397"/>
      <c r="E17" s="396"/>
      <c r="F17" s="398"/>
      <c r="G17" s="396"/>
      <c r="H17" s="397"/>
      <c r="I17" s="396"/>
      <c r="J17" s="397"/>
      <c r="K17" s="562"/>
      <c r="L17" s="2717"/>
      <c r="M17" s="2711"/>
      <c r="N17" s="2711"/>
      <c r="O17" s="2711"/>
      <c r="P17" s="4071"/>
      <c r="Q17" s="1347"/>
      <c r="R17" s="703"/>
      <c r="S17" s="704"/>
      <c r="T17" s="703"/>
      <c r="U17" s="704"/>
      <c r="V17" s="703"/>
      <c r="W17" s="704"/>
      <c r="X17" s="1350"/>
      <c r="Y17" s="4071"/>
      <c r="Z17" s="1351"/>
      <c r="AA17" s="1348">
        <v>1</v>
      </c>
      <c r="AB17" s="1348">
        <v>1</v>
      </c>
      <c r="AC17" s="1348">
        <v>1</v>
      </c>
    </row>
    <row r="18" spans="1:29" ht="15">
      <c r="A18" s="356"/>
      <c r="B18" s="579" t="s">
        <v>1813</v>
      </c>
      <c r="C18" s="1895">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7"/>
      <c r="M18" s="2711"/>
      <c r="N18" s="2711"/>
      <c r="O18" s="2711"/>
      <c r="P18" s="4071"/>
      <c r="Q18" s="1347" t="str">
        <f>B18</f>
        <v>基础设施水平</v>
      </c>
      <c r="R18" s="703" t="s">
        <v>14</v>
      </c>
      <c r="S18" s="704">
        <f>F18</f>
        <v>100</v>
      </c>
      <c r="T18" s="703" t="s">
        <v>14</v>
      </c>
      <c r="U18" s="704">
        <f>H18</f>
        <v>100</v>
      </c>
      <c r="V18" s="703" t="s">
        <v>14</v>
      </c>
      <c r="W18" s="704">
        <f>J18</f>
        <v>100</v>
      </c>
      <c r="X18" s="1350"/>
      <c r="Y18" s="4071"/>
      <c r="Z18" s="1351" t="str">
        <f>Q18</f>
        <v>基础设施水平</v>
      </c>
      <c r="AA18" s="1348">
        <f t="shared" ref="AA18" si="8">D18/F18</f>
        <v>1</v>
      </c>
      <c r="AB18" s="1348">
        <f t="shared" ref="AB18" si="9">D18/H18</f>
        <v>1</v>
      </c>
      <c r="AC18" s="1348">
        <f t="shared" ref="AC18" si="10">D18/J18</f>
        <v>1</v>
      </c>
    </row>
    <row r="19" spans="1:29" ht="15">
      <c r="A19" s="356"/>
      <c r="B19" s="579"/>
      <c r="C19" s="1896"/>
      <c r="D19" s="399"/>
      <c r="E19" s="1896"/>
      <c r="F19" s="402"/>
      <c r="G19" s="1896"/>
      <c r="H19" s="397"/>
      <c r="I19" s="396"/>
      <c r="J19" s="397"/>
      <c r="K19" s="1125"/>
      <c r="L19" s="2717"/>
      <c r="M19" s="2711"/>
      <c r="N19" s="2711"/>
      <c r="O19" s="2711"/>
      <c r="P19" s="4071"/>
      <c r="Q19" s="1347"/>
      <c r="R19" s="703"/>
      <c r="S19" s="704"/>
      <c r="T19" s="703"/>
      <c r="U19" s="704"/>
      <c r="V19" s="703"/>
      <c r="W19" s="704"/>
      <c r="X19" s="1350"/>
      <c r="Y19" s="4071"/>
      <c r="Z19" s="1351"/>
      <c r="AA19" s="1348">
        <v>1</v>
      </c>
      <c r="AB19" s="1348">
        <v>1</v>
      </c>
      <c r="AC19" s="1348">
        <v>1</v>
      </c>
    </row>
    <row r="20" spans="1:29" ht="15">
      <c r="A20" s="356"/>
      <c r="B20" s="577" t="s">
        <v>1834</v>
      </c>
      <c r="C20" s="1895">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7"/>
      <c r="M20" s="2711"/>
      <c r="N20" s="2711"/>
      <c r="O20" s="2711"/>
      <c r="P20" s="4071"/>
      <c r="Q20" s="1347" t="str">
        <f>B20</f>
        <v>自然及人文环境</v>
      </c>
      <c r="R20" s="703" t="s">
        <v>14</v>
      </c>
      <c r="S20" s="704">
        <f>F20</f>
        <v>100</v>
      </c>
      <c r="T20" s="703" t="s">
        <v>14</v>
      </c>
      <c r="U20" s="704">
        <f>H20</f>
        <v>100</v>
      </c>
      <c r="V20" s="703" t="s">
        <v>14</v>
      </c>
      <c r="W20" s="704">
        <f>J20</f>
        <v>100</v>
      </c>
      <c r="X20" s="1350"/>
      <c r="Y20" s="4071"/>
      <c r="Z20" s="1351" t="str">
        <f>Q20</f>
        <v>自然及人文环境</v>
      </c>
      <c r="AA20" s="1348">
        <f t="shared" si="3"/>
        <v>1</v>
      </c>
      <c r="AB20" s="1348">
        <f t="shared" si="4"/>
        <v>1</v>
      </c>
      <c r="AC20" s="1348">
        <f t="shared" si="5"/>
        <v>1</v>
      </c>
    </row>
    <row r="21" spans="1:29" ht="15">
      <c r="A21" s="356"/>
      <c r="B21" s="578"/>
      <c r="C21" s="396"/>
      <c r="D21" s="397"/>
      <c r="E21" s="396"/>
      <c r="F21" s="398"/>
      <c r="G21" s="396"/>
      <c r="H21" s="397"/>
      <c r="I21" s="396"/>
      <c r="J21" s="397"/>
      <c r="K21" s="562"/>
      <c r="L21" s="2717"/>
      <c r="M21" s="2711"/>
      <c r="N21" s="2711"/>
      <c r="O21" s="2711"/>
      <c r="P21" s="4071"/>
      <c r="Q21" s="1347"/>
      <c r="R21" s="703"/>
      <c r="S21" s="704"/>
      <c r="T21" s="703"/>
      <c r="U21" s="704"/>
      <c r="V21" s="703"/>
      <c r="W21" s="704"/>
      <c r="X21" s="1350"/>
      <c r="Y21" s="4071"/>
      <c r="Z21" s="1351"/>
      <c r="AA21" s="1348">
        <v>1</v>
      </c>
      <c r="AB21" s="1348">
        <v>1</v>
      </c>
      <c r="AC21" s="1348">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7"/>
      <c r="M22" s="2711"/>
      <c r="N22" s="2711"/>
      <c r="O22" s="2711"/>
      <c r="P22" s="4071"/>
      <c r="Q22" s="1347" t="str">
        <f>B22</f>
        <v>楼层</v>
      </c>
      <c r="R22" s="703" t="s">
        <v>14</v>
      </c>
      <c r="S22" s="704">
        <f>F22</f>
        <v>100</v>
      </c>
      <c r="T22" s="703" t="s">
        <v>14</v>
      </c>
      <c r="U22" s="704">
        <f>H22</f>
        <v>100</v>
      </c>
      <c r="V22" s="703" t="s">
        <v>14</v>
      </c>
      <c r="W22" s="704">
        <f>J22</f>
        <v>100</v>
      </c>
      <c r="X22" s="1350"/>
      <c r="Y22" s="4071"/>
      <c r="Z22" s="1351" t="str">
        <f>Q22</f>
        <v>楼层</v>
      </c>
      <c r="AA22" s="1348">
        <f t="shared" si="3"/>
        <v>1</v>
      </c>
      <c r="AB22" s="1348">
        <f t="shared" si="4"/>
        <v>1</v>
      </c>
      <c r="AC22" s="1348">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7"/>
      <c r="M23" s="2711"/>
      <c r="N23" s="2711"/>
      <c r="O23" s="2711"/>
      <c r="P23" s="4071"/>
      <c r="Q23" s="1347">
        <f>B23</f>
        <v>111</v>
      </c>
      <c r="R23" s="703" t="s">
        <v>14</v>
      </c>
      <c r="S23" s="704">
        <f>F23</f>
        <v>100</v>
      </c>
      <c r="T23" s="703" t="s">
        <v>14</v>
      </c>
      <c r="U23" s="704">
        <f>H23</f>
        <v>100</v>
      </c>
      <c r="V23" s="703" t="s">
        <v>14</v>
      </c>
      <c r="W23" s="704">
        <f>J23</f>
        <v>100</v>
      </c>
      <c r="X23" s="1350"/>
      <c r="Y23" s="4071"/>
      <c r="Z23" s="1351">
        <f>Q23</f>
        <v>111</v>
      </c>
      <c r="AA23" s="1348">
        <f t="shared" si="3"/>
        <v>1</v>
      </c>
      <c r="AB23" s="1348">
        <f t="shared" si="4"/>
        <v>1</v>
      </c>
      <c r="AC23" s="1348">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7"/>
      <c r="M24" s="2711"/>
      <c r="N24" s="2711"/>
      <c r="O24" s="2711"/>
      <c r="P24" s="4071"/>
      <c r="Q24" s="1347">
        <f t="shared" ref="Q24:Q36" si="11">B24</f>
        <v>111</v>
      </c>
      <c r="R24" s="703" t="s">
        <v>14</v>
      </c>
      <c r="S24" s="704">
        <f>F24</f>
        <v>100</v>
      </c>
      <c r="T24" s="703" t="s">
        <v>14</v>
      </c>
      <c r="U24" s="704">
        <f>H24</f>
        <v>100</v>
      </c>
      <c r="V24" s="703" t="s">
        <v>14</v>
      </c>
      <c r="W24" s="704">
        <f>J24</f>
        <v>100</v>
      </c>
      <c r="X24" s="1350"/>
      <c r="Y24" s="4071"/>
      <c r="Z24" s="1351">
        <f>Q24</f>
        <v>111</v>
      </c>
      <c r="AA24" s="1348">
        <f t="shared" si="3"/>
        <v>1</v>
      </c>
      <c r="AB24" s="1348">
        <f t="shared" si="4"/>
        <v>1</v>
      </c>
      <c r="AC24" s="1348">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2"/>
      <c r="M25" s="2713"/>
      <c r="N25" s="2713"/>
      <c r="O25" s="2713"/>
      <c r="P25" s="4071"/>
      <c r="Q25" s="1338">
        <f t="shared" si="11"/>
        <v>111</v>
      </c>
      <c r="R25" s="699" t="s">
        <v>14</v>
      </c>
      <c r="S25" s="700">
        <f>F25</f>
        <v>100</v>
      </c>
      <c r="T25" s="699" t="s">
        <v>14</v>
      </c>
      <c r="U25" s="700">
        <f>H25</f>
        <v>100</v>
      </c>
      <c r="V25" s="699" t="s">
        <v>14</v>
      </c>
      <c r="W25" s="700">
        <f>J25</f>
        <v>100</v>
      </c>
      <c r="X25" s="701"/>
      <c r="Y25" s="4071"/>
      <c r="Z25" s="50">
        <f>Q25</f>
        <v>111</v>
      </c>
      <c r="AA25" s="1348">
        <f>D25/F25</f>
        <v>1</v>
      </c>
      <c r="AB25" s="1348">
        <f>D25/H25</f>
        <v>1</v>
      </c>
      <c r="AC25" s="1348">
        <f>D25/J25</f>
        <v>1</v>
      </c>
    </row>
    <row r="26" spans="1:29" ht="28.5">
      <c r="A26" s="598" t="s">
        <v>1694</v>
      </c>
      <c r="B26" s="60" t="s">
        <v>1836</v>
      </c>
      <c r="C26" s="1967" t="str">
        <f>B1</f>
        <v>车库</v>
      </c>
      <c r="D26" s="397">
        <v>100</v>
      </c>
      <c r="E26" s="396"/>
      <c r="F26" s="398">
        <f>SUMIF(79:79,E26,80:80)-SUMIF(79:79,C26,80:80)+100</f>
        <v>0</v>
      </c>
      <c r="G26" s="396"/>
      <c r="H26" s="397">
        <f>SUMIF(79:79,G26,80:80)-SUMIF(79:79,C26,80:80)+100</f>
        <v>0</v>
      </c>
      <c r="I26" s="396"/>
      <c r="J26" s="397">
        <f>SUMIF(79:79,I26,80:80)-SUMIF(79:79,C26,80:80)+100</f>
        <v>0</v>
      </c>
      <c r="K26" s="559"/>
      <c r="L26" s="2717"/>
      <c r="M26" s="2711"/>
      <c r="N26" s="2711"/>
      <c r="O26" s="2711"/>
      <c r="P26" s="4126" t="s">
        <v>1696</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4075" t="s">
        <v>1696</v>
      </c>
      <c r="Z26" s="1351" t="str">
        <f t="shared" ref="Z26:Z36" si="15">Q26</f>
        <v>配套类型</v>
      </c>
      <c r="AA26" s="1348" t="e">
        <f t="shared" si="3"/>
        <v>#DIV/0!</v>
      </c>
      <c r="AB26" s="1348" t="e">
        <f t="shared" si="4"/>
        <v>#DIV/0!</v>
      </c>
      <c r="AC26" s="1348"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6"/>
      <c r="M27" s="2718"/>
      <c r="N27" s="2718"/>
      <c r="O27" s="2718"/>
      <c r="P27" s="4075"/>
      <c r="Q27" s="705" t="str">
        <f t="shared" si="11"/>
        <v>项目停车位配比</v>
      </c>
      <c r="R27" s="706" t="s">
        <v>14</v>
      </c>
      <c r="S27" s="707">
        <f t="shared" si="12"/>
        <v>100</v>
      </c>
      <c r="T27" s="706" t="s">
        <v>14</v>
      </c>
      <c r="U27" s="707">
        <f t="shared" si="13"/>
        <v>100</v>
      </c>
      <c r="V27" s="706" t="s">
        <v>14</v>
      </c>
      <c r="W27" s="707">
        <f t="shared" si="14"/>
        <v>100</v>
      </c>
      <c r="X27" s="708"/>
      <c r="Y27" s="4075"/>
      <c r="Z27" s="709" t="str">
        <f t="shared" si="15"/>
        <v>项目停车位配比</v>
      </c>
      <c r="AA27" s="1348">
        <f t="shared" si="3"/>
        <v>1</v>
      </c>
      <c r="AB27" s="1348">
        <f t="shared" si="4"/>
        <v>1</v>
      </c>
      <c r="AC27" s="1348">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7"/>
      <c r="M28" s="2711"/>
      <c r="N28" s="2711"/>
      <c r="O28" s="2711"/>
      <c r="P28" s="4075"/>
      <c r="Q28" s="1347" t="str">
        <f t="shared" si="11"/>
        <v>公共部分装修</v>
      </c>
      <c r="R28" s="703" t="s">
        <v>14</v>
      </c>
      <c r="S28" s="704">
        <f t="shared" si="12"/>
        <v>100</v>
      </c>
      <c r="T28" s="703" t="s">
        <v>14</v>
      </c>
      <c r="U28" s="704">
        <f t="shared" si="13"/>
        <v>100</v>
      </c>
      <c r="V28" s="703" t="s">
        <v>14</v>
      </c>
      <c r="W28" s="704">
        <f t="shared" si="14"/>
        <v>100</v>
      </c>
      <c r="X28" s="1350"/>
      <c r="Y28" s="4075"/>
      <c r="Z28" s="1351" t="str">
        <f t="shared" si="15"/>
        <v>公共部分装修</v>
      </c>
      <c r="AA28" s="1348">
        <f t="shared" si="3"/>
        <v>1</v>
      </c>
      <c r="AB28" s="1348">
        <f t="shared" si="4"/>
        <v>1</v>
      </c>
      <c r="AC28" s="1348">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7"/>
      <c r="M29" s="2711"/>
      <c r="N29" s="2711"/>
      <c r="O29" s="2711"/>
      <c r="P29" s="4075"/>
      <c r="Q29" s="1347" t="str">
        <f t="shared" si="11"/>
        <v>成新率</v>
      </c>
      <c r="R29" s="703" t="s">
        <v>14</v>
      </c>
      <c r="S29" s="704" t="e">
        <f t="shared" si="12"/>
        <v>#N/A</v>
      </c>
      <c r="T29" s="703" t="s">
        <v>14</v>
      </c>
      <c r="U29" s="704" t="e">
        <f t="shared" si="13"/>
        <v>#N/A</v>
      </c>
      <c r="V29" s="703" t="s">
        <v>14</v>
      </c>
      <c r="W29" s="704" t="e">
        <f t="shared" si="14"/>
        <v>#N/A</v>
      </c>
      <c r="X29" s="1350"/>
      <c r="Y29" s="4075"/>
      <c r="Z29" s="1351" t="str">
        <f t="shared" si="15"/>
        <v>成新率</v>
      </c>
      <c r="AA29" s="1348" t="e">
        <f t="shared" si="3"/>
        <v>#N/A</v>
      </c>
      <c r="AB29" s="1348" t="e">
        <f t="shared" si="4"/>
        <v>#N/A</v>
      </c>
      <c r="AC29" s="1348"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7"/>
      <c r="M30" s="2711"/>
      <c r="N30" s="2711"/>
      <c r="O30" s="2711"/>
      <c r="P30" s="4075"/>
      <c r="Q30" s="1347" t="str">
        <f t="shared" si="11"/>
        <v>物业等级</v>
      </c>
      <c r="R30" s="703" t="s">
        <v>14</v>
      </c>
      <c r="S30" s="704">
        <f t="shared" si="12"/>
        <v>100</v>
      </c>
      <c r="T30" s="703" t="s">
        <v>14</v>
      </c>
      <c r="U30" s="704">
        <f t="shared" si="13"/>
        <v>100</v>
      </c>
      <c r="V30" s="703" t="s">
        <v>14</v>
      </c>
      <c r="W30" s="704">
        <f t="shared" si="14"/>
        <v>100</v>
      </c>
      <c r="X30" s="1350"/>
      <c r="Y30" s="4075"/>
      <c r="Z30" s="1351" t="str">
        <f t="shared" si="15"/>
        <v>物业等级</v>
      </c>
      <c r="AA30" s="1348">
        <f t="shared" si="3"/>
        <v>1</v>
      </c>
      <c r="AB30" s="1348">
        <f t="shared" si="4"/>
        <v>1</v>
      </c>
      <c r="AC30" s="1348">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2"/>
      <c r="M31" s="2713"/>
      <c r="N31" s="2713"/>
      <c r="O31" s="2713"/>
      <c r="P31" s="4075"/>
      <c r="Q31" s="1338" t="str">
        <f t="shared" si="11"/>
        <v>停车位面积</v>
      </c>
      <c r="R31" s="699" t="s">
        <v>14</v>
      </c>
      <c r="S31" s="700" t="e">
        <f t="shared" si="12"/>
        <v>#N/A</v>
      </c>
      <c r="T31" s="699" t="s">
        <v>14</v>
      </c>
      <c r="U31" s="700" t="e">
        <f t="shared" si="13"/>
        <v>#N/A</v>
      </c>
      <c r="V31" s="699" t="s">
        <v>14</v>
      </c>
      <c r="W31" s="700" t="e">
        <f t="shared" si="14"/>
        <v>#N/A</v>
      </c>
      <c r="X31" s="701"/>
      <c r="Y31" s="4075"/>
      <c r="Z31" s="50"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7"/>
      <c r="M32" s="2711"/>
      <c r="N32" s="2711"/>
      <c r="O32" s="2711"/>
      <c r="P32" s="4075" t="s">
        <v>1696</v>
      </c>
      <c r="Q32" s="1347" t="str">
        <f t="shared" si="11"/>
        <v>车位类型</v>
      </c>
      <c r="R32" s="703" t="s">
        <v>14</v>
      </c>
      <c r="S32" s="704">
        <f t="shared" si="12"/>
        <v>100</v>
      </c>
      <c r="T32" s="703" t="s">
        <v>14</v>
      </c>
      <c r="U32" s="704">
        <f t="shared" si="13"/>
        <v>100</v>
      </c>
      <c r="V32" s="703" t="s">
        <v>14</v>
      </c>
      <c r="W32" s="704">
        <f t="shared" si="14"/>
        <v>100</v>
      </c>
      <c r="X32" s="1350"/>
      <c r="Y32" s="4075" t="s">
        <v>1696</v>
      </c>
      <c r="Z32" s="1351" t="str">
        <f t="shared" si="15"/>
        <v>车位类型</v>
      </c>
      <c r="AA32" s="1348">
        <f t="shared" si="3"/>
        <v>1</v>
      </c>
      <c r="AB32" s="1348">
        <f t="shared" si="4"/>
        <v>1</v>
      </c>
      <c r="AC32" s="1348">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7"/>
      <c r="M33" s="2711"/>
      <c r="N33" s="2711"/>
      <c r="O33" s="2711"/>
      <c r="P33" s="4075"/>
      <c r="Q33" s="1347" t="str">
        <f t="shared" si="11"/>
        <v>是否直接入户</v>
      </c>
      <c r="R33" s="703" t="s">
        <v>14</v>
      </c>
      <c r="S33" s="704">
        <f t="shared" si="12"/>
        <v>100</v>
      </c>
      <c r="T33" s="703" t="s">
        <v>14</v>
      </c>
      <c r="U33" s="704">
        <f t="shared" si="13"/>
        <v>100</v>
      </c>
      <c r="V33" s="703" t="s">
        <v>14</v>
      </c>
      <c r="W33" s="704">
        <f t="shared" si="14"/>
        <v>100</v>
      </c>
      <c r="X33" s="1350"/>
      <c r="Y33" s="4075"/>
      <c r="Z33" s="1351" t="str">
        <f t="shared" si="15"/>
        <v>是否直接入户</v>
      </c>
      <c r="AA33" s="1348">
        <f t="shared" si="3"/>
        <v>1</v>
      </c>
      <c r="AB33" s="1348">
        <f t="shared" si="4"/>
        <v>1</v>
      </c>
      <c r="AC33" s="1348">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7"/>
      <c r="M34" s="2711"/>
      <c r="N34" s="2711"/>
      <c r="O34" s="2711"/>
      <c r="P34" s="4075"/>
      <c r="Q34" s="1347">
        <f t="shared" si="11"/>
        <v>111</v>
      </c>
      <c r="R34" s="703" t="s">
        <v>14</v>
      </c>
      <c r="S34" s="704">
        <f t="shared" si="12"/>
        <v>100</v>
      </c>
      <c r="T34" s="703" t="s">
        <v>14</v>
      </c>
      <c r="U34" s="704">
        <f t="shared" si="13"/>
        <v>100</v>
      </c>
      <c r="V34" s="703" t="s">
        <v>14</v>
      </c>
      <c r="W34" s="704">
        <f t="shared" si="14"/>
        <v>100</v>
      </c>
      <c r="X34" s="1350"/>
      <c r="Y34" s="4075"/>
      <c r="Z34" s="1351">
        <f t="shared" si="15"/>
        <v>111</v>
      </c>
      <c r="AA34" s="1348">
        <f t="shared" si="3"/>
        <v>1</v>
      </c>
      <c r="AB34" s="1348">
        <f t="shared" si="4"/>
        <v>1</v>
      </c>
      <c r="AC34" s="1348">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6"/>
      <c r="M35" s="2718"/>
      <c r="N35" s="2718"/>
      <c r="O35" s="2718"/>
      <c r="P35" s="4075"/>
      <c r="Q35" s="705">
        <f t="shared" si="11"/>
        <v>111</v>
      </c>
      <c r="R35" s="706" t="s">
        <v>14</v>
      </c>
      <c r="S35" s="707">
        <f t="shared" si="12"/>
        <v>100</v>
      </c>
      <c r="T35" s="706" t="s">
        <v>14</v>
      </c>
      <c r="U35" s="707">
        <f t="shared" si="13"/>
        <v>100</v>
      </c>
      <c r="V35" s="706" t="s">
        <v>14</v>
      </c>
      <c r="W35" s="707">
        <f t="shared" si="14"/>
        <v>100</v>
      </c>
      <c r="X35" s="708"/>
      <c r="Y35" s="4075"/>
      <c r="Z35" s="709">
        <f t="shared" si="15"/>
        <v>111</v>
      </c>
      <c r="AA35" s="1348">
        <f t="shared" si="3"/>
        <v>1</v>
      </c>
      <c r="AB35" s="1348">
        <f t="shared" si="4"/>
        <v>1</v>
      </c>
      <c r="AC35" s="1348">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7"/>
      <c r="M36" s="2711"/>
      <c r="N36" s="2711"/>
      <c r="O36" s="2711"/>
      <c r="P36" s="4075"/>
      <c r="Q36" s="1347">
        <f t="shared" si="11"/>
        <v>111</v>
      </c>
      <c r="R36" s="703" t="s">
        <v>14</v>
      </c>
      <c r="S36" s="704">
        <f t="shared" si="12"/>
        <v>100</v>
      </c>
      <c r="T36" s="703" t="s">
        <v>14</v>
      </c>
      <c r="U36" s="704">
        <f t="shared" si="13"/>
        <v>100</v>
      </c>
      <c r="V36" s="703" t="s">
        <v>14</v>
      </c>
      <c r="W36" s="704">
        <f t="shared" si="14"/>
        <v>100</v>
      </c>
      <c r="X36" s="1350"/>
      <c r="Y36" s="4075"/>
      <c r="Z36" s="1351">
        <f t="shared" si="15"/>
        <v>111</v>
      </c>
      <c r="AA36" s="1348">
        <f t="shared" si="3"/>
        <v>1</v>
      </c>
      <c r="AB36" s="1348">
        <f t="shared" si="4"/>
        <v>1</v>
      </c>
      <c r="AC36" s="1348">
        <f t="shared" si="5"/>
        <v>1</v>
      </c>
    </row>
    <row r="37" spans="1:29" ht="15">
      <c r="A37" s="428" t="s">
        <v>1844</v>
      </c>
      <c r="B37" s="1968" t="s">
        <v>3319</v>
      </c>
      <c r="C37" s="1149" t="s">
        <v>0</v>
      </c>
      <c r="D37" s="1150"/>
      <c r="E37" s="1151"/>
      <c r="F37" s="1152"/>
      <c r="G37" s="1153"/>
      <c r="H37" s="1154"/>
      <c r="I37" s="1151"/>
      <c r="J37" s="1154"/>
      <c r="K37" s="566"/>
      <c r="L37" s="2719"/>
      <c r="M37" s="2720"/>
      <c r="N37" s="2711"/>
      <c r="O37" s="2720"/>
      <c r="P37" s="4068" t="str">
        <f>A37</f>
        <v>成交单价</v>
      </c>
      <c r="Q37" s="4068"/>
      <c r="R37" s="4069">
        <f>E37</f>
        <v>0</v>
      </c>
      <c r="S37" s="4069"/>
      <c r="T37" s="4069">
        <f>G37</f>
        <v>0</v>
      </c>
      <c r="U37" s="4069"/>
      <c r="V37" s="4069">
        <f>I37</f>
        <v>0</v>
      </c>
      <c r="W37" s="4069"/>
      <c r="X37" s="688"/>
      <c r="Y37" s="710"/>
      <c r="Z37" s="688"/>
      <c r="AA37" s="688"/>
      <c r="AB37" s="688"/>
      <c r="AC37" s="688"/>
    </row>
    <row r="38" spans="1:29" ht="15.75" thickBot="1">
      <c r="A38" s="435" t="s">
        <v>1845</v>
      </c>
      <c r="B38" s="436" t="str">
        <f>B37</f>
        <v>元/平方米</v>
      </c>
      <c r="C38" s="1155" t="e">
        <f>R39</f>
        <v>#DIV/0!</v>
      </c>
      <c r="D38" s="2312" t="s">
        <v>2138</v>
      </c>
      <c r="E38" s="1156" t="e">
        <f>R38</f>
        <v>#DIV/0!</v>
      </c>
      <c r="F38" s="2313"/>
      <c r="G38" s="1155" t="e">
        <f>T38</f>
        <v>#DIV/0!</v>
      </c>
      <c r="H38" s="2313"/>
      <c r="I38" s="1156" t="e">
        <f>V38</f>
        <v>#DIV/0!</v>
      </c>
      <c r="J38" s="2313"/>
      <c r="K38" s="2315">
        <f>F38+H38+J38</f>
        <v>0</v>
      </c>
      <c r="L38" s="2719"/>
      <c r="M38" s="2720"/>
      <c r="N38" s="2720"/>
      <c r="O38" s="2720"/>
      <c r="P38" s="4068" t="str">
        <f>A38</f>
        <v>比较价值（元/平方米）</v>
      </c>
      <c r="Q38" s="4068"/>
      <c r="R38" s="4069" t="e">
        <f>IF(F1="售价",ROUND(PRODUCT(R37,AA7:AA36),0),ROUND(PRODUCT(R37,AA7:AA36),1))</f>
        <v>#DIV/0!</v>
      </c>
      <c r="S38" s="4069"/>
      <c r="T38" s="4069" t="e">
        <f>IF(F1="售价",ROUND(PRODUCT(T37,AB7:AB36),0),ROUND(PRODUCT(T37,AB7:AB36),1))</f>
        <v>#DIV/0!</v>
      </c>
      <c r="U38" s="4069"/>
      <c r="V38" s="4069" t="e">
        <f>IF(F1="售价",ROUND(PRODUCT(V37,AC7:AC36),0),ROUND(PRODUCT(V37,AC7:AC36),1))</f>
        <v>#DIV/0!</v>
      </c>
      <c r="W38" s="4069"/>
      <c r="X38" s="688"/>
      <c r="Y38" s="688"/>
      <c r="Z38" s="688"/>
      <c r="AA38" s="688"/>
      <c r="AB38" s="688"/>
      <c r="AC38" s="688"/>
    </row>
    <row r="39" spans="1:29" ht="15.75" thickBot="1">
      <c r="A39" s="439" t="s">
        <v>1846</v>
      </c>
      <c r="B39" s="440"/>
      <c r="C39" s="1158" t="e">
        <f>R39</f>
        <v>#DIV/0!</v>
      </c>
      <c r="D39" s="1158"/>
      <c r="E39" s="1158"/>
      <c r="F39" s="1158"/>
      <c r="G39" s="1158"/>
      <c r="H39" s="1158"/>
      <c r="I39" s="1158"/>
      <c r="J39" s="1158"/>
      <c r="K39" s="567"/>
      <c r="L39" s="2719"/>
      <c r="M39" s="2720"/>
      <c r="N39" s="2720"/>
      <c r="O39" s="2720"/>
      <c r="P39" s="4065" t="str">
        <f>A39</f>
        <v>估价对象XX用房的比较价值（楼面单价，元/平方米）</v>
      </c>
      <c r="Q39" s="4066"/>
      <c r="R39" s="4127" t="e">
        <f>IF(F1="售价",ROUND(IF(D38="简单平均",AVERAGE(R38:W38),R38*F38+T38*H38+V38*J38),0),ROUND(IF(D38="简单平均",AVERAGE(R38:V38),R38*F38+T38*H38+V38*J38),1))</f>
        <v>#DIV/0!</v>
      </c>
      <c r="S39" s="4127"/>
      <c r="T39" s="4127"/>
      <c r="U39" s="4127"/>
      <c r="V39" s="4127"/>
      <c r="W39" s="4127"/>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9" customFormat="1" ht="13.5" customHeight="1">
      <c r="A44" s="2723"/>
      <c r="B44" s="2723"/>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9"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1850</v>
      </c>
      <c r="B47" s="922"/>
      <c r="C47" s="935"/>
      <c r="D47" s="935"/>
      <c r="E47" s="935"/>
      <c r="F47" s="1162"/>
      <c r="G47" s="1162"/>
      <c r="H47" s="935"/>
      <c r="I47" s="935"/>
      <c r="J47" s="935"/>
      <c r="K47" s="936"/>
      <c r="L47" s="937"/>
      <c r="M47" s="935"/>
      <c r="N47" s="2764"/>
      <c r="O47" s="2764"/>
      <c r="P47" s="2753"/>
      <c r="Q47" s="2734"/>
      <c r="R47" s="2720"/>
      <c r="S47" s="2720"/>
      <c r="T47" s="2720"/>
      <c r="U47" s="2720"/>
      <c r="V47" s="2720"/>
      <c r="W47" s="2720"/>
      <c r="X47" s="2720"/>
      <c r="Y47" s="2720"/>
      <c r="Z47" s="2720"/>
      <c r="AA47" s="2720"/>
      <c r="AB47" s="2720"/>
      <c r="AC47" s="2720"/>
    </row>
    <row r="48" spans="1:29" s="455" customFormat="1" ht="15">
      <c r="A48" s="452" t="s">
        <v>1851</v>
      </c>
      <c r="B48" s="453"/>
      <c r="C48" s="1179" t="str">
        <f>YEAR(C7)&amp;"-"&amp;MONTH(C7)</f>
        <v>2023-10</v>
      </c>
      <c r="D48" s="1180">
        <f>EDATE(C48,-1)</f>
        <v>45170</v>
      </c>
      <c r="E48" s="1180">
        <f t="shared" ref="E48:O48" si="16">EDATE(D48,-1)</f>
        <v>45139</v>
      </c>
      <c r="F48" s="1180">
        <f t="shared" si="16"/>
        <v>45108</v>
      </c>
      <c r="G48" s="1180">
        <f t="shared" si="16"/>
        <v>45078</v>
      </c>
      <c r="H48" s="1180">
        <f t="shared" si="16"/>
        <v>45047</v>
      </c>
      <c r="I48" s="1180">
        <f t="shared" si="16"/>
        <v>45017</v>
      </c>
      <c r="J48" s="1180">
        <f t="shared" si="16"/>
        <v>44986</v>
      </c>
      <c r="K48" s="1180">
        <f t="shared" si="16"/>
        <v>44958</v>
      </c>
      <c r="L48" s="1180">
        <f t="shared" si="16"/>
        <v>44927</v>
      </c>
      <c r="M48" s="1180">
        <f t="shared" si="16"/>
        <v>44896</v>
      </c>
      <c r="N48" s="1180">
        <f t="shared" si="16"/>
        <v>44866</v>
      </c>
      <c r="O48" s="1180">
        <f t="shared" si="16"/>
        <v>44835</v>
      </c>
      <c r="P48" s="2754"/>
      <c r="Q48" s="2736"/>
      <c r="R48" s="2736"/>
      <c r="S48" s="2736"/>
      <c r="T48" s="2736"/>
      <c r="U48" s="2736"/>
      <c r="V48" s="2736"/>
      <c r="W48" s="2736"/>
      <c r="X48" s="2736"/>
      <c r="Y48" s="2736"/>
      <c r="Z48" s="2736"/>
      <c r="AA48" s="2736"/>
      <c r="AB48" s="2736"/>
      <c r="AC48" s="2736"/>
    </row>
    <row r="49" spans="1:29" s="106" customFormat="1" ht="15">
      <c r="A49" s="456"/>
      <c r="B49" s="457"/>
      <c r="C49" s="1172">
        <v>100</v>
      </c>
      <c r="D49" s="459"/>
      <c r="E49" s="459"/>
      <c r="F49" s="459"/>
      <c r="G49" s="459"/>
      <c r="H49" s="459"/>
      <c r="I49" s="459"/>
      <c r="J49" s="459"/>
      <c r="K49" s="459"/>
      <c r="L49" s="459"/>
      <c r="M49" s="460"/>
      <c r="N49" s="459"/>
      <c r="O49" s="460"/>
      <c r="P49" s="2755"/>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5"/>
      <c r="Q50" s="2734"/>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7"/>
      <c r="O51" s="2747"/>
      <c r="P51" s="2756"/>
      <c r="Q51" s="2734"/>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7"/>
      <c r="O52" s="2747"/>
      <c r="P52" s="2755"/>
      <c r="Q52" s="2734"/>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8"/>
      <c r="O53" s="2748"/>
      <c r="P53" s="2757"/>
      <c r="Q53" s="2734"/>
      <c r="R53" s="2720"/>
      <c r="S53" s="2720"/>
      <c r="T53" s="2720"/>
      <c r="U53" s="2720"/>
      <c r="V53" s="2720"/>
      <c r="W53" s="2720"/>
      <c r="X53" s="2720"/>
      <c r="Y53" s="2720"/>
      <c r="Z53" s="2720"/>
      <c r="AA53" s="2720"/>
      <c r="AB53" s="2720"/>
      <c r="AC53" s="2720"/>
    </row>
    <row r="54" spans="1:29" ht="15.75" thickBot="1">
      <c r="A54" s="481"/>
      <c r="B54" s="482"/>
      <c r="C54" s="483">
        <v>100</v>
      </c>
      <c r="D54" s="483"/>
      <c r="E54" s="483"/>
      <c r="F54" s="483"/>
      <c r="G54" s="483"/>
      <c r="H54" s="483"/>
      <c r="I54" s="483"/>
      <c r="J54" s="483"/>
      <c r="K54" s="483"/>
      <c r="L54" s="483"/>
      <c r="M54" s="484"/>
      <c r="N54" s="2749"/>
      <c r="O54" s="2749"/>
      <c r="P54" s="2757"/>
      <c r="Q54" s="2734"/>
      <c r="R54" s="2720"/>
      <c r="S54" s="2720"/>
      <c r="T54" s="2720"/>
      <c r="U54" s="2720"/>
      <c r="V54" s="2720"/>
      <c r="W54" s="2720"/>
      <c r="X54" s="2720"/>
      <c r="Y54" s="2720"/>
      <c r="Z54" s="2720"/>
      <c r="AA54" s="2720"/>
      <c r="AB54" s="2720"/>
      <c r="AC54" s="2720"/>
    </row>
    <row r="55" spans="1:29" ht="27.75" thickTop="1">
      <c r="A55" s="481"/>
      <c r="B55" s="485" t="s">
        <v>1688</v>
      </c>
      <c r="C55" s="530"/>
      <c r="D55" s="530"/>
      <c r="E55" s="530"/>
      <c r="F55" s="530"/>
      <c r="G55" s="530"/>
      <c r="H55" s="530"/>
      <c r="I55" s="530"/>
      <c r="J55" s="530"/>
      <c r="K55" s="531"/>
      <c r="L55" s="532"/>
      <c r="M55" s="533"/>
      <c r="N55" s="2748"/>
      <c r="O55" s="2748"/>
      <c r="P55" s="2757"/>
      <c r="Q55" s="2734"/>
      <c r="R55" s="2720"/>
      <c r="S55" s="2720"/>
      <c r="T55" s="2720"/>
      <c r="U55" s="2720"/>
      <c r="V55" s="2720"/>
      <c r="W55" s="2720"/>
      <c r="X55" s="2720"/>
      <c r="Y55" s="2720"/>
      <c r="Z55" s="2720"/>
      <c r="AA55" s="2720"/>
      <c r="AB55" s="2720"/>
      <c r="AC55" s="2720"/>
    </row>
    <row r="56" spans="1:29" ht="15.75" thickBot="1">
      <c r="A56" s="481"/>
      <c r="B56" s="490"/>
      <c r="C56" s="483"/>
      <c r="D56" s="483"/>
      <c r="E56" s="483"/>
      <c r="F56" s="483"/>
      <c r="G56" s="483"/>
      <c r="H56" s="483"/>
      <c r="I56" s="483"/>
      <c r="J56" s="483"/>
      <c r="K56" s="483"/>
      <c r="L56" s="483"/>
      <c r="M56" s="484"/>
      <c r="N56" s="2749"/>
      <c r="O56" s="2749"/>
      <c r="P56" s="2757"/>
      <c r="Q56" s="2734"/>
      <c r="R56" s="2720"/>
      <c r="S56" s="2720"/>
      <c r="T56" s="2720"/>
      <c r="U56" s="2720"/>
      <c r="V56" s="2720"/>
      <c r="W56" s="2720"/>
      <c r="X56" s="2720"/>
      <c r="Y56" s="2720"/>
      <c r="Z56" s="2720"/>
      <c r="AA56" s="2720"/>
      <c r="AB56" s="2720"/>
      <c r="AC56" s="2720"/>
    </row>
    <row r="57" spans="1:29" ht="15.75" thickTop="1">
      <c r="A57" s="481"/>
      <c r="B57" s="606">
        <f>B11</f>
        <v>111</v>
      </c>
      <c r="C57" s="496"/>
      <c r="D57" s="496"/>
      <c r="E57" s="496"/>
      <c r="F57" s="496"/>
      <c r="G57" s="496"/>
      <c r="H57" s="496"/>
      <c r="I57" s="496"/>
      <c r="J57" s="496"/>
      <c r="K57" s="497"/>
      <c r="L57" s="498"/>
      <c r="M57" s="499"/>
      <c r="N57" s="2748"/>
      <c r="O57" s="2748"/>
      <c r="P57" s="2757"/>
      <c r="Q57" s="2734"/>
      <c r="R57" s="2720"/>
      <c r="S57" s="2720"/>
      <c r="T57" s="2720"/>
      <c r="U57" s="2720"/>
      <c r="V57" s="2720"/>
      <c r="W57" s="2720"/>
      <c r="X57" s="2720"/>
      <c r="Y57" s="2720"/>
      <c r="Z57" s="2720"/>
      <c r="AA57" s="2720"/>
      <c r="AB57" s="2720"/>
      <c r="AC57" s="2720"/>
    </row>
    <row r="58" spans="1:29" ht="15.75" thickBot="1">
      <c r="A58" s="481"/>
      <c r="B58" s="482"/>
      <c r="C58" s="507"/>
      <c r="D58" s="483"/>
      <c r="E58" s="483"/>
      <c r="F58" s="483"/>
      <c r="G58" s="483"/>
      <c r="H58" s="483"/>
      <c r="I58" s="483"/>
      <c r="J58" s="483"/>
      <c r="K58" s="483"/>
      <c r="L58" s="483"/>
      <c r="M58" s="484"/>
      <c r="N58" s="2749"/>
      <c r="O58" s="2749"/>
      <c r="P58" s="2757"/>
      <c r="Q58" s="2734"/>
      <c r="R58" s="2720"/>
      <c r="S58" s="2720"/>
      <c r="T58" s="2720"/>
      <c r="U58" s="2720"/>
      <c r="V58" s="2720"/>
      <c r="W58" s="2720"/>
      <c r="X58" s="2720"/>
      <c r="Y58" s="2720"/>
      <c r="Z58" s="2720"/>
      <c r="AA58" s="2720"/>
      <c r="AB58" s="2720"/>
      <c r="AC58" s="2720"/>
    </row>
    <row r="59" spans="1:29" s="420" customFormat="1" ht="15.75" thickTop="1">
      <c r="A59" s="500"/>
      <c r="B59" s="485">
        <f>B12</f>
        <v>111</v>
      </c>
      <c r="C59" s="496"/>
      <c r="D59" s="496"/>
      <c r="E59" s="496"/>
      <c r="F59" s="496"/>
      <c r="G59" s="501"/>
      <c r="H59" s="502"/>
      <c r="I59" s="502"/>
      <c r="J59" s="502"/>
      <c r="K59" s="502"/>
      <c r="L59" s="503"/>
      <c r="M59" s="504"/>
      <c r="N59" s="2750"/>
      <c r="O59" s="2750"/>
      <c r="P59" s="2758"/>
      <c r="Q59" s="2741"/>
      <c r="R59" s="2742"/>
      <c r="S59" s="2742"/>
      <c r="T59" s="2742"/>
      <c r="U59" s="2742"/>
      <c r="V59" s="2742"/>
      <c r="W59" s="2742"/>
      <c r="X59" s="2742"/>
      <c r="Y59" s="2742"/>
      <c r="Z59" s="2742"/>
      <c r="AA59" s="2742"/>
      <c r="AB59" s="2742"/>
      <c r="AC59" s="2742"/>
    </row>
    <row r="60" spans="1:29" s="420" customFormat="1" ht="15.75" thickBot="1">
      <c r="A60" s="500"/>
      <c r="B60" s="490"/>
      <c r="C60" s="507"/>
      <c r="D60" s="483"/>
      <c r="E60" s="483"/>
      <c r="F60" s="483"/>
      <c r="G60" s="483"/>
      <c r="H60" s="483"/>
      <c r="I60" s="483"/>
      <c r="J60" s="483"/>
      <c r="K60" s="483"/>
      <c r="L60" s="483"/>
      <c r="M60" s="484"/>
      <c r="N60" s="2749"/>
      <c r="O60" s="2749"/>
      <c r="P60" s="2758"/>
      <c r="Q60" s="2741"/>
      <c r="R60" s="2742"/>
      <c r="S60" s="2742"/>
      <c r="T60" s="2742"/>
      <c r="U60" s="2742"/>
      <c r="V60" s="2742"/>
      <c r="W60" s="2742"/>
      <c r="X60" s="2742"/>
      <c r="Y60" s="2742"/>
      <c r="Z60" s="2742"/>
      <c r="AA60" s="2742"/>
      <c r="AB60" s="2742"/>
      <c r="AC60" s="2742"/>
    </row>
    <row r="61" spans="1:29" s="420" customFormat="1" ht="15.75" thickTop="1">
      <c r="A61" s="500"/>
      <c r="B61" s="485">
        <f>B13</f>
        <v>111</v>
      </c>
      <c r="C61" s="501"/>
      <c r="D61" s="501"/>
      <c r="E61" s="501"/>
      <c r="F61" s="501"/>
      <c r="G61" s="501"/>
      <c r="H61" s="502"/>
      <c r="I61" s="502"/>
      <c r="J61" s="502"/>
      <c r="K61" s="502"/>
      <c r="L61" s="503"/>
      <c r="M61" s="504"/>
      <c r="N61" s="2750"/>
      <c r="O61" s="2750"/>
      <c r="P61" s="2759"/>
      <c r="Q61" s="2744"/>
      <c r="R61" s="2742"/>
      <c r="S61" s="2742"/>
      <c r="T61" s="2742"/>
      <c r="U61" s="2742"/>
      <c r="V61" s="2742"/>
      <c r="W61" s="2742"/>
      <c r="X61" s="2742"/>
      <c r="Y61" s="2742"/>
      <c r="Z61" s="2742"/>
      <c r="AA61" s="2742"/>
      <c r="AB61" s="2742"/>
      <c r="AC61" s="2742"/>
    </row>
    <row r="62" spans="1:29" s="420" customFormat="1" ht="15.75" thickBot="1">
      <c r="A62" s="500"/>
      <c r="B62" s="490"/>
      <c r="C62" s="507"/>
      <c r="D62" s="507"/>
      <c r="E62" s="507"/>
      <c r="F62" s="507"/>
      <c r="G62" s="507"/>
      <c r="H62" s="509"/>
      <c r="I62" s="509"/>
      <c r="J62" s="509"/>
      <c r="K62" s="509"/>
      <c r="L62" s="509"/>
      <c r="M62" s="510"/>
      <c r="N62" s="2750"/>
      <c r="O62" s="2750"/>
      <c r="P62" s="2758"/>
      <c r="Q62" s="2741"/>
      <c r="R62" s="2742"/>
      <c r="S62" s="2742"/>
      <c r="T62" s="2742"/>
      <c r="U62" s="2742"/>
      <c r="V62" s="2742"/>
      <c r="W62" s="2742"/>
      <c r="X62" s="2742"/>
      <c r="Y62" s="2742"/>
      <c r="Z62" s="2742"/>
      <c r="AA62" s="2742"/>
      <c r="AB62" s="2742"/>
      <c r="AC62" s="2742"/>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8"/>
      <c r="O63" s="2748"/>
      <c r="P63" s="2761"/>
      <c r="Q63" s="2734"/>
      <c r="R63" s="2720"/>
      <c r="S63" s="2720"/>
      <c r="T63" s="2720"/>
      <c r="U63" s="2720"/>
      <c r="V63" s="2720"/>
      <c r="W63" s="2720"/>
      <c r="X63" s="2720"/>
      <c r="Y63" s="2720"/>
      <c r="Z63" s="2720"/>
      <c r="AA63" s="2720"/>
      <c r="AB63" s="2720"/>
      <c r="AC63" s="2720"/>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9"/>
      <c r="O64" s="2749"/>
      <c r="P64" s="2757"/>
      <c r="Q64" s="2734"/>
      <c r="R64" s="2720"/>
      <c r="S64" s="2720"/>
      <c r="T64" s="2720"/>
      <c r="U64" s="2720"/>
      <c r="V64" s="2720"/>
      <c r="W64" s="2720"/>
      <c r="X64" s="2720"/>
      <c r="Y64" s="2720"/>
      <c r="Z64" s="2720"/>
      <c r="AA64" s="2720"/>
      <c r="AB64" s="2720"/>
      <c r="AC64" s="2720"/>
    </row>
    <row r="65" spans="1:29" ht="15.75" thickTop="1">
      <c r="A65" s="481"/>
      <c r="B65" s="485" t="s">
        <v>1727</v>
      </c>
      <c r="C65" s="525" t="s">
        <v>1721</v>
      </c>
      <c r="D65" s="525" t="s">
        <v>1722</v>
      </c>
      <c r="E65" s="525" t="s">
        <v>1723</v>
      </c>
      <c r="F65" s="525" t="s">
        <v>1724</v>
      </c>
      <c r="G65" s="525" t="s">
        <v>1725</v>
      </c>
      <c r="H65" s="486"/>
      <c r="I65" s="486"/>
      <c r="J65" s="486"/>
      <c r="K65" s="487"/>
      <c r="L65" s="488"/>
      <c r="M65" s="489"/>
      <c r="N65" s="2748"/>
      <c r="O65" s="2748"/>
      <c r="P65" s="2757"/>
      <c r="Q65" s="2734"/>
      <c r="R65" s="2720"/>
      <c r="S65" s="2720"/>
      <c r="T65" s="2720"/>
      <c r="U65" s="2720"/>
      <c r="V65" s="2720"/>
      <c r="W65" s="2720"/>
      <c r="X65" s="2720"/>
      <c r="Y65" s="2720"/>
      <c r="Z65" s="2720"/>
      <c r="AA65" s="2720"/>
      <c r="AB65" s="2720"/>
      <c r="AC65" s="2720"/>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9"/>
      <c r="O66" s="2749"/>
      <c r="P66" s="2757"/>
      <c r="Q66" s="2734"/>
      <c r="R66" s="2720"/>
      <c r="S66" s="2720"/>
      <c r="T66" s="2720"/>
      <c r="U66" s="2720"/>
      <c r="V66" s="2720"/>
      <c r="W66" s="2720"/>
      <c r="X66" s="2720"/>
      <c r="Y66" s="2720"/>
      <c r="Z66" s="2720"/>
      <c r="AA66" s="2720"/>
      <c r="AB66" s="2720"/>
      <c r="AC66" s="2720"/>
    </row>
    <row r="67" spans="1:29" ht="15.75" thickTop="1">
      <c r="A67" s="481"/>
      <c r="B67" s="493" t="s">
        <v>1813</v>
      </c>
      <c r="C67" s="606" t="s">
        <v>1799</v>
      </c>
      <c r="D67" s="606" t="s">
        <v>1800</v>
      </c>
      <c r="E67" s="606" t="s">
        <v>1801</v>
      </c>
      <c r="F67" s="606" t="s">
        <v>1802</v>
      </c>
      <c r="G67" s="606" t="s">
        <v>1803</v>
      </c>
      <c r="H67" s="486"/>
      <c r="I67" s="486"/>
      <c r="J67" s="486"/>
      <c r="K67" s="486"/>
      <c r="L67" s="486"/>
      <c r="M67" s="1124"/>
      <c r="N67" s="2749"/>
      <c r="O67" s="2749"/>
      <c r="P67" s="2757"/>
      <c r="Q67" s="2734"/>
      <c r="R67" s="2720"/>
      <c r="S67" s="2720"/>
      <c r="T67" s="2720"/>
      <c r="U67" s="2720"/>
      <c r="V67" s="2720"/>
      <c r="W67" s="2720"/>
      <c r="X67" s="2720"/>
      <c r="Y67" s="2720"/>
      <c r="Z67" s="2720"/>
      <c r="AA67" s="2720"/>
      <c r="AB67" s="2720"/>
      <c r="AC67" s="2720"/>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9"/>
      <c r="O68" s="2749"/>
      <c r="P68" s="2757"/>
      <c r="Q68" s="2734"/>
      <c r="R68" s="2720"/>
      <c r="S68" s="2720"/>
      <c r="T68" s="2720"/>
      <c r="U68" s="2720"/>
      <c r="V68" s="2720"/>
      <c r="W68" s="2720"/>
      <c r="X68" s="2720"/>
      <c r="Y68" s="2720"/>
      <c r="Z68" s="2720"/>
      <c r="AA68" s="2720"/>
      <c r="AB68" s="2720"/>
      <c r="AC68" s="2720"/>
    </row>
    <row r="69" spans="1:29" ht="15.75" thickTop="1">
      <c r="A69" s="481"/>
      <c r="B69" s="485" t="s">
        <v>1733</v>
      </c>
      <c r="C69" s="525" t="s">
        <v>1721</v>
      </c>
      <c r="D69" s="525" t="s">
        <v>1722</v>
      </c>
      <c r="E69" s="525" t="s">
        <v>1723</v>
      </c>
      <c r="F69" s="525" t="s">
        <v>1724</v>
      </c>
      <c r="G69" s="525" t="s">
        <v>1725</v>
      </c>
      <c r="H69" s="486"/>
      <c r="I69" s="486"/>
      <c r="J69" s="486"/>
      <c r="K69" s="487"/>
      <c r="L69" s="488"/>
      <c r="M69" s="489"/>
      <c r="N69" s="2748"/>
      <c r="O69" s="2748"/>
      <c r="P69" s="2757"/>
      <c r="Q69" s="2734"/>
      <c r="R69" s="2720"/>
      <c r="S69" s="2720"/>
      <c r="T69" s="2720"/>
      <c r="U69" s="2720"/>
      <c r="V69" s="2720"/>
      <c r="W69" s="2720"/>
      <c r="X69" s="2720"/>
      <c r="Y69" s="2720"/>
      <c r="Z69" s="2720"/>
      <c r="AA69" s="2720"/>
      <c r="AB69" s="2720"/>
      <c r="AC69" s="2720"/>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9"/>
      <c r="O70" s="2749"/>
      <c r="P70" s="2757"/>
      <c r="Q70" s="2734"/>
      <c r="R70" s="2720"/>
      <c r="S70" s="2720"/>
      <c r="T70" s="2720"/>
      <c r="U70" s="2720"/>
      <c r="V70" s="2720"/>
      <c r="W70" s="2720"/>
      <c r="X70" s="2720"/>
      <c r="Y70" s="2720"/>
      <c r="Z70" s="2720"/>
      <c r="AA70" s="2720"/>
      <c r="AB70" s="2720"/>
      <c r="AC70" s="2720"/>
    </row>
    <row r="71" spans="1:29" ht="15.75" thickTop="1">
      <c r="A71" s="481"/>
      <c r="B71" s="485" t="s">
        <v>1852</v>
      </c>
      <c r="C71" s="501"/>
      <c r="D71" s="501"/>
      <c r="E71" s="501"/>
      <c r="F71" s="501"/>
      <c r="G71" s="501"/>
      <c r="H71" s="530"/>
      <c r="I71" s="530"/>
      <c r="J71" s="530"/>
      <c r="K71" s="531"/>
      <c r="L71" s="532"/>
      <c r="M71" s="533"/>
      <c r="N71" s="2748"/>
      <c r="O71" s="2748"/>
      <c r="P71" s="2757"/>
      <c r="Q71" s="2734"/>
      <c r="R71" s="2720"/>
      <c r="S71" s="2720"/>
      <c r="T71" s="2720"/>
      <c r="U71" s="2720"/>
      <c r="V71" s="2720"/>
      <c r="W71" s="2720"/>
      <c r="X71" s="2720"/>
      <c r="Y71" s="2720"/>
      <c r="Z71" s="2720"/>
      <c r="AA71" s="2720"/>
      <c r="AB71" s="2720"/>
      <c r="AC71" s="2720"/>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9"/>
      <c r="O72" s="2749"/>
      <c r="P72" s="2757"/>
      <c r="Q72" s="2734"/>
      <c r="R72" s="2720"/>
      <c r="S72" s="2720"/>
      <c r="T72" s="2720"/>
      <c r="U72" s="2720"/>
      <c r="V72" s="2720"/>
      <c r="W72" s="2720"/>
      <c r="X72" s="2720"/>
      <c r="Y72" s="2720"/>
      <c r="Z72" s="2720"/>
      <c r="AA72" s="2720"/>
      <c r="AB72" s="2720"/>
      <c r="AC72" s="2720"/>
    </row>
    <row r="73" spans="1:29" s="106" customFormat="1" ht="15.75" thickTop="1">
      <c r="A73" s="526"/>
      <c r="B73" s="485">
        <f>B23</f>
        <v>111</v>
      </c>
      <c r="C73" s="496"/>
      <c r="D73" s="496"/>
      <c r="E73" s="496"/>
      <c r="F73" s="496"/>
      <c r="G73" s="501"/>
      <c r="H73" s="501"/>
      <c r="I73" s="501"/>
      <c r="J73" s="501"/>
      <c r="K73" s="501"/>
      <c r="L73" s="527"/>
      <c r="M73" s="528"/>
      <c r="N73" s="2747"/>
      <c r="O73" s="2747"/>
      <c r="P73" s="2757"/>
      <c r="Q73" s="2734"/>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9"/>
      <c r="O74" s="2749"/>
      <c r="P74" s="2757"/>
      <c r="Q74" s="2734"/>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7"/>
      <c r="O75" s="2747"/>
      <c r="P75" s="2757"/>
      <c r="Q75" s="2734"/>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9"/>
      <c r="O76" s="2749"/>
      <c r="P76" s="2757"/>
      <c r="Q76" s="2734"/>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50"/>
      <c r="O77" s="2750"/>
      <c r="P77" s="2758"/>
      <c r="Q77" s="2741"/>
      <c r="R77" s="2742"/>
      <c r="S77" s="2742"/>
      <c r="T77" s="2742"/>
      <c r="U77" s="2742"/>
      <c r="V77" s="2742"/>
      <c r="W77" s="2742"/>
      <c r="X77" s="2742"/>
      <c r="Y77" s="2742"/>
      <c r="Z77" s="2742"/>
      <c r="AA77" s="2742"/>
      <c r="AB77" s="2742"/>
      <c r="AC77" s="2742"/>
    </row>
    <row r="78" spans="1:29" s="420" customFormat="1" ht="15.75" thickBot="1">
      <c r="A78" s="500"/>
      <c r="B78" s="490"/>
      <c r="C78" s="507"/>
      <c r="D78" s="507"/>
      <c r="E78" s="507"/>
      <c r="F78" s="507"/>
      <c r="G78" s="483"/>
      <c r="H78" s="483"/>
      <c r="I78" s="483"/>
      <c r="J78" s="483"/>
      <c r="K78" s="483"/>
      <c r="L78" s="483"/>
      <c r="M78" s="484"/>
      <c r="N78" s="2750"/>
      <c r="O78" s="2750"/>
      <c r="P78" s="2758"/>
      <c r="Q78" s="2741"/>
      <c r="R78" s="2742"/>
      <c r="S78" s="2742"/>
      <c r="T78" s="2742"/>
      <c r="U78" s="2742"/>
      <c r="V78" s="2742"/>
      <c r="W78" s="2742"/>
      <c r="X78" s="2742"/>
      <c r="Y78" s="2742"/>
      <c r="Z78" s="2742"/>
      <c r="AA78" s="2742"/>
      <c r="AB78" s="2742"/>
      <c r="AC78" s="2742"/>
    </row>
    <row r="79" spans="1:29" ht="27.75" thickTop="1">
      <c r="A79" s="474" t="s">
        <v>1694</v>
      </c>
      <c r="B79" s="475" t="s">
        <v>1853</v>
      </c>
      <c r="C79" s="476" t="str">
        <f>C26</f>
        <v>车库</v>
      </c>
      <c r="D79" s="477"/>
      <c r="E79" s="477"/>
      <c r="F79" s="477"/>
      <c r="G79" s="477"/>
      <c r="H79" s="477"/>
      <c r="I79" s="477"/>
      <c r="J79" s="477"/>
      <c r="K79" s="478"/>
      <c r="L79" s="479"/>
      <c r="M79" s="480"/>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1"/>
      <c r="B81" s="485" t="s">
        <v>1854</v>
      </c>
      <c r="C81" s="607"/>
      <c r="D81" s="607"/>
      <c r="E81" s="607"/>
      <c r="F81" s="607"/>
      <c r="G81" s="607"/>
      <c r="H81" s="607"/>
      <c r="I81" s="607"/>
      <c r="J81" s="607"/>
      <c r="K81" s="608"/>
      <c r="L81" s="609"/>
      <c r="M81" s="610"/>
      <c r="N81" s="2747"/>
      <c r="O81" s="2747"/>
      <c r="P81" s="2757"/>
      <c r="Q81" s="2734"/>
      <c r="R81" s="2720"/>
      <c r="S81" s="2720"/>
      <c r="T81" s="2720"/>
      <c r="U81" s="2720"/>
      <c r="V81" s="2720"/>
      <c r="W81" s="2720"/>
      <c r="X81" s="2720"/>
      <c r="Y81" s="2720"/>
      <c r="Z81" s="2720"/>
      <c r="AA81" s="2720"/>
      <c r="AB81" s="2720"/>
      <c r="AC81" s="2720"/>
    </row>
    <row r="82" spans="1:29" s="420" customFormat="1" ht="15.75" thickBot="1">
      <c r="A82" s="500"/>
      <c r="B82" s="490"/>
      <c r="C82" s="507"/>
      <c r="D82" s="483"/>
      <c r="E82" s="483"/>
      <c r="F82" s="483"/>
      <c r="G82" s="483"/>
      <c r="H82" s="483"/>
      <c r="I82" s="483"/>
      <c r="J82" s="483"/>
      <c r="K82" s="483"/>
      <c r="L82" s="483"/>
      <c r="M82" s="484"/>
      <c r="N82" s="2749"/>
      <c r="O82" s="2749"/>
      <c r="P82" s="2758"/>
      <c r="Q82" s="2741"/>
      <c r="R82" s="2742"/>
      <c r="S82" s="2742"/>
      <c r="T82" s="2742"/>
      <c r="U82" s="2742"/>
      <c r="V82" s="2742"/>
      <c r="W82" s="2742"/>
      <c r="X82" s="2742"/>
      <c r="Y82" s="2742"/>
      <c r="Z82" s="2742"/>
      <c r="AA82" s="2742"/>
      <c r="AB82" s="2742"/>
      <c r="AC82" s="2742"/>
    </row>
    <row r="83" spans="1:29" ht="15" thickTop="1">
      <c r="A83" s="546"/>
      <c r="B83" s="485" t="s">
        <v>1740</v>
      </c>
      <c r="C83" s="501"/>
      <c r="D83" s="501"/>
      <c r="E83" s="530"/>
      <c r="F83" s="530"/>
      <c r="G83" s="530"/>
      <c r="H83" s="530"/>
      <c r="I83" s="530"/>
      <c r="J83" s="530"/>
      <c r="K83" s="531"/>
      <c r="L83" s="532"/>
      <c r="M83" s="533"/>
      <c r="N83" s="2748"/>
      <c r="O83" s="2748"/>
      <c r="P83" s="2757"/>
      <c r="Q83" s="2734"/>
      <c r="R83" s="2720"/>
      <c r="S83" s="2720"/>
      <c r="T83" s="2720"/>
      <c r="U83" s="2720"/>
      <c r="V83" s="2720"/>
      <c r="W83" s="2720"/>
      <c r="X83" s="2720"/>
      <c r="Y83" s="2720"/>
      <c r="Z83" s="2720"/>
      <c r="AA83" s="2720"/>
      <c r="AB83" s="2720"/>
      <c r="AC83" s="2720"/>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8"/>
      <c r="O85" s="2748"/>
      <c r="P85" s="2757"/>
      <c r="Q85" s="2734"/>
      <c r="R85" s="2720"/>
      <c r="S85" s="2720"/>
      <c r="T85" s="2720"/>
      <c r="U85" s="2720"/>
      <c r="V85" s="2720"/>
      <c r="W85" s="2720"/>
      <c r="X85" s="2720"/>
      <c r="Y85" s="2720"/>
      <c r="Z85" s="2720"/>
      <c r="AA85" s="2720"/>
      <c r="AB85" s="2720"/>
      <c r="AC85" s="2720"/>
    </row>
    <row r="86" spans="1:29">
      <c r="A86" s="546"/>
      <c r="B86" s="493"/>
      <c r="C86" s="550">
        <v>0.5</v>
      </c>
      <c r="D86" s="550">
        <v>0.6</v>
      </c>
      <c r="E86" s="550">
        <v>0.7</v>
      </c>
      <c r="F86" s="550">
        <v>0.8</v>
      </c>
      <c r="G86" s="550">
        <v>0.9</v>
      </c>
      <c r="H86" s="550">
        <v>1.0001</v>
      </c>
      <c r="I86" s="569"/>
      <c r="J86" s="569"/>
      <c r="K86" s="570"/>
      <c r="L86" s="571"/>
      <c r="M86" s="572"/>
      <c r="N86" s="2748"/>
      <c r="O86" s="2748"/>
      <c r="P86" s="2757"/>
      <c r="Q86" s="2734"/>
      <c r="R86" s="2720"/>
      <c r="S86" s="2720"/>
      <c r="T86" s="2720"/>
      <c r="U86" s="2720"/>
      <c r="V86" s="2720"/>
      <c r="W86" s="2720"/>
      <c r="X86" s="2720"/>
      <c r="Y86" s="2720"/>
      <c r="Z86" s="2720"/>
      <c r="AA86" s="2720"/>
      <c r="AB86" s="2720"/>
      <c r="AC86" s="2720"/>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6"/>
      <c r="B88" s="493" t="s">
        <v>1856</v>
      </c>
      <c r="C88" s="477"/>
      <c r="D88" s="477"/>
      <c r="E88" s="477"/>
      <c r="F88" s="477"/>
      <c r="G88" s="477"/>
      <c r="H88" s="477"/>
      <c r="I88" s="477"/>
      <c r="J88" s="477"/>
      <c r="K88" s="478"/>
      <c r="L88" s="479"/>
      <c r="M88" s="480"/>
      <c r="N88" s="2748"/>
      <c r="O88" s="2748"/>
      <c r="P88" s="2757"/>
      <c r="Q88" s="2734"/>
      <c r="R88" s="2720"/>
      <c r="S88" s="2720"/>
      <c r="T88" s="2720"/>
      <c r="U88" s="2720"/>
      <c r="V88" s="2720"/>
      <c r="W88" s="2720"/>
      <c r="X88" s="2720"/>
      <c r="Y88" s="2720"/>
      <c r="Z88" s="2720"/>
      <c r="AA88" s="2720"/>
      <c r="AB88" s="2720"/>
      <c r="AC88" s="2720"/>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9"/>
      <c r="O89" s="2749"/>
      <c r="P89" s="2757"/>
      <c r="Q89" s="2734"/>
      <c r="R89" s="2720"/>
      <c r="S89" s="2720"/>
      <c r="T89" s="2720"/>
      <c r="U89" s="2720"/>
      <c r="V89" s="2720"/>
      <c r="W89" s="2720"/>
      <c r="X89" s="2720"/>
      <c r="Y89" s="2720"/>
      <c r="Z89" s="2720"/>
      <c r="AA89" s="2720"/>
      <c r="AB89" s="2720"/>
      <c r="AC89" s="2720"/>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0"/>
      <c r="O90" s="2750"/>
      <c r="P90" s="2758"/>
      <c r="Q90" s="2741"/>
      <c r="R90" s="2742"/>
      <c r="S90" s="2742"/>
      <c r="T90" s="2742"/>
      <c r="U90" s="2742"/>
      <c r="V90" s="2742"/>
      <c r="W90" s="2742"/>
      <c r="X90" s="2742"/>
      <c r="Y90" s="2742"/>
      <c r="Z90" s="2742"/>
      <c r="AA90" s="2742"/>
      <c r="AB90" s="2742"/>
      <c r="AC90" s="2742"/>
    </row>
    <row r="91" spans="1:29" s="420" customFormat="1">
      <c r="A91" s="540"/>
      <c r="B91" s="493"/>
      <c r="C91" s="542"/>
      <c r="D91" s="542"/>
      <c r="E91" s="542"/>
      <c r="F91" s="542"/>
      <c r="G91" s="542"/>
      <c r="H91" s="542"/>
      <c r="I91" s="542"/>
      <c r="J91" s="543"/>
      <c r="K91" s="543"/>
      <c r="L91" s="544"/>
      <c r="M91" s="545"/>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07"/>
      <c r="D92" s="483"/>
      <c r="E92" s="483"/>
      <c r="F92" s="483"/>
      <c r="G92" s="483"/>
      <c r="H92" s="483"/>
      <c r="I92" s="483"/>
      <c r="J92" s="483"/>
      <c r="K92" s="483"/>
      <c r="L92" s="483"/>
      <c r="M92" s="484"/>
      <c r="N92" s="2750"/>
      <c r="O92" s="2750"/>
      <c r="P92" s="2758"/>
      <c r="Q92" s="2741"/>
      <c r="R92" s="2742"/>
      <c r="S92" s="2742"/>
      <c r="T92" s="2742"/>
      <c r="U92" s="2742"/>
      <c r="V92" s="2742"/>
      <c r="W92" s="2742"/>
      <c r="X92" s="2742"/>
      <c r="Y92" s="2742"/>
      <c r="Z92" s="2742"/>
      <c r="AA92" s="2742"/>
      <c r="AB92" s="2742"/>
      <c r="AC92" s="2742"/>
    </row>
    <row r="93" spans="1:29" ht="15" thickTop="1">
      <c r="A93" s="546"/>
      <c r="B93" s="485" t="s">
        <v>1858</v>
      </c>
      <c r="C93" s="501"/>
      <c r="D93" s="501"/>
      <c r="E93" s="530"/>
      <c r="F93" s="530"/>
      <c r="G93" s="530"/>
      <c r="H93" s="530"/>
      <c r="I93" s="530"/>
      <c r="J93" s="530"/>
      <c r="K93" s="531"/>
      <c r="L93" s="532"/>
      <c r="M93" s="533"/>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6"/>
      <c r="B95" s="485" t="s">
        <v>1859</v>
      </c>
      <c r="C95" s="477"/>
      <c r="D95" s="477"/>
      <c r="E95" s="477"/>
      <c r="F95" s="477"/>
      <c r="G95" s="477"/>
      <c r="H95" s="477"/>
      <c r="I95" s="477"/>
      <c r="J95" s="477"/>
      <c r="K95" s="478"/>
      <c r="L95" s="479"/>
      <c r="M95" s="480"/>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9"/>
      <c r="O96" s="2749"/>
      <c r="P96" s="2757"/>
      <c r="Q96" s="2734"/>
      <c r="R96" s="2720"/>
      <c r="S96" s="2720"/>
      <c r="T96" s="2720"/>
      <c r="U96" s="2720"/>
      <c r="V96" s="2720"/>
      <c r="W96" s="2720"/>
      <c r="X96" s="2720"/>
      <c r="Y96" s="2720"/>
      <c r="Z96" s="2720"/>
      <c r="AA96" s="2720"/>
      <c r="AB96" s="2720"/>
      <c r="AC96" s="2720"/>
    </row>
    <row r="97" spans="1:29" ht="15" thickTop="1">
      <c r="A97" s="546"/>
      <c r="B97" s="582">
        <f>B34</f>
        <v>111</v>
      </c>
      <c r="C97" s="496"/>
      <c r="D97" s="496"/>
      <c r="E97" s="496"/>
      <c r="F97" s="496"/>
      <c r="G97" s="501"/>
      <c r="H97" s="502"/>
      <c r="I97" s="502"/>
      <c r="J97" s="502"/>
      <c r="K97" s="502"/>
      <c r="L97" s="503"/>
      <c r="M97" s="504"/>
      <c r="N97" s="2749"/>
      <c r="O97" s="2749"/>
      <c r="P97" s="2762"/>
      <c r="Q97" s="2763"/>
      <c r="R97" s="2720"/>
      <c r="S97" s="2720"/>
      <c r="T97" s="2720"/>
      <c r="U97" s="2720"/>
      <c r="V97" s="2720"/>
      <c r="W97" s="2720"/>
      <c r="X97" s="2720"/>
      <c r="Y97" s="2720"/>
      <c r="Z97" s="2720"/>
      <c r="AA97" s="2720"/>
      <c r="AB97" s="2720"/>
      <c r="AC97" s="2720"/>
    </row>
    <row r="98" spans="1:29" ht="15.75" thickBot="1">
      <c r="A98" s="481"/>
      <c r="B98" s="490"/>
      <c r="C98" s="507"/>
      <c r="D98" s="483"/>
      <c r="E98" s="483"/>
      <c r="F98" s="483"/>
      <c r="G98" s="507"/>
      <c r="H98" s="509"/>
      <c r="I98" s="509"/>
      <c r="J98" s="509"/>
      <c r="K98" s="509"/>
      <c r="L98" s="509"/>
      <c r="M98" s="510"/>
      <c r="N98" s="2749"/>
      <c r="O98" s="2749"/>
      <c r="P98" s="2757"/>
      <c r="Q98" s="2734"/>
      <c r="R98" s="2720"/>
      <c r="S98" s="2720"/>
      <c r="T98" s="2720"/>
      <c r="U98" s="2720"/>
      <c r="V98" s="2720"/>
      <c r="W98" s="2720"/>
      <c r="X98" s="2720"/>
      <c r="Y98" s="2720"/>
      <c r="Z98" s="2720"/>
      <c r="AA98" s="2720"/>
      <c r="AB98" s="2720"/>
      <c r="AC98" s="2720"/>
    </row>
    <row r="99" spans="1:29" s="420" customFormat="1" ht="15" thickTop="1">
      <c r="A99" s="540"/>
      <c r="B99" s="485">
        <f>B35</f>
        <v>111</v>
      </c>
      <c r="C99" s="496"/>
      <c r="D99" s="496"/>
      <c r="E99" s="496"/>
      <c r="F99" s="496"/>
      <c r="G99" s="501"/>
      <c r="H99" s="502"/>
      <c r="I99" s="502"/>
      <c r="J99" s="502"/>
      <c r="K99" s="502"/>
      <c r="L99" s="503"/>
      <c r="M99" s="504"/>
      <c r="N99" s="2750"/>
      <c r="O99" s="2750"/>
      <c r="P99" s="2758"/>
      <c r="Q99" s="2741"/>
      <c r="R99" s="2742"/>
      <c r="S99" s="2742"/>
      <c r="T99" s="2742"/>
      <c r="U99" s="2742"/>
      <c r="V99" s="2742"/>
      <c r="W99" s="2742"/>
      <c r="X99" s="2742"/>
      <c r="Y99" s="2742"/>
      <c r="Z99" s="2742"/>
      <c r="AA99" s="2742"/>
      <c r="AB99" s="2742"/>
      <c r="AC99" s="2742"/>
    </row>
    <row r="100" spans="1:29" s="420" customFormat="1" ht="15.75" thickBot="1">
      <c r="A100" s="500"/>
      <c r="B100" s="482"/>
      <c r="C100" s="507"/>
      <c r="D100" s="483"/>
      <c r="E100" s="483"/>
      <c r="F100" s="483"/>
      <c r="G100" s="507"/>
      <c r="H100" s="509"/>
      <c r="I100" s="509"/>
      <c r="J100" s="509"/>
      <c r="K100" s="509"/>
      <c r="L100" s="509"/>
      <c r="M100" s="510"/>
      <c r="N100" s="2750"/>
      <c r="O100" s="2750"/>
      <c r="P100" s="2758"/>
      <c r="Q100" s="2741"/>
      <c r="R100" s="2742"/>
      <c r="S100" s="2742"/>
      <c r="T100" s="2742"/>
      <c r="U100" s="2742"/>
      <c r="V100" s="2742"/>
      <c r="W100" s="2742"/>
      <c r="X100" s="2742"/>
      <c r="Y100" s="2742"/>
      <c r="Z100" s="2742"/>
      <c r="AA100" s="2742"/>
      <c r="AB100" s="2742"/>
      <c r="AC100" s="2742"/>
    </row>
    <row r="101" spans="1:29" ht="15" thickTop="1">
      <c r="A101" s="546"/>
      <c r="B101" s="485">
        <f>B36</f>
        <v>111</v>
      </c>
      <c r="C101" s="501"/>
      <c r="D101" s="501"/>
      <c r="E101" s="501"/>
      <c r="F101" s="501"/>
      <c r="G101" s="501"/>
      <c r="H101" s="502"/>
      <c r="I101" s="502"/>
      <c r="J101" s="502"/>
      <c r="K101" s="502"/>
      <c r="L101" s="503"/>
      <c r="M101" s="504"/>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507"/>
      <c r="D102" s="507"/>
      <c r="E102" s="507"/>
      <c r="F102" s="507"/>
      <c r="G102" s="507"/>
      <c r="H102" s="509"/>
      <c r="I102" s="509"/>
      <c r="J102" s="509"/>
      <c r="K102" s="509"/>
      <c r="L102" s="509"/>
      <c r="M102" s="510"/>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3299</v>
      </c>
      <c r="C1" s="1219" t="s">
        <v>1662</v>
      </c>
      <c r="D1" s="1220"/>
      <c r="E1" s="3358"/>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83" t="s">
        <v>1770</v>
      </c>
      <c r="D4" s="4084"/>
      <c r="E4" s="4085" t="s">
        <v>1771</v>
      </c>
      <c r="F4" s="4086"/>
      <c r="G4" s="4083" t="s">
        <v>1772</v>
      </c>
      <c r="H4" s="4084"/>
      <c r="I4" s="4083" t="s">
        <v>1773</v>
      </c>
      <c r="J4" s="4084"/>
      <c r="K4" s="557" t="s">
        <v>1774</v>
      </c>
      <c r="L4" s="2710"/>
      <c r="M4" s="2711"/>
      <c r="N4" s="2711"/>
      <c r="O4" s="2711"/>
      <c r="P4" s="4087" t="s">
        <v>1775</v>
      </c>
      <c r="Q4" s="4088"/>
      <c r="R4" s="4093" t="s">
        <v>1771</v>
      </c>
      <c r="S4" s="4094"/>
      <c r="T4" s="4093" t="s">
        <v>1772</v>
      </c>
      <c r="U4" s="4094"/>
      <c r="V4" s="4099" t="s">
        <v>1773</v>
      </c>
      <c r="W4" s="4099"/>
      <c r="X4" s="1350"/>
      <c r="Y4" s="4093" t="s">
        <v>1775</v>
      </c>
      <c r="Z4" s="4094"/>
      <c r="AA4" s="4080" t="s">
        <v>1771</v>
      </c>
      <c r="AB4" s="4081" t="s">
        <v>1772</v>
      </c>
      <c r="AC4" s="4080" t="s">
        <v>1773</v>
      </c>
    </row>
    <row r="5" spans="1:29" ht="15">
      <c r="A5" s="356"/>
      <c r="B5" s="357"/>
      <c r="C5" s="4102" t="s">
        <v>1673</v>
      </c>
      <c r="D5" s="4103"/>
      <c r="E5" s="4109" t="s">
        <v>1674</v>
      </c>
      <c r="F5" s="4110"/>
      <c r="G5" s="4102" t="s">
        <v>1675</v>
      </c>
      <c r="H5" s="4103"/>
      <c r="I5" s="4102" t="s">
        <v>1676</v>
      </c>
      <c r="J5" s="4103"/>
      <c r="K5" s="557"/>
      <c r="L5" s="2710"/>
      <c r="M5" s="2711"/>
      <c r="N5" s="2711"/>
      <c r="O5" s="2711"/>
      <c r="P5" s="4089"/>
      <c r="Q5" s="4090"/>
      <c r="R5" s="4095"/>
      <c r="S5" s="4096"/>
      <c r="T5" s="4095"/>
      <c r="U5" s="4096"/>
      <c r="V5" s="4099"/>
      <c r="W5" s="4099"/>
      <c r="X5" s="1350"/>
      <c r="Y5" s="4095"/>
      <c r="Z5" s="4096"/>
      <c r="AA5" s="4081"/>
      <c r="AB5" s="4081"/>
      <c r="AC5" s="4081"/>
    </row>
    <row r="6" spans="1:29" ht="15.75" thickBot="1">
      <c r="A6" s="358"/>
      <c r="B6" s="359"/>
      <c r="C6" s="4100" t="s">
        <v>1677</v>
      </c>
      <c r="D6" s="4101"/>
      <c r="E6" s="4107" t="s">
        <v>1677</v>
      </c>
      <c r="F6" s="4108"/>
      <c r="G6" s="4100" t="s">
        <v>1677</v>
      </c>
      <c r="H6" s="4101"/>
      <c r="I6" s="4100" t="s">
        <v>1677</v>
      </c>
      <c r="J6" s="4101"/>
      <c r="K6" s="557" t="s">
        <v>1678</v>
      </c>
      <c r="L6" s="2710"/>
      <c r="M6" s="2711"/>
      <c r="N6" s="2711"/>
      <c r="O6" s="2711"/>
      <c r="P6" s="4091"/>
      <c r="Q6" s="4092"/>
      <c r="R6" s="4095"/>
      <c r="S6" s="4096"/>
      <c r="T6" s="4097"/>
      <c r="U6" s="4098"/>
      <c r="V6" s="4099"/>
      <c r="W6" s="4099"/>
      <c r="X6" s="1350"/>
      <c r="Y6" s="4097"/>
      <c r="Z6" s="4098"/>
      <c r="AA6" s="4082"/>
      <c r="AB6" s="4082"/>
      <c r="AC6" s="4082"/>
    </row>
    <row r="7" spans="1:29" s="106" customFormat="1" ht="15.75" thickBot="1">
      <c r="A7" s="360" t="s">
        <v>1679</v>
      </c>
      <c r="B7" s="361"/>
      <c r="C7" s="362">
        <f>'数据-取费表'!B2</f>
        <v>45226</v>
      </c>
      <c r="D7" s="363">
        <v>100</v>
      </c>
      <c r="E7" s="364"/>
      <c r="F7" s="365">
        <f>SUMIF(46:46,YEAR(E7)&amp;"-"&amp;MONTH(E7),47:47)</f>
        <v>0</v>
      </c>
      <c r="G7" s="1969"/>
      <c r="H7" s="363">
        <f>SUMIF(46:46,YEAR(G7)&amp;"-"&amp;MONTH(G7),47:47)</f>
        <v>0</v>
      </c>
      <c r="I7" s="364"/>
      <c r="J7" s="363">
        <f>SUMIF(46:46,YEAR(I7)&amp;"-"&amp;MONTH(I7),47:47)</f>
        <v>0</v>
      </c>
      <c r="K7" s="558"/>
      <c r="L7" s="2712"/>
      <c r="M7" s="2713"/>
      <c r="N7" s="2713"/>
      <c r="O7" s="2713"/>
      <c r="P7" s="4104" t="s">
        <v>1680</v>
      </c>
      <c r="Q7" s="4106"/>
      <c r="R7" s="699" t="s">
        <v>14</v>
      </c>
      <c r="S7" s="700">
        <f t="shared" ref="S7:S14" si="0">F7</f>
        <v>0</v>
      </c>
      <c r="T7" s="699" t="s">
        <v>14</v>
      </c>
      <c r="U7" s="700">
        <f t="shared" ref="U7:U14" si="1">H7</f>
        <v>0</v>
      </c>
      <c r="V7" s="699" t="s">
        <v>14</v>
      </c>
      <c r="W7" s="700">
        <f t="shared" ref="W7:W14" si="2">J7</f>
        <v>0</v>
      </c>
      <c r="X7" s="701"/>
      <c r="Y7" s="4104" t="s">
        <v>1680</v>
      </c>
      <c r="Z7" s="4105"/>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2"/>
      <c r="M8" s="2713"/>
      <c r="N8" s="2713"/>
      <c r="O8" s="2713"/>
      <c r="P8" s="4104" t="s">
        <v>1683</v>
      </c>
      <c r="Q8" s="4105"/>
      <c r="R8" s="699" t="s">
        <v>14</v>
      </c>
      <c r="S8" s="700">
        <f t="shared" si="0"/>
        <v>100</v>
      </c>
      <c r="T8" s="699" t="s">
        <v>14</v>
      </c>
      <c r="U8" s="700">
        <f t="shared" si="1"/>
        <v>100</v>
      </c>
      <c r="V8" s="699" t="s">
        <v>14</v>
      </c>
      <c r="W8" s="700">
        <f t="shared" si="2"/>
        <v>100</v>
      </c>
      <c r="X8" s="701"/>
      <c r="Y8" s="4104" t="s">
        <v>1683</v>
      </c>
      <c r="Z8" s="4105"/>
      <c r="AA8" s="702">
        <f t="shared" ref="AA8:AA34" si="3">D8/F8</f>
        <v>1</v>
      </c>
      <c r="AB8" s="702">
        <f t="shared" ref="AB8:AB34" si="4">D8/H8</f>
        <v>1</v>
      </c>
      <c r="AC8" s="702">
        <f t="shared" ref="AC8:AC34" si="5">D8/J8</f>
        <v>1</v>
      </c>
    </row>
    <row r="9" spans="1:29" s="106" customFormat="1">
      <c r="A9" s="367" t="s">
        <v>1684</v>
      </c>
      <c r="B9" s="61" t="s">
        <v>1685</v>
      </c>
      <c r="C9" s="368"/>
      <c r="D9" s="124">
        <v>100</v>
      </c>
      <c r="E9" s="371"/>
      <c r="F9" s="370">
        <f>SUMIF(51:51,E9,52:52)-SUMIF(51:51,C9,52:52)+100</f>
        <v>100</v>
      </c>
      <c r="G9" s="371"/>
      <c r="H9" s="124">
        <f>SUMIF(51:51,G9,52:52)-SUMIF(51:51,C9,52:52)+100</f>
        <v>100</v>
      </c>
      <c r="I9" s="371"/>
      <c r="J9" s="124">
        <f>SUMIF(51:51,I9,52:52)-SUMIF(51:51,C9,52:52)+100</f>
        <v>100</v>
      </c>
      <c r="K9" s="558"/>
      <c r="L9" s="2712"/>
      <c r="M9" s="2713"/>
      <c r="N9" s="2713"/>
      <c r="O9" s="2767"/>
      <c r="P9" s="4068" t="s">
        <v>1686</v>
      </c>
      <c r="Q9" s="1338" t="str">
        <f t="shared" ref="Q9:Q14" si="6">B9</f>
        <v>用途</v>
      </c>
      <c r="R9" s="699" t="s">
        <v>14</v>
      </c>
      <c r="S9" s="700">
        <f t="shared" si="0"/>
        <v>100</v>
      </c>
      <c r="T9" s="699" t="s">
        <v>14</v>
      </c>
      <c r="U9" s="700">
        <f t="shared" si="1"/>
        <v>100</v>
      </c>
      <c r="V9" s="699" t="s">
        <v>14</v>
      </c>
      <c r="W9" s="700">
        <f t="shared" si="2"/>
        <v>100</v>
      </c>
      <c r="X9" s="701"/>
      <c r="Y9" s="3943" t="s">
        <v>1687</v>
      </c>
      <c r="Z9" s="50" t="str">
        <f t="shared" ref="Z9:Z14" si="7">Q9</f>
        <v>用途</v>
      </c>
      <c r="AA9" s="702">
        <f t="shared" si="3"/>
        <v>1</v>
      </c>
      <c r="AB9" s="702">
        <f t="shared" si="4"/>
        <v>1</v>
      </c>
      <c r="AC9" s="702">
        <f t="shared" si="5"/>
        <v>1</v>
      </c>
    </row>
    <row r="10" spans="1:29" s="376" customFormat="1" ht="27">
      <c r="A10" s="372"/>
      <c r="B10" s="373" t="s">
        <v>1688</v>
      </c>
      <c r="C10" s="3359"/>
      <c r="D10" s="125">
        <v>100</v>
      </c>
      <c r="E10" s="3359"/>
      <c r="F10" s="374">
        <f>SUMIF(53:53,E10,54:54)-SUMIF(53:53,C10,54:54)+100</f>
        <v>100</v>
      </c>
      <c r="G10" s="3359"/>
      <c r="H10" s="125">
        <f>SUMIF(53:53,G10,54:54)-SUMIF(53:53,C10,54:54)+100</f>
        <v>100</v>
      </c>
      <c r="I10" s="3359"/>
      <c r="J10" s="125">
        <f>SUMIF(53:53,I10,54:54)-SUMIF(53:53,C10,54:54)+100</f>
        <v>100</v>
      </c>
      <c r="K10" s="558"/>
      <c r="L10" s="2714"/>
      <c r="M10" s="2715"/>
      <c r="N10" s="2715"/>
      <c r="O10" s="2768"/>
      <c r="P10" s="4068"/>
      <c r="Q10" s="1338" t="str">
        <f t="shared" si="6"/>
        <v>土地使用年限（年）</v>
      </c>
      <c r="R10" s="699" t="s">
        <v>14</v>
      </c>
      <c r="S10" s="700">
        <f t="shared" si="0"/>
        <v>100</v>
      </c>
      <c r="T10" s="699" t="s">
        <v>14</v>
      </c>
      <c r="U10" s="700">
        <f t="shared" si="1"/>
        <v>100</v>
      </c>
      <c r="V10" s="699" t="s">
        <v>14</v>
      </c>
      <c r="W10" s="700">
        <f t="shared" si="2"/>
        <v>100</v>
      </c>
      <c r="X10" s="701"/>
      <c r="Y10" s="3943"/>
      <c r="Z10" s="50" t="str">
        <f t="shared" si="7"/>
        <v>土地使用年限（年）</v>
      </c>
      <c r="AA10" s="702">
        <f t="shared" si="3"/>
        <v>1</v>
      </c>
      <c r="AB10" s="702">
        <f t="shared" si="4"/>
        <v>1</v>
      </c>
      <c r="AC10" s="702">
        <f t="shared" si="5"/>
        <v>1</v>
      </c>
    </row>
    <row r="11" spans="1:29" ht="15">
      <c r="A11" s="377"/>
      <c r="B11" s="1888">
        <v>111</v>
      </c>
      <c r="C11" s="381"/>
      <c r="D11" s="125">
        <v>100</v>
      </c>
      <c r="E11" s="418"/>
      <c r="F11" s="374">
        <f>SUMIF(55:55,E11,56:56)-SUMIF(55:55,C11,56:56)+100</f>
        <v>100</v>
      </c>
      <c r="G11" s="418"/>
      <c r="H11" s="125">
        <f>SUMIF(55:55,G11,56:56)-SUMIF(55:55,C11,56:56)+100</f>
        <v>100</v>
      </c>
      <c r="I11" s="418"/>
      <c r="J11" s="125">
        <f>SUMIF(55:55,I11,56:56)-SUMIF(55:55,C11,56:56)+100</f>
        <v>100</v>
      </c>
      <c r="K11" s="560"/>
      <c r="L11" s="2716"/>
      <c r="M11" s="2711"/>
      <c r="N11" s="2711"/>
      <c r="O11" s="2769"/>
      <c r="P11" s="4068"/>
      <c r="Q11" s="1338">
        <f t="shared" si="6"/>
        <v>111</v>
      </c>
      <c r="R11" s="699" t="s">
        <v>14</v>
      </c>
      <c r="S11" s="700">
        <f t="shared" si="0"/>
        <v>100</v>
      </c>
      <c r="T11" s="699" t="s">
        <v>14</v>
      </c>
      <c r="U11" s="700">
        <f t="shared" si="1"/>
        <v>100</v>
      </c>
      <c r="V11" s="699" t="s">
        <v>14</v>
      </c>
      <c r="W11" s="700">
        <f t="shared" si="2"/>
        <v>100</v>
      </c>
      <c r="X11" s="701"/>
      <c r="Y11" s="3943"/>
      <c r="Z11" s="50">
        <f t="shared" si="7"/>
        <v>111</v>
      </c>
      <c r="AA11" s="702">
        <f t="shared" si="3"/>
        <v>1</v>
      </c>
      <c r="AB11" s="702">
        <f t="shared" si="4"/>
        <v>1</v>
      </c>
      <c r="AC11" s="702">
        <f t="shared" si="5"/>
        <v>1</v>
      </c>
    </row>
    <row r="12" spans="1:29" s="106" customFormat="1" ht="15">
      <c r="A12" s="380"/>
      <c r="B12" s="1888">
        <v>111</v>
      </c>
      <c r="C12" s="381"/>
      <c r="D12" s="382">
        <v>100</v>
      </c>
      <c r="E12" s="418"/>
      <c r="F12" s="374">
        <f>SUMIF(57:57,E12,58:58)-SUMIF(57:57,C12,58:58)+100</f>
        <v>100</v>
      </c>
      <c r="G12" s="418"/>
      <c r="H12" s="125">
        <f>SUMIF(57:57,G12,58:58)-SUMIF(57:57,C12,58:58)+100</f>
        <v>100</v>
      </c>
      <c r="I12" s="418"/>
      <c r="J12" s="125">
        <f>SUMIF(57:57,I12,58:58)-SUMIF(57:57,C12,58:58)+100</f>
        <v>100</v>
      </c>
      <c r="K12" s="560"/>
      <c r="L12" s="2712"/>
      <c r="M12" s="2713"/>
      <c r="N12" s="2713"/>
      <c r="O12" s="2767"/>
      <c r="P12" s="4068"/>
      <c r="Q12" s="1338">
        <f t="shared" si="6"/>
        <v>111</v>
      </c>
      <c r="R12" s="699" t="s">
        <v>14</v>
      </c>
      <c r="S12" s="700">
        <f t="shared" si="0"/>
        <v>100</v>
      </c>
      <c r="T12" s="699" t="s">
        <v>14</v>
      </c>
      <c r="U12" s="700">
        <f t="shared" si="1"/>
        <v>100</v>
      </c>
      <c r="V12" s="699" t="s">
        <v>14</v>
      </c>
      <c r="W12" s="700">
        <f t="shared" si="2"/>
        <v>100</v>
      </c>
      <c r="X12" s="701"/>
      <c r="Y12" s="3943"/>
      <c r="Z12" s="50">
        <f t="shared" si="7"/>
        <v>111</v>
      </c>
      <c r="AA12" s="702">
        <f>D12/F12</f>
        <v>1</v>
      </c>
      <c r="AB12" s="702">
        <f>D12/H12</f>
        <v>1</v>
      </c>
      <c r="AC12" s="702">
        <f>D12/J12</f>
        <v>1</v>
      </c>
    </row>
    <row r="13" spans="1:29" ht="15.75" thickBot="1">
      <c r="A13" s="377"/>
      <c r="B13" s="1888">
        <v>111</v>
      </c>
      <c r="C13" s="383"/>
      <c r="D13" s="384">
        <v>100</v>
      </c>
      <c r="E13" s="418"/>
      <c r="F13" s="374">
        <f>SUMIF(59:59,E13,60:60)-SUMIF(59:59,C13,60:60)+100</f>
        <v>100</v>
      </c>
      <c r="G13" s="1970"/>
      <c r="H13" s="387">
        <f>SUMIF(59:59,G13,60:60)-SUMIF(59:59,C13,60:60)+100</f>
        <v>100</v>
      </c>
      <c r="I13" s="418"/>
      <c r="J13" s="384">
        <f>SUMIF(59:59,I13,60:60)-SUMIF(59:59,C13,60:60)+100</f>
        <v>100</v>
      </c>
      <c r="K13" s="560"/>
      <c r="L13" s="2717"/>
      <c r="M13" s="2711"/>
      <c r="N13" s="2711"/>
      <c r="O13" s="2769"/>
      <c r="P13" s="4068"/>
      <c r="Q13" s="1338">
        <f t="shared" si="6"/>
        <v>111</v>
      </c>
      <c r="R13" s="699" t="s">
        <v>14</v>
      </c>
      <c r="S13" s="700">
        <f t="shared" si="0"/>
        <v>100</v>
      </c>
      <c r="T13" s="699" t="s">
        <v>14</v>
      </c>
      <c r="U13" s="700">
        <f t="shared" si="1"/>
        <v>100</v>
      </c>
      <c r="V13" s="699" t="s">
        <v>14</v>
      </c>
      <c r="W13" s="700">
        <f t="shared" si="2"/>
        <v>100</v>
      </c>
      <c r="X13" s="701"/>
      <c r="Y13" s="3943"/>
      <c r="Z13" s="50">
        <f t="shared" si="7"/>
        <v>111</v>
      </c>
      <c r="AA13" s="702">
        <f t="shared" si="3"/>
        <v>1</v>
      </c>
      <c r="AB13" s="702">
        <f t="shared" si="4"/>
        <v>1</v>
      </c>
      <c r="AC13" s="702">
        <f t="shared" si="5"/>
        <v>1</v>
      </c>
    </row>
    <row r="14" spans="1:29" ht="15">
      <c r="A14" s="389" t="s">
        <v>1690</v>
      </c>
      <c r="B14" s="59" t="s">
        <v>1833</v>
      </c>
      <c r="C14" s="1966">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7"/>
      <c r="M14" s="2711"/>
      <c r="N14" s="2711"/>
      <c r="O14" s="2769"/>
      <c r="P14" s="4070" t="s">
        <v>1691</v>
      </c>
      <c r="Q14" s="1347" t="str">
        <f t="shared" si="6"/>
        <v>交通便捷度</v>
      </c>
      <c r="R14" s="703" t="s">
        <v>14</v>
      </c>
      <c r="S14" s="704">
        <f t="shared" si="0"/>
        <v>100</v>
      </c>
      <c r="T14" s="703" t="s">
        <v>14</v>
      </c>
      <c r="U14" s="704">
        <f t="shared" si="1"/>
        <v>100</v>
      </c>
      <c r="V14" s="703" t="s">
        <v>14</v>
      </c>
      <c r="W14" s="704">
        <f t="shared" si="2"/>
        <v>100</v>
      </c>
      <c r="X14" s="1350"/>
      <c r="Y14" s="4070" t="s">
        <v>1691</v>
      </c>
      <c r="Z14" s="1351" t="str">
        <f t="shared" si="7"/>
        <v>交通便捷度</v>
      </c>
      <c r="AA14" s="1348">
        <f t="shared" si="3"/>
        <v>1</v>
      </c>
      <c r="AB14" s="1348">
        <f t="shared" si="4"/>
        <v>1</v>
      </c>
      <c r="AC14" s="1348">
        <f t="shared" si="5"/>
        <v>1</v>
      </c>
    </row>
    <row r="15" spans="1:29" ht="15">
      <c r="A15" s="377"/>
      <c r="B15" s="395"/>
      <c r="C15" s="396"/>
      <c r="D15" s="397"/>
      <c r="E15" s="396"/>
      <c r="F15" s="398"/>
      <c r="G15" s="396"/>
      <c r="H15" s="399"/>
      <c r="I15" s="396"/>
      <c r="J15" s="397"/>
      <c r="K15" s="562"/>
      <c r="L15" s="2717"/>
      <c r="M15" s="2711"/>
      <c r="N15" s="2711"/>
      <c r="O15" s="2769"/>
      <c r="P15" s="4071"/>
      <c r="Q15" s="1347"/>
      <c r="R15" s="703"/>
      <c r="S15" s="704"/>
      <c r="T15" s="703"/>
      <c r="U15" s="704"/>
      <c r="V15" s="703"/>
      <c r="W15" s="704"/>
      <c r="X15" s="1350"/>
      <c r="Y15" s="4071"/>
      <c r="Z15" s="1351"/>
      <c r="AA15" s="1348">
        <v>1</v>
      </c>
      <c r="AB15" s="1348">
        <v>1</v>
      </c>
      <c r="AC15" s="1348">
        <v>1</v>
      </c>
    </row>
    <row r="16" spans="1:29" ht="15">
      <c r="A16" s="377"/>
      <c r="B16" s="400" t="s">
        <v>1812</v>
      </c>
      <c r="C16" s="1895">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7"/>
      <c r="M16" s="2711"/>
      <c r="N16" s="2711"/>
      <c r="O16" s="2769"/>
      <c r="P16" s="4071"/>
      <c r="Q16" s="1347" t="str">
        <f>B16</f>
        <v>公共配套设施</v>
      </c>
      <c r="R16" s="703" t="s">
        <v>14</v>
      </c>
      <c r="S16" s="704">
        <f>F16</f>
        <v>100</v>
      </c>
      <c r="T16" s="703" t="s">
        <v>14</v>
      </c>
      <c r="U16" s="704">
        <f>H16</f>
        <v>100</v>
      </c>
      <c r="V16" s="703" t="s">
        <v>14</v>
      </c>
      <c r="W16" s="704">
        <f>J16</f>
        <v>100</v>
      </c>
      <c r="X16" s="1350"/>
      <c r="Y16" s="4071"/>
      <c r="Z16" s="1351" t="str">
        <f>Q16</f>
        <v>公共配套设施</v>
      </c>
      <c r="AA16" s="1348">
        <f t="shared" si="3"/>
        <v>1</v>
      </c>
      <c r="AB16" s="1348">
        <f t="shared" si="4"/>
        <v>1</v>
      </c>
      <c r="AC16" s="1348">
        <f t="shared" si="5"/>
        <v>1</v>
      </c>
    </row>
    <row r="17" spans="1:29" ht="15">
      <c r="A17" s="377"/>
      <c r="B17" s="405"/>
      <c r="C17" s="1896"/>
      <c r="D17" s="397"/>
      <c r="E17" s="396"/>
      <c r="F17" s="398"/>
      <c r="G17" s="396"/>
      <c r="H17" s="397"/>
      <c r="I17" s="396"/>
      <c r="J17" s="397"/>
      <c r="K17" s="562"/>
      <c r="L17" s="2717"/>
      <c r="M17" s="2711"/>
      <c r="N17" s="2711"/>
      <c r="O17" s="2769"/>
      <c r="P17" s="4071"/>
      <c r="Q17" s="1347"/>
      <c r="R17" s="703"/>
      <c r="S17" s="704"/>
      <c r="T17" s="703"/>
      <c r="U17" s="704"/>
      <c r="V17" s="703"/>
      <c r="W17" s="704"/>
      <c r="X17" s="1350"/>
      <c r="Y17" s="4071"/>
      <c r="Z17" s="1351"/>
      <c r="AA17" s="1348">
        <v>1</v>
      </c>
      <c r="AB17" s="1348">
        <v>1</v>
      </c>
      <c r="AC17" s="1348">
        <v>1</v>
      </c>
    </row>
    <row r="18" spans="1:29" ht="15">
      <c r="A18" s="377"/>
      <c r="B18" s="1126" t="s">
        <v>1813</v>
      </c>
      <c r="C18" s="1895">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7"/>
      <c r="M18" s="2711"/>
      <c r="N18" s="2711"/>
      <c r="O18" s="2769"/>
      <c r="P18" s="4071"/>
      <c r="Q18" s="1347" t="str">
        <f>B18</f>
        <v>基础设施水平</v>
      </c>
      <c r="R18" s="703" t="s">
        <v>14</v>
      </c>
      <c r="S18" s="704">
        <f>F18</f>
        <v>100</v>
      </c>
      <c r="T18" s="703" t="s">
        <v>14</v>
      </c>
      <c r="U18" s="704">
        <f>H18</f>
        <v>100</v>
      </c>
      <c r="V18" s="703" t="s">
        <v>14</v>
      </c>
      <c r="W18" s="704">
        <f>J18</f>
        <v>100</v>
      </c>
      <c r="X18" s="1350"/>
      <c r="Y18" s="4071"/>
      <c r="Z18" s="1351" t="str">
        <f>Q18</f>
        <v>基础设施水平</v>
      </c>
      <c r="AA18" s="1348">
        <f t="shared" ref="AA18" si="8">D18/F18</f>
        <v>1</v>
      </c>
      <c r="AB18" s="1348">
        <f t="shared" ref="AB18" si="9">D18/H18</f>
        <v>1</v>
      </c>
      <c r="AC18" s="1348">
        <f t="shared" ref="AC18" si="10">D18/J18</f>
        <v>1</v>
      </c>
    </row>
    <row r="19" spans="1:29" ht="15">
      <c r="A19" s="377"/>
      <c r="B19" s="1126"/>
      <c r="C19" s="1896"/>
      <c r="D19" s="399"/>
      <c r="E19" s="1896"/>
      <c r="F19" s="402"/>
      <c r="G19" s="1896"/>
      <c r="H19" s="397"/>
      <c r="I19" s="396"/>
      <c r="J19" s="397"/>
      <c r="K19" s="1125"/>
      <c r="L19" s="2717"/>
      <c r="M19" s="2711"/>
      <c r="N19" s="2711"/>
      <c r="O19" s="2769"/>
      <c r="P19" s="4071"/>
      <c r="Q19" s="1347"/>
      <c r="R19" s="703"/>
      <c r="S19" s="704"/>
      <c r="T19" s="703"/>
      <c r="U19" s="704"/>
      <c r="V19" s="703"/>
      <c r="W19" s="704"/>
      <c r="X19" s="1350"/>
      <c r="Y19" s="4071"/>
      <c r="Z19" s="1351"/>
      <c r="AA19" s="1348">
        <v>1</v>
      </c>
      <c r="AB19" s="1348">
        <v>1</v>
      </c>
      <c r="AC19" s="1348">
        <v>1</v>
      </c>
    </row>
    <row r="20" spans="1:29" ht="15">
      <c r="A20" s="377"/>
      <c r="B20" s="400" t="s">
        <v>1834</v>
      </c>
      <c r="C20" s="1895">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7"/>
      <c r="M20" s="2711"/>
      <c r="N20" s="2711"/>
      <c r="O20" s="2769"/>
      <c r="P20" s="4071"/>
      <c r="Q20" s="1347" t="str">
        <f>B20</f>
        <v>自然及人文环境</v>
      </c>
      <c r="R20" s="703" t="s">
        <v>14</v>
      </c>
      <c r="S20" s="704">
        <f>F20</f>
        <v>100</v>
      </c>
      <c r="T20" s="703" t="s">
        <v>14</v>
      </c>
      <c r="U20" s="704">
        <f>H20</f>
        <v>100</v>
      </c>
      <c r="V20" s="703" t="s">
        <v>14</v>
      </c>
      <c r="W20" s="704">
        <f>J20</f>
        <v>100</v>
      </c>
      <c r="X20" s="1350"/>
      <c r="Y20" s="4071"/>
      <c r="Z20" s="1351" t="str">
        <f>Q20</f>
        <v>自然及人文环境</v>
      </c>
      <c r="AA20" s="1348">
        <f t="shared" si="3"/>
        <v>1</v>
      </c>
      <c r="AB20" s="1348">
        <f t="shared" si="4"/>
        <v>1</v>
      </c>
      <c r="AC20" s="1348">
        <f t="shared" si="5"/>
        <v>1</v>
      </c>
    </row>
    <row r="21" spans="1:29" ht="15">
      <c r="A21" s="377"/>
      <c r="B21" s="405"/>
      <c r="C21" s="396"/>
      <c r="D21" s="397"/>
      <c r="E21" s="396"/>
      <c r="F21" s="398"/>
      <c r="G21" s="396"/>
      <c r="H21" s="397"/>
      <c r="I21" s="396"/>
      <c r="J21" s="397"/>
      <c r="K21" s="562"/>
      <c r="L21" s="2717"/>
      <c r="M21" s="2711"/>
      <c r="N21" s="2711"/>
      <c r="O21" s="2769"/>
      <c r="P21" s="4071"/>
      <c r="Q21" s="1347"/>
      <c r="R21" s="703"/>
      <c r="S21" s="704"/>
      <c r="T21" s="703"/>
      <c r="U21" s="704"/>
      <c r="V21" s="703"/>
      <c r="W21" s="704"/>
      <c r="X21" s="1350"/>
      <c r="Y21" s="4071"/>
      <c r="Z21" s="1351"/>
      <c r="AA21" s="1348">
        <v>1</v>
      </c>
      <c r="AB21" s="1348">
        <v>1</v>
      </c>
      <c r="AC21" s="1348">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7"/>
      <c r="M22" s="2711"/>
      <c r="N22" s="2711"/>
      <c r="O22" s="2769"/>
      <c r="P22" s="4071"/>
      <c r="Q22" s="1347" t="str">
        <f>B22</f>
        <v>楼层</v>
      </c>
      <c r="R22" s="703" t="s">
        <v>14</v>
      </c>
      <c r="S22" s="704">
        <f>F22</f>
        <v>100</v>
      </c>
      <c r="T22" s="703" t="s">
        <v>14</v>
      </c>
      <c r="U22" s="704">
        <f>H22</f>
        <v>100</v>
      </c>
      <c r="V22" s="703" t="s">
        <v>14</v>
      </c>
      <c r="W22" s="704">
        <f>J22</f>
        <v>100</v>
      </c>
      <c r="X22" s="1350"/>
      <c r="Y22" s="4071"/>
      <c r="Z22" s="1351" t="str">
        <f>Q22</f>
        <v>楼层</v>
      </c>
      <c r="AA22" s="1348">
        <f t="shared" si="3"/>
        <v>1</v>
      </c>
      <c r="AB22" s="1348">
        <f t="shared" si="4"/>
        <v>1</v>
      </c>
      <c r="AC22" s="1348">
        <f t="shared" si="5"/>
        <v>1</v>
      </c>
    </row>
    <row r="23" spans="1:29" ht="15">
      <c r="A23" s="356"/>
      <c r="B23" s="1888">
        <v>111</v>
      </c>
      <c r="C23" s="381"/>
      <c r="D23" s="384">
        <v>100</v>
      </c>
      <c r="E23" s="383"/>
      <c r="F23" s="410">
        <f>SUMIF(71:71,E23,72:72)-SUMIF(71:71,C23,72:72)+100</f>
        <v>100</v>
      </c>
      <c r="G23" s="383"/>
      <c r="H23" s="384">
        <f>SUMIF(71:71,G23,72:72)-SUMIF(71:71,C23,72:72)+100</f>
        <v>100</v>
      </c>
      <c r="I23" s="383"/>
      <c r="J23" s="384">
        <f>SUMIF(71:71,I23,72:72)-SUMIF(71:71,C23,72:72)+100</f>
        <v>100</v>
      </c>
      <c r="K23" s="560"/>
      <c r="L23" s="2717"/>
      <c r="M23" s="2711"/>
      <c r="N23" s="2711"/>
      <c r="O23" s="2769"/>
      <c r="P23" s="4071"/>
      <c r="Q23" s="1347">
        <f>B23</f>
        <v>111</v>
      </c>
      <c r="R23" s="703" t="s">
        <v>14</v>
      </c>
      <c r="S23" s="704">
        <f>F23</f>
        <v>100</v>
      </c>
      <c r="T23" s="703" t="s">
        <v>14</v>
      </c>
      <c r="U23" s="704">
        <f>H23</f>
        <v>100</v>
      </c>
      <c r="V23" s="703" t="s">
        <v>14</v>
      </c>
      <c r="W23" s="704">
        <f>J23</f>
        <v>100</v>
      </c>
      <c r="X23" s="1350"/>
      <c r="Y23" s="4071"/>
      <c r="Z23" s="1351">
        <f>Q23</f>
        <v>111</v>
      </c>
      <c r="AA23" s="1348">
        <f t="shared" si="3"/>
        <v>1</v>
      </c>
      <c r="AB23" s="1348">
        <f t="shared" si="4"/>
        <v>1</v>
      </c>
      <c r="AC23" s="1348">
        <f t="shared" si="5"/>
        <v>1</v>
      </c>
    </row>
    <row r="24" spans="1:29" ht="15">
      <c r="A24" s="377"/>
      <c r="B24" s="1888">
        <v>111</v>
      </c>
      <c r="C24" s="381"/>
      <c r="D24" s="384">
        <v>100</v>
      </c>
      <c r="E24" s="383"/>
      <c r="F24" s="410">
        <f>SUMIF(73:73,E24,74:74)-SUMIF(73:73,C24,74:74)+100</f>
        <v>100</v>
      </c>
      <c r="G24" s="383"/>
      <c r="H24" s="384">
        <f>SUMIF(73:73,G24,74:74)-SUMIF(73:73,C24,74:74)+100</f>
        <v>100</v>
      </c>
      <c r="I24" s="383"/>
      <c r="J24" s="384">
        <f>SUMIF(73:73,I24,74:74)-SUMIF(73:73,C24,74:74)+100</f>
        <v>100</v>
      </c>
      <c r="K24" s="560"/>
      <c r="L24" s="2717"/>
      <c r="M24" s="2711"/>
      <c r="N24" s="2711"/>
      <c r="O24" s="2769"/>
      <c r="P24" s="4071"/>
      <c r="Q24" s="1347">
        <f t="shared" ref="Q24:Q34" si="11">B24</f>
        <v>111</v>
      </c>
      <c r="R24" s="703" t="s">
        <v>14</v>
      </c>
      <c r="S24" s="704">
        <f>F24</f>
        <v>100</v>
      </c>
      <c r="T24" s="703" t="s">
        <v>14</v>
      </c>
      <c r="U24" s="704">
        <f>H24</f>
        <v>100</v>
      </c>
      <c r="V24" s="703" t="s">
        <v>14</v>
      </c>
      <c r="W24" s="704">
        <f>J24</f>
        <v>100</v>
      </c>
      <c r="X24" s="1350"/>
      <c r="Y24" s="4071"/>
      <c r="Z24" s="1351">
        <f>Q24</f>
        <v>111</v>
      </c>
      <c r="AA24" s="1348">
        <f t="shared" si="3"/>
        <v>1</v>
      </c>
      <c r="AB24" s="1348">
        <f t="shared" si="4"/>
        <v>1</v>
      </c>
      <c r="AC24" s="1348">
        <f t="shared" si="5"/>
        <v>1</v>
      </c>
    </row>
    <row r="25" spans="1:29" s="106" customFormat="1" ht="15.75" thickBot="1">
      <c r="A25" s="380"/>
      <c r="B25" s="1888">
        <v>111</v>
      </c>
      <c r="C25" s="1971"/>
      <c r="D25" s="611">
        <v>100</v>
      </c>
      <c r="E25" s="1971"/>
      <c r="F25" s="612">
        <f>SUMIF(75:75,E25,76:76)-SUMIF(75:75,C25,76:76)+100</f>
        <v>100</v>
      </c>
      <c r="G25" s="1971"/>
      <c r="H25" s="611">
        <f>SUMIF(75:75,G25,76:76)-SUMIF(75:75,C25,76:76)+100</f>
        <v>100</v>
      </c>
      <c r="I25" s="1971"/>
      <c r="J25" s="611">
        <f>SUMIF(75:75,I25,76:76)-SUMIF(75:75,C25,76:76)+100</f>
        <v>100</v>
      </c>
      <c r="K25" s="560"/>
      <c r="L25" s="2712"/>
      <c r="M25" s="2713"/>
      <c r="N25" s="2713"/>
      <c r="O25" s="2767"/>
      <c r="P25" s="4071"/>
      <c r="Q25" s="1338">
        <f t="shared" si="11"/>
        <v>111</v>
      </c>
      <c r="R25" s="699" t="s">
        <v>14</v>
      </c>
      <c r="S25" s="700">
        <f>F25</f>
        <v>100</v>
      </c>
      <c r="T25" s="699" t="s">
        <v>14</v>
      </c>
      <c r="U25" s="700">
        <f>H25</f>
        <v>100</v>
      </c>
      <c r="V25" s="699" t="s">
        <v>14</v>
      </c>
      <c r="W25" s="700">
        <f>J25</f>
        <v>100</v>
      </c>
      <c r="X25" s="701"/>
      <c r="Y25" s="4071"/>
      <c r="Z25" s="50">
        <f>Q25</f>
        <v>111</v>
      </c>
      <c r="AA25" s="1348">
        <f>D25/F25</f>
        <v>1</v>
      </c>
      <c r="AB25" s="1348">
        <f>D25/H25</f>
        <v>1</v>
      </c>
      <c r="AC25" s="1348">
        <f>D25/J25</f>
        <v>1</v>
      </c>
    </row>
    <row r="26" spans="1:29" ht="28.5">
      <c r="A26" s="415" t="s">
        <v>1694</v>
      </c>
      <c r="B26" s="61" t="s">
        <v>1838</v>
      </c>
      <c r="C26" s="1962"/>
      <c r="D26" s="416">
        <v>100</v>
      </c>
      <c r="E26" s="1962"/>
      <c r="F26" s="613">
        <f>SUMIF(77:77,E26,78:78)-SUMIF(77:77,C26,78:78)+100</f>
        <v>100</v>
      </c>
      <c r="G26" s="1962"/>
      <c r="H26" s="416">
        <f>SUMIF(77:77,G26,78:78)-SUMIF(77:77,C26,78:78)+100</f>
        <v>100</v>
      </c>
      <c r="I26" s="1962"/>
      <c r="J26" s="416">
        <f>SUMIF(77:77,I26,78:78)-SUMIF(77:77,C26,78:78)+100</f>
        <v>100</v>
      </c>
      <c r="K26" s="559"/>
      <c r="L26" s="2717"/>
      <c r="M26" s="2711"/>
      <c r="N26" s="2711"/>
      <c r="O26" s="2769"/>
      <c r="P26" s="4126" t="s">
        <v>1696</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4075" t="s">
        <v>1696</v>
      </c>
      <c r="Z26" s="1351" t="str">
        <f t="shared" ref="Z26:Z34" si="15">Q26</f>
        <v>公共部分装修</v>
      </c>
      <c r="AA26" s="1348">
        <f t="shared" si="3"/>
        <v>1</v>
      </c>
      <c r="AB26" s="1348">
        <f t="shared" si="4"/>
        <v>1</v>
      </c>
      <c r="AC26" s="1348">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6"/>
      <c r="M27" s="2718"/>
      <c r="N27" s="2718"/>
      <c r="O27" s="2770"/>
      <c r="P27" s="4075"/>
      <c r="Q27" s="705" t="str">
        <f t="shared" si="11"/>
        <v>成新率</v>
      </c>
      <c r="R27" s="706" t="s">
        <v>14</v>
      </c>
      <c r="S27" s="707" t="e">
        <f t="shared" si="12"/>
        <v>#N/A</v>
      </c>
      <c r="T27" s="706" t="s">
        <v>14</v>
      </c>
      <c r="U27" s="707" t="e">
        <f t="shared" si="13"/>
        <v>#N/A</v>
      </c>
      <c r="V27" s="706" t="s">
        <v>14</v>
      </c>
      <c r="W27" s="707" t="e">
        <f t="shared" si="14"/>
        <v>#N/A</v>
      </c>
      <c r="X27" s="708"/>
      <c r="Y27" s="4075"/>
      <c r="Z27" s="709" t="str">
        <f t="shared" si="15"/>
        <v>成新率</v>
      </c>
      <c r="AA27" s="1348" t="e">
        <f t="shared" si="3"/>
        <v>#N/A</v>
      </c>
      <c r="AB27" s="1348" t="e">
        <f t="shared" si="4"/>
        <v>#N/A</v>
      </c>
      <c r="AC27" s="1348"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7"/>
      <c r="M28" s="2711"/>
      <c r="N28" s="2711"/>
      <c r="O28" s="2769"/>
      <c r="P28" s="4075"/>
      <c r="Q28" s="1347" t="str">
        <f t="shared" si="11"/>
        <v>物业等级</v>
      </c>
      <c r="R28" s="703" t="s">
        <v>14</v>
      </c>
      <c r="S28" s="704">
        <f t="shared" si="12"/>
        <v>100</v>
      </c>
      <c r="T28" s="703" t="s">
        <v>14</v>
      </c>
      <c r="U28" s="704">
        <f t="shared" si="13"/>
        <v>100</v>
      </c>
      <c r="V28" s="703" t="s">
        <v>14</v>
      </c>
      <c r="W28" s="704">
        <f t="shared" si="14"/>
        <v>100</v>
      </c>
      <c r="X28" s="1350"/>
      <c r="Y28" s="4075"/>
      <c r="Z28" s="1351" t="str">
        <f t="shared" si="15"/>
        <v>物业等级</v>
      </c>
      <c r="AA28" s="1348">
        <f t="shared" si="3"/>
        <v>1</v>
      </c>
      <c r="AB28" s="1348">
        <f t="shared" si="4"/>
        <v>1</v>
      </c>
      <c r="AC28" s="1348">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7"/>
      <c r="M29" s="2711"/>
      <c r="N29" s="2711"/>
      <c r="O29" s="2769"/>
      <c r="P29" s="4075"/>
      <c r="Q29" s="1347" t="str">
        <f t="shared" si="11"/>
        <v>有无电梯</v>
      </c>
      <c r="R29" s="703" t="s">
        <v>14</v>
      </c>
      <c r="S29" s="704">
        <f t="shared" si="12"/>
        <v>100</v>
      </c>
      <c r="T29" s="703" t="s">
        <v>14</v>
      </c>
      <c r="U29" s="704">
        <f t="shared" si="13"/>
        <v>100</v>
      </c>
      <c r="V29" s="703" t="s">
        <v>14</v>
      </c>
      <c r="W29" s="704">
        <f t="shared" si="14"/>
        <v>100</v>
      </c>
      <c r="X29" s="1350"/>
      <c r="Y29" s="4075"/>
      <c r="Z29" s="1351" t="str">
        <f t="shared" si="15"/>
        <v>有无电梯</v>
      </c>
      <c r="AA29" s="1348">
        <f t="shared" si="3"/>
        <v>1</v>
      </c>
      <c r="AB29" s="1348">
        <f t="shared" si="4"/>
        <v>1</v>
      </c>
      <c r="AC29" s="1348">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7"/>
      <c r="M30" s="2711"/>
      <c r="N30" s="2711"/>
      <c r="O30" s="2769"/>
      <c r="P30" s="4075"/>
      <c r="Q30" s="1347" t="str">
        <f t="shared" si="11"/>
        <v>建筑面积</v>
      </c>
      <c r="R30" s="703" t="s">
        <v>14</v>
      </c>
      <c r="S30" s="704" t="e">
        <f t="shared" si="12"/>
        <v>#N/A</v>
      </c>
      <c r="T30" s="703" t="s">
        <v>14</v>
      </c>
      <c r="U30" s="704" t="e">
        <f t="shared" si="13"/>
        <v>#N/A</v>
      </c>
      <c r="V30" s="703" t="s">
        <v>14</v>
      </c>
      <c r="W30" s="704" t="e">
        <f t="shared" si="14"/>
        <v>#N/A</v>
      </c>
      <c r="X30" s="1350"/>
      <c r="Y30" s="4075"/>
      <c r="Z30" s="1351" t="str">
        <f t="shared" si="15"/>
        <v>建筑面积</v>
      </c>
      <c r="AA30" s="1348" t="e">
        <f t="shared" si="3"/>
        <v>#N/A</v>
      </c>
      <c r="AB30" s="1348" t="e">
        <f t="shared" si="4"/>
        <v>#N/A</v>
      </c>
      <c r="AC30" s="1348"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2"/>
      <c r="M31" s="2713"/>
      <c r="N31" s="2713"/>
      <c r="O31" s="2767"/>
      <c r="P31" s="4075"/>
      <c r="Q31" s="1338" t="str">
        <f t="shared" si="11"/>
        <v>是否封闭</v>
      </c>
      <c r="R31" s="699" t="s">
        <v>14</v>
      </c>
      <c r="S31" s="700">
        <f t="shared" si="12"/>
        <v>100</v>
      </c>
      <c r="T31" s="699" t="s">
        <v>14</v>
      </c>
      <c r="U31" s="700">
        <f t="shared" si="13"/>
        <v>100</v>
      </c>
      <c r="V31" s="699" t="s">
        <v>14</v>
      </c>
      <c r="W31" s="700">
        <f t="shared" si="14"/>
        <v>100</v>
      </c>
      <c r="X31" s="701"/>
      <c r="Y31" s="4075"/>
      <c r="Z31" s="50" t="str">
        <f t="shared" si="15"/>
        <v>是否封闭</v>
      </c>
      <c r="AA31" s="702">
        <f t="shared" si="3"/>
        <v>1</v>
      </c>
      <c r="AB31" s="702">
        <f t="shared" si="4"/>
        <v>1</v>
      </c>
      <c r="AC31" s="702">
        <f t="shared" si="5"/>
        <v>1</v>
      </c>
    </row>
    <row r="32" spans="1:29" ht="15">
      <c r="A32" s="421"/>
      <c r="B32" s="1888">
        <v>111</v>
      </c>
      <c r="C32" s="381"/>
      <c r="D32" s="384">
        <v>100</v>
      </c>
      <c r="E32" s="418"/>
      <c r="F32" s="410">
        <f>SUMIF(91:91,E32,92:92)-SUMIF(91:91,C32,92:92)+100</f>
        <v>100</v>
      </c>
      <c r="G32" s="418"/>
      <c r="H32" s="384">
        <f>SUMIF(91:91,G32,92:92)-SUMIF(91:91,C32,92:92)+100</f>
        <v>100</v>
      </c>
      <c r="I32" s="418"/>
      <c r="J32" s="384">
        <f>SUMIF(91:91,I32,92:92)-SUMIF(91:91,C32,92:92)+100</f>
        <v>100</v>
      </c>
      <c r="K32" s="560"/>
      <c r="L32" s="2717"/>
      <c r="M32" s="2711"/>
      <c r="N32" s="2711"/>
      <c r="O32" s="2769"/>
      <c r="P32" s="4075" t="s">
        <v>1696</v>
      </c>
      <c r="Q32" s="1347">
        <f t="shared" si="11"/>
        <v>111</v>
      </c>
      <c r="R32" s="703" t="s">
        <v>14</v>
      </c>
      <c r="S32" s="704">
        <f t="shared" si="12"/>
        <v>100</v>
      </c>
      <c r="T32" s="703" t="s">
        <v>14</v>
      </c>
      <c r="U32" s="704">
        <f t="shared" si="13"/>
        <v>100</v>
      </c>
      <c r="V32" s="703" t="s">
        <v>14</v>
      </c>
      <c r="W32" s="704">
        <f t="shared" si="14"/>
        <v>100</v>
      </c>
      <c r="X32" s="1350"/>
      <c r="Y32" s="4075" t="s">
        <v>1696</v>
      </c>
      <c r="Z32" s="1351">
        <f t="shared" si="15"/>
        <v>111</v>
      </c>
      <c r="AA32" s="1348">
        <f t="shared" si="3"/>
        <v>1</v>
      </c>
      <c r="AB32" s="1348">
        <f t="shared" si="4"/>
        <v>1</v>
      </c>
      <c r="AC32" s="1348">
        <f t="shared" si="5"/>
        <v>1</v>
      </c>
    </row>
    <row r="33" spans="1:30" ht="15">
      <c r="A33" s="421"/>
      <c r="B33" s="1888">
        <v>111</v>
      </c>
      <c r="C33" s="381"/>
      <c r="D33" s="384">
        <v>100</v>
      </c>
      <c r="E33" s="418"/>
      <c r="F33" s="410">
        <f>SUMIF(93:93,E33,94:94)-SUMIF(93:93,C33,94:94)+100</f>
        <v>100</v>
      </c>
      <c r="G33" s="418"/>
      <c r="H33" s="384">
        <f>SUMIF(93:93,G33,94:94)-SUMIF(93:93,C33,94:94)+100</f>
        <v>100</v>
      </c>
      <c r="I33" s="418"/>
      <c r="J33" s="384">
        <f>SUMIF(93:93,I33,94:94)-SUMIF(93:93,C33,94:94)+100</f>
        <v>100</v>
      </c>
      <c r="K33" s="560"/>
      <c r="L33" s="2717"/>
      <c r="M33" s="2711"/>
      <c r="N33" s="2711"/>
      <c r="O33" s="2769"/>
      <c r="P33" s="4075"/>
      <c r="Q33" s="1347">
        <f t="shared" si="11"/>
        <v>111</v>
      </c>
      <c r="R33" s="703" t="s">
        <v>14</v>
      </c>
      <c r="S33" s="704">
        <f t="shared" si="12"/>
        <v>100</v>
      </c>
      <c r="T33" s="703" t="s">
        <v>14</v>
      </c>
      <c r="U33" s="704">
        <f t="shared" si="13"/>
        <v>100</v>
      </c>
      <c r="V33" s="703" t="s">
        <v>14</v>
      </c>
      <c r="W33" s="704">
        <f t="shared" si="14"/>
        <v>100</v>
      </c>
      <c r="X33" s="1350"/>
      <c r="Y33" s="4075"/>
      <c r="Z33" s="1351">
        <f t="shared" si="15"/>
        <v>111</v>
      </c>
      <c r="AA33" s="1348">
        <f t="shared" si="3"/>
        <v>1</v>
      </c>
      <c r="AB33" s="1348">
        <f t="shared" si="4"/>
        <v>1</v>
      </c>
      <c r="AC33" s="1348">
        <f t="shared" si="5"/>
        <v>1</v>
      </c>
    </row>
    <row r="34" spans="1:30" ht="15.75" thickBot="1">
      <c r="A34" s="427"/>
      <c r="B34" s="1890">
        <v>111</v>
      </c>
      <c r="C34" s="386"/>
      <c r="D34" s="387">
        <v>100</v>
      </c>
      <c r="E34" s="1970"/>
      <c r="F34" s="388">
        <f>SUMIF(95:95,E34,96:96)-SUMIF(95:95,C34,96:96)+100</f>
        <v>100</v>
      </c>
      <c r="G34" s="1970"/>
      <c r="H34" s="387">
        <f>SUMIF(95:95,G34,96:96)-SUMIF(95:95,C34,96:96)+100</f>
        <v>100</v>
      </c>
      <c r="I34" s="1970"/>
      <c r="J34" s="387">
        <f>SUMIF(95:95,I34,96:96)-SUMIF(95:95,C34,96:96)+100</f>
        <v>100</v>
      </c>
      <c r="K34" s="560"/>
      <c r="L34" s="2717"/>
      <c r="M34" s="2711"/>
      <c r="N34" s="2711"/>
      <c r="O34" s="2769"/>
      <c r="P34" s="4075"/>
      <c r="Q34" s="1347">
        <f t="shared" si="11"/>
        <v>111</v>
      </c>
      <c r="R34" s="703" t="s">
        <v>14</v>
      </c>
      <c r="S34" s="704">
        <f t="shared" si="12"/>
        <v>100</v>
      </c>
      <c r="T34" s="703" t="s">
        <v>14</v>
      </c>
      <c r="U34" s="704">
        <f t="shared" si="13"/>
        <v>100</v>
      </c>
      <c r="V34" s="703" t="s">
        <v>14</v>
      </c>
      <c r="W34" s="704">
        <f t="shared" si="14"/>
        <v>100</v>
      </c>
      <c r="X34" s="1350"/>
      <c r="Y34" s="4075"/>
      <c r="Z34" s="1351">
        <f t="shared" si="15"/>
        <v>111</v>
      </c>
      <c r="AA34" s="1348">
        <f t="shared" si="3"/>
        <v>1</v>
      </c>
      <c r="AB34" s="1348">
        <f t="shared" si="4"/>
        <v>1</v>
      </c>
      <c r="AC34" s="1348">
        <f t="shared" si="5"/>
        <v>1</v>
      </c>
    </row>
    <row r="35" spans="1:30" ht="15">
      <c r="A35" s="428" t="s">
        <v>1708</v>
      </c>
      <c r="B35" s="429"/>
      <c r="C35" s="1149" t="s">
        <v>0</v>
      </c>
      <c r="D35" s="1150"/>
      <c r="E35" s="1151"/>
      <c r="F35" s="1152"/>
      <c r="G35" s="1153"/>
      <c r="H35" s="1154"/>
      <c r="I35" s="1151"/>
      <c r="J35" s="1154"/>
      <c r="K35" s="712"/>
      <c r="L35" s="2719"/>
      <c r="M35" s="2720"/>
      <c r="N35" s="2711"/>
      <c r="O35" s="2720"/>
      <c r="P35" s="4068" t="str">
        <f>A35</f>
        <v>成交单价（元/平方米）</v>
      </c>
      <c r="Q35" s="4068"/>
      <c r="R35" s="4069">
        <f>E35</f>
        <v>0</v>
      </c>
      <c r="S35" s="4069"/>
      <c r="T35" s="4069">
        <f>G35</f>
        <v>0</v>
      </c>
      <c r="U35" s="4069"/>
      <c r="V35" s="4069">
        <f>I35</f>
        <v>0</v>
      </c>
      <c r="W35" s="4069"/>
      <c r="X35" s="688"/>
      <c r="Y35" s="710"/>
      <c r="Z35" s="688"/>
      <c r="AA35" s="688"/>
      <c r="AB35" s="688"/>
      <c r="AC35" s="688"/>
    </row>
    <row r="36" spans="1:30" ht="15.75" thickBot="1">
      <c r="A36" s="435" t="s">
        <v>1793</v>
      </c>
      <c r="B36" s="436"/>
      <c r="C36" s="1155" t="e">
        <f>R37</f>
        <v>#DIV/0!</v>
      </c>
      <c r="D36" s="2312" t="s">
        <v>2138</v>
      </c>
      <c r="E36" s="1156" t="e">
        <f>R36</f>
        <v>#DIV/0!</v>
      </c>
      <c r="F36" s="2313"/>
      <c r="G36" s="1155" t="e">
        <f>T36</f>
        <v>#DIV/0!</v>
      </c>
      <c r="H36" s="2313"/>
      <c r="I36" s="1156" t="e">
        <f>V36</f>
        <v>#DIV/0!</v>
      </c>
      <c r="J36" s="2313"/>
      <c r="K36" s="2315">
        <f>F36+H36+J36</f>
        <v>0</v>
      </c>
      <c r="L36" s="2719"/>
      <c r="M36" s="2720"/>
      <c r="N36" s="2711"/>
      <c r="O36" s="2720"/>
      <c r="P36" s="4068" t="str">
        <f>A36</f>
        <v>比较价值（元/平方米）</v>
      </c>
      <c r="Q36" s="4068"/>
      <c r="R36" s="4069" t="e">
        <f>IF(F1="售价",ROUND(PRODUCT(R35,AA7:AA34),0),ROUND(PRODUCT(R35,AA7:AA34),1))</f>
        <v>#DIV/0!</v>
      </c>
      <c r="S36" s="4069"/>
      <c r="T36" s="4069" t="e">
        <f>IF(F1="售价",ROUND(PRODUCT(T35,AB7:AB34),0),ROUND(PRODUCT(T35,AB7:AB34),1))</f>
        <v>#DIV/0!</v>
      </c>
      <c r="U36" s="4069"/>
      <c r="V36" s="4069" t="e">
        <f>IF(F1="售价",ROUND(PRODUCT(V35,AC7:AC34),0),ROUND(PRODUCT(V35,AC7:AC34),1))</f>
        <v>#DIV/0!</v>
      </c>
      <c r="W36" s="4069"/>
      <c r="X36" s="688"/>
      <c r="Y36" s="688"/>
      <c r="Z36" s="688"/>
      <c r="AA36" s="688"/>
      <c r="AB36" s="688"/>
      <c r="AC36" s="688"/>
    </row>
    <row r="37" spans="1:30" ht="15.75" thickBot="1">
      <c r="A37" s="439" t="s">
        <v>1794</v>
      </c>
      <c r="B37" s="440"/>
      <c r="C37" s="1158" t="e">
        <f>R37</f>
        <v>#DIV/0!</v>
      </c>
      <c r="D37" s="1158"/>
      <c r="E37" s="1158"/>
      <c r="F37" s="1158"/>
      <c r="G37" s="1158"/>
      <c r="H37" s="1158"/>
      <c r="I37" s="1158"/>
      <c r="J37" s="1158"/>
      <c r="K37" s="713"/>
      <c r="L37" s="2719"/>
      <c r="M37" s="2720"/>
      <c r="N37" s="2720"/>
      <c r="O37" s="2720"/>
      <c r="P37" s="4065" t="str">
        <f>A37</f>
        <v>估价对象XX用房的比较价值（楼面单价，元/平方米）</v>
      </c>
      <c r="Q37" s="4066"/>
      <c r="R37" s="4127" t="e">
        <f>IF(F1="售价",ROUND(IF(D36="简单平均",AVERAGE(R36:W36),R36*F36+T36*H36+V36*J36),0),ROUND(IF(D36="简单平均",AVERAGE(R36:V36),R36*F36+T36*H36+V36*J36),1))</f>
        <v>#DIV/0!</v>
      </c>
      <c r="S37" s="4127"/>
      <c r="T37" s="4127"/>
      <c r="U37" s="4127"/>
      <c r="V37" s="4127"/>
      <c r="W37" s="4127"/>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9" customFormat="1" ht="13.5" customHeight="1">
      <c r="A42" s="2723"/>
      <c r="B42" s="2723"/>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9"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5" customFormat="1" ht="15">
      <c r="A46" s="452" t="s">
        <v>1679</v>
      </c>
      <c r="B46" s="453"/>
      <c r="C46" s="1179" t="str">
        <f>YEAR(C7)&amp;"-"&amp;MONTH(C7)</f>
        <v>2023-10</v>
      </c>
      <c r="D46" s="1180">
        <f>EDATE(C46,-1)</f>
        <v>45170</v>
      </c>
      <c r="E46" s="1180">
        <f t="shared" ref="E46:O46" si="16">EDATE(D46,-1)</f>
        <v>45139</v>
      </c>
      <c r="F46" s="1180">
        <f t="shared" si="16"/>
        <v>45108</v>
      </c>
      <c r="G46" s="1180">
        <f t="shared" si="16"/>
        <v>45078</v>
      </c>
      <c r="H46" s="1180">
        <f t="shared" si="16"/>
        <v>45047</v>
      </c>
      <c r="I46" s="1180">
        <f t="shared" si="16"/>
        <v>45017</v>
      </c>
      <c r="J46" s="1180">
        <f t="shared" si="16"/>
        <v>44986</v>
      </c>
      <c r="K46" s="1180">
        <f t="shared" si="16"/>
        <v>44958</v>
      </c>
      <c r="L46" s="1180">
        <f t="shared" si="16"/>
        <v>44927</v>
      </c>
      <c r="M46" s="1180">
        <f t="shared" si="16"/>
        <v>44896</v>
      </c>
      <c r="N46" s="1180">
        <f t="shared" si="16"/>
        <v>44866</v>
      </c>
      <c r="O46" s="1180">
        <f t="shared" si="16"/>
        <v>44835</v>
      </c>
      <c r="P46" s="2771"/>
      <c r="Q46" s="2736"/>
      <c r="R46" s="2736"/>
      <c r="S46" s="2736"/>
      <c r="T46" s="2736"/>
      <c r="U46" s="2736"/>
      <c r="V46" s="2736"/>
      <c r="W46" s="2736"/>
      <c r="X46" s="2736"/>
      <c r="Y46" s="2736"/>
      <c r="Z46" s="2736"/>
      <c r="AA46" s="2736"/>
      <c r="AB46" s="2736"/>
      <c r="AC46" s="2736"/>
      <c r="AD46" s="2736"/>
    </row>
    <row r="47" spans="1:30" s="106" customFormat="1" ht="15">
      <c r="A47" s="456"/>
      <c r="B47" s="457"/>
      <c r="C47" s="1178">
        <v>100</v>
      </c>
      <c r="D47" s="459"/>
      <c r="E47" s="459"/>
      <c r="F47" s="459"/>
      <c r="G47" s="459"/>
      <c r="H47" s="459"/>
      <c r="I47" s="459"/>
      <c r="J47" s="459"/>
      <c r="K47" s="459"/>
      <c r="L47" s="459"/>
      <c r="M47" s="460"/>
      <c r="N47" s="459"/>
      <c r="O47" s="461"/>
      <c r="P47" s="2734"/>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4"/>
      <c r="Q48" s="2734"/>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7"/>
      <c r="O49" s="2747"/>
      <c r="P49" s="2772"/>
      <c r="Q49" s="2734"/>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7"/>
      <c r="O50" s="2747"/>
      <c r="P50" s="2734"/>
      <c r="Q50" s="2734"/>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8"/>
      <c r="O51" s="2748"/>
      <c r="P51" s="2773"/>
      <c r="Q51" s="2734"/>
      <c r="R51" s="2720"/>
      <c r="S51" s="2720"/>
      <c r="T51" s="2720"/>
      <c r="U51" s="2720"/>
      <c r="V51" s="2720"/>
      <c r="W51" s="2720"/>
      <c r="X51" s="2720"/>
      <c r="Y51" s="2720"/>
      <c r="Z51" s="2720"/>
      <c r="AA51" s="2720"/>
      <c r="AB51" s="2720"/>
      <c r="AC51" s="2720"/>
      <c r="AD51" s="2720"/>
    </row>
    <row r="52" spans="1:30" ht="15.75" thickBot="1">
      <c r="A52" s="481"/>
      <c r="B52" s="482"/>
      <c r="C52" s="483">
        <v>100</v>
      </c>
      <c r="D52" s="483"/>
      <c r="E52" s="483"/>
      <c r="F52" s="483"/>
      <c r="G52" s="483"/>
      <c r="H52" s="483"/>
      <c r="I52" s="483"/>
      <c r="J52" s="483"/>
      <c r="K52" s="483"/>
      <c r="L52" s="483"/>
      <c r="M52" s="484"/>
      <c r="N52" s="2749"/>
      <c r="O52" s="2749"/>
      <c r="P52" s="2773"/>
      <c r="Q52" s="2734"/>
      <c r="R52" s="2720"/>
      <c r="S52" s="2720"/>
      <c r="T52" s="2720"/>
      <c r="U52" s="2720"/>
      <c r="V52" s="2720"/>
      <c r="W52" s="2720"/>
      <c r="X52" s="2720"/>
      <c r="Y52" s="2720"/>
      <c r="Z52" s="2720"/>
      <c r="AA52" s="2720"/>
      <c r="AB52" s="2720"/>
      <c r="AC52" s="2720"/>
      <c r="AD52" s="2720"/>
    </row>
    <row r="53" spans="1:30" ht="27.75" thickTop="1">
      <c r="A53" s="481"/>
      <c r="B53" s="485" t="s">
        <v>1688</v>
      </c>
      <c r="C53" s="530"/>
      <c r="D53" s="530"/>
      <c r="E53" s="530"/>
      <c r="F53" s="530"/>
      <c r="G53" s="530"/>
      <c r="H53" s="530"/>
      <c r="I53" s="530"/>
      <c r="J53" s="530"/>
      <c r="K53" s="531"/>
      <c r="L53" s="532"/>
      <c r="M53" s="533"/>
      <c r="N53" s="2748"/>
      <c r="O53" s="2748"/>
      <c r="P53" s="2773"/>
      <c r="Q53" s="2734"/>
      <c r="R53" s="2720"/>
      <c r="S53" s="2720"/>
      <c r="T53" s="2720"/>
      <c r="U53" s="2720"/>
      <c r="V53" s="2720"/>
      <c r="W53" s="2720"/>
      <c r="X53" s="2720"/>
      <c r="Y53" s="2720"/>
      <c r="Z53" s="2720"/>
      <c r="AA53" s="2720"/>
      <c r="AB53" s="2720"/>
      <c r="AC53" s="2720"/>
      <c r="AD53" s="2720"/>
    </row>
    <row r="54" spans="1:30" ht="15.75" thickBot="1">
      <c r="A54" s="481"/>
      <c r="B54" s="490"/>
      <c r="C54" s="483"/>
      <c r="D54" s="483"/>
      <c r="E54" s="483"/>
      <c r="F54" s="483"/>
      <c r="G54" s="483"/>
      <c r="H54" s="483"/>
      <c r="I54" s="483"/>
      <c r="J54" s="483"/>
      <c r="K54" s="483"/>
      <c r="L54" s="483"/>
      <c r="M54" s="484"/>
      <c r="N54" s="2749"/>
      <c r="O54" s="2749"/>
      <c r="P54" s="2773"/>
      <c r="Q54" s="2734"/>
      <c r="R54" s="2720"/>
      <c r="S54" s="2720"/>
      <c r="T54" s="2720"/>
      <c r="U54" s="2720"/>
      <c r="V54" s="2720"/>
      <c r="W54" s="2720"/>
      <c r="X54" s="2720"/>
      <c r="Y54" s="2720"/>
      <c r="Z54" s="2720"/>
      <c r="AA54" s="2720"/>
      <c r="AB54" s="2720"/>
      <c r="AC54" s="2720"/>
      <c r="AD54" s="2720"/>
    </row>
    <row r="55" spans="1:30" ht="15.75" thickTop="1">
      <c r="A55" s="481"/>
      <c r="B55" s="606">
        <f>B11</f>
        <v>111</v>
      </c>
      <c r="C55" s="496"/>
      <c r="D55" s="496"/>
      <c r="E55" s="496"/>
      <c r="F55" s="496"/>
      <c r="G55" s="496"/>
      <c r="H55" s="496"/>
      <c r="I55" s="496"/>
      <c r="J55" s="496"/>
      <c r="K55" s="497"/>
      <c r="L55" s="498"/>
      <c r="M55" s="499"/>
      <c r="N55" s="2748"/>
      <c r="O55" s="2748"/>
      <c r="P55" s="2773"/>
      <c r="Q55" s="2734"/>
      <c r="R55" s="2720"/>
      <c r="S55" s="2720"/>
      <c r="T55" s="2720"/>
      <c r="U55" s="2720"/>
      <c r="V55" s="2720"/>
      <c r="W55" s="2720"/>
      <c r="X55" s="2720"/>
      <c r="Y55" s="2720"/>
      <c r="Z55" s="2720"/>
      <c r="AA55" s="2720"/>
      <c r="AB55" s="2720"/>
      <c r="AC55" s="2720"/>
      <c r="AD55" s="2720"/>
    </row>
    <row r="56" spans="1:30" ht="15.75" thickBot="1">
      <c r="A56" s="481"/>
      <c r="B56" s="482"/>
      <c r="C56" s="507"/>
      <c r="D56" s="483"/>
      <c r="E56" s="483"/>
      <c r="F56" s="483"/>
      <c r="G56" s="483"/>
      <c r="H56" s="483"/>
      <c r="I56" s="483"/>
      <c r="J56" s="483"/>
      <c r="K56" s="483"/>
      <c r="L56" s="483"/>
      <c r="M56" s="484"/>
      <c r="N56" s="2749"/>
      <c r="O56" s="2749"/>
      <c r="P56" s="2773"/>
      <c r="Q56" s="2734"/>
      <c r="R56" s="2720"/>
      <c r="S56" s="2720"/>
      <c r="T56" s="2720"/>
      <c r="U56" s="2720"/>
      <c r="V56" s="2720"/>
      <c r="W56" s="2720"/>
      <c r="X56" s="2720"/>
      <c r="Y56" s="2720"/>
      <c r="Z56" s="2720"/>
      <c r="AA56" s="2720"/>
      <c r="AB56" s="2720"/>
      <c r="AC56" s="2720"/>
      <c r="AD56" s="2720"/>
    </row>
    <row r="57" spans="1:30" s="420" customFormat="1" ht="15.75" thickTop="1">
      <c r="A57" s="500"/>
      <c r="B57" s="485">
        <f>B12</f>
        <v>111</v>
      </c>
      <c r="C57" s="496"/>
      <c r="D57" s="496"/>
      <c r="E57" s="496"/>
      <c r="F57" s="496"/>
      <c r="G57" s="501"/>
      <c r="H57" s="502"/>
      <c r="I57" s="502"/>
      <c r="J57" s="502"/>
      <c r="K57" s="502"/>
      <c r="L57" s="503"/>
      <c r="M57" s="504"/>
      <c r="N57" s="2750"/>
      <c r="O57" s="2750"/>
      <c r="P57" s="2774"/>
      <c r="Q57" s="2741"/>
      <c r="R57" s="2742"/>
      <c r="S57" s="2742"/>
      <c r="T57" s="2742"/>
      <c r="U57" s="2742"/>
      <c r="V57" s="2742"/>
      <c r="W57" s="2742"/>
      <c r="X57" s="2742"/>
      <c r="Y57" s="2742"/>
      <c r="Z57" s="2742"/>
      <c r="AA57" s="2742"/>
      <c r="AB57" s="2742"/>
      <c r="AC57" s="2742"/>
      <c r="AD57" s="2742"/>
    </row>
    <row r="58" spans="1:30" s="420" customFormat="1" ht="15.75" thickBot="1">
      <c r="A58" s="500"/>
      <c r="B58" s="490"/>
      <c r="C58" s="507"/>
      <c r="D58" s="483"/>
      <c r="E58" s="483"/>
      <c r="F58" s="483"/>
      <c r="G58" s="483"/>
      <c r="H58" s="483"/>
      <c r="I58" s="483"/>
      <c r="J58" s="483"/>
      <c r="K58" s="483"/>
      <c r="L58" s="483"/>
      <c r="M58" s="484"/>
      <c r="N58" s="2749"/>
      <c r="O58" s="2749"/>
      <c r="P58" s="2774"/>
      <c r="Q58" s="2741"/>
      <c r="R58" s="2742"/>
      <c r="S58" s="2742"/>
      <c r="T58" s="2742"/>
      <c r="U58" s="2742"/>
      <c r="V58" s="2742"/>
      <c r="W58" s="2742"/>
      <c r="X58" s="2742"/>
      <c r="Y58" s="2742"/>
      <c r="Z58" s="2742"/>
      <c r="AA58" s="2742"/>
      <c r="AB58" s="2742"/>
      <c r="AC58" s="2742"/>
      <c r="AD58" s="2742"/>
    </row>
    <row r="59" spans="1:30" s="420" customFormat="1" ht="15.75" thickTop="1">
      <c r="A59" s="500"/>
      <c r="B59" s="485">
        <f>B13</f>
        <v>111</v>
      </c>
      <c r="C59" s="496"/>
      <c r="D59" s="496"/>
      <c r="E59" s="496"/>
      <c r="F59" s="496"/>
      <c r="G59" s="501"/>
      <c r="H59" s="502"/>
      <c r="I59" s="502"/>
      <c r="J59" s="502"/>
      <c r="K59" s="502"/>
      <c r="L59" s="503"/>
      <c r="M59" s="504"/>
      <c r="N59" s="2750"/>
      <c r="O59" s="2750"/>
      <c r="P59" s="2718"/>
      <c r="Q59" s="2744"/>
      <c r="R59" s="2742"/>
      <c r="S59" s="2742"/>
      <c r="T59" s="2742"/>
      <c r="U59" s="2742"/>
      <c r="V59" s="2742"/>
      <c r="W59" s="2742"/>
      <c r="X59" s="2742"/>
      <c r="Y59" s="2742"/>
      <c r="Z59" s="2742"/>
      <c r="AA59" s="2742"/>
      <c r="AB59" s="2742"/>
      <c r="AC59" s="2742"/>
      <c r="AD59" s="2742"/>
    </row>
    <row r="60" spans="1:30" s="420" customFormat="1" ht="15.75" thickBot="1">
      <c r="A60" s="500"/>
      <c r="B60" s="490"/>
      <c r="C60" s="507"/>
      <c r="D60" s="507"/>
      <c r="E60" s="507"/>
      <c r="F60" s="507"/>
      <c r="G60" s="507"/>
      <c r="H60" s="509"/>
      <c r="I60" s="509"/>
      <c r="J60" s="509"/>
      <c r="K60" s="509"/>
      <c r="L60" s="509"/>
      <c r="M60" s="510"/>
      <c r="N60" s="2750"/>
      <c r="O60" s="2750"/>
      <c r="P60" s="2774"/>
      <c r="Q60" s="2741"/>
      <c r="R60" s="2742"/>
      <c r="S60" s="2742"/>
      <c r="T60" s="2742"/>
      <c r="U60" s="2742"/>
      <c r="V60" s="2742"/>
      <c r="W60" s="2742"/>
      <c r="X60" s="2742"/>
      <c r="Y60" s="2742"/>
      <c r="Z60" s="2742"/>
      <c r="AA60" s="2742"/>
      <c r="AB60" s="2742"/>
      <c r="AC60" s="2742"/>
      <c r="AD60" s="2742"/>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8"/>
      <c r="O61" s="2748"/>
      <c r="P61" s="2775"/>
      <c r="Q61" s="2734"/>
      <c r="R61" s="2720"/>
      <c r="S61" s="2720"/>
      <c r="T61" s="2720"/>
      <c r="U61" s="2720"/>
      <c r="V61" s="2720"/>
      <c r="W61" s="2720"/>
      <c r="X61" s="2720"/>
      <c r="Y61" s="2720"/>
      <c r="Z61" s="2720"/>
      <c r="AA61" s="2720"/>
      <c r="AB61" s="2720"/>
      <c r="AC61" s="2720"/>
      <c r="AD61" s="2720"/>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9"/>
      <c r="O62" s="2749"/>
      <c r="P62" s="2773"/>
      <c r="Q62" s="2734"/>
      <c r="R62" s="2720"/>
      <c r="S62" s="2720"/>
      <c r="T62" s="2720"/>
      <c r="U62" s="2720"/>
      <c r="V62" s="2720"/>
      <c r="W62" s="2720"/>
      <c r="X62" s="2720"/>
      <c r="Y62" s="2720"/>
      <c r="Z62" s="2720"/>
      <c r="AA62" s="2720"/>
      <c r="AB62" s="2720"/>
      <c r="AC62" s="2720"/>
      <c r="AD62" s="2720"/>
    </row>
    <row r="63" spans="1:30" ht="27.75" thickTop="1">
      <c r="A63" s="481"/>
      <c r="B63" s="485" t="s">
        <v>1863</v>
      </c>
      <c r="C63" s="525" t="s">
        <v>1721</v>
      </c>
      <c r="D63" s="525" t="s">
        <v>1722</v>
      </c>
      <c r="E63" s="525" t="s">
        <v>1723</v>
      </c>
      <c r="F63" s="525" t="s">
        <v>1724</v>
      </c>
      <c r="G63" s="525" t="s">
        <v>1725</v>
      </c>
      <c r="H63" s="486"/>
      <c r="I63" s="486"/>
      <c r="J63" s="486"/>
      <c r="K63" s="487"/>
      <c r="L63" s="488"/>
      <c r="M63" s="489"/>
      <c r="N63" s="2748"/>
      <c r="O63" s="2748"/>
      <c r="P63" s="2773"/>
      <c r="Q63" s="2734"/>
      <c r="R63" s="2720"/>
      <c r="S63" s="2720"/>
      <c r="T63" s="2720"/>
      <c r="U63" s="2720"/>
      <c r="V63" s="2720"/>
      <c r="W63" s="2720"/>
      <c r="X63" s="2720"/>
      <c r="Y63" s="2720"/>
      <c r="Z63" s="2720"/>
      <c r="AA63" s="2720"/>
      <c r="AB63" s="2720"/>
      <c r="AC63" s="2720"/>
      <c r="AD63" s="2720"/>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9"/>
      <c r="O64" s="2749"/>
      <c r="P64" s="2773"/>
      <c r="Q64" s="2734"/>
      <c r="R64" s="2720"/>
      <c r="S64" s="2720"/>
      <c r="T64" s="2720"/>
      <c r="U64" s="2720"/>
      <c r="V64" s="2720"/>
      <c r="W64" s="2720"/>
      <c r="X64" s="2720"/>
      <c r="Y64" s="2720"/>
      <c r="Z64" s="2720"/>
      <c r="AA64" s="2720"/>
      <c r="AB64" s="2720"/>
      <c r="AC64" s="2720"/>
      <c r="AD64" s="2720"/>
    </row>
    <row r="65" spans="1:30" ht="15.75" thickTop="1">
      <c r="A65" s="481"/>
      <c r="B65" s="493" t="s">
        <v>1813</v>
      </c>
      <c r="C65" s="606" t="s">
        <v>1799</v>
      </c>
      <c r="D65" s="606" t="s">
        <v>1800</v>
      </c>
      <c r="E65" s="606" t="s">
        <v>1801</v>
      </c>
      <c r="F65" s="606" t="s">
        <v>1802</v>
      </c>
      <c r="G65" s="606" t="s">
        <v>1803</v>
      </c>
      <c r="H65" s="486"/>
      <c r="I65" s="486"/>
      <c r="J65" s="486"/>
      <c r="K65" s="486"/>
      <c r="L65" s="486"/>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9"/>
      <c r="O66" s="2749"/>
      <c r="P66" s="2773"/>
      <c r="Q66" s="2734"/>
      <c r="R66" s="2720"/>
      <c r="S66" s="2720"/>
      <c r="T66" s="2720"/>
      <c r="U66" s="2720"/>
      <c r="V66" s="2720"/>
      <c r="W66" s="2720"/>
      <c r="X66" s="2720"/>
      <c r="Y66" s="2720"/>
      <c r="Z66" s="2720"/>
      <c r="AA66" s="2720"/>
      <c r="AB66" s="2720"/>
      <c r="AC66" s="2720"/>
      <c r="AD66" s="2720"/>
    </row>
    <row r="67" spans="1:30" ht="15.75" thickTop="1">
      <c r="A67" s="481"/>
      <c r="B67" s="485" t="s">
        <v>1733</v>
      </c>
      <c r="C67" s="525" t="s">
        <v>1721</v>
      </c>
      <c r="D67" s="525" t="s">
        <v>1722</v>
      </c>
      <c r="E67" s="525" t="s">
        <v>1723</v>
      </c>
      <c r="F67" s="525" t="s">
        <v>1724</v>
      </c>
      <c r="G67" s="525" t="s">
        <v>1725</v>
      </c>
      <c r="H67" s="486"/>
      <c r="I67" s="486"/>
      <c r="J67" s="486"/>
      <c r="K67" s="487"/>
      <c r="L67" s="488"/>
      <c r="M67" s="489"/>
      <c r="N67" s="2748"/>
      <c r="O67" s="2748"/>
      <c r="P67" s="2773"/>
      <c r="Q67" s="2734"/>
      <c r="R67" s="2720"/>
      <c r="S67" s="2720"/>
      <c r="T67" s="2720"/>
      <c r="U67" s="2720"/>
      <c r="V67" s="2720"/>
      <c r="W67" s="2720"/>
      <c r="X67" s="2720"/>
      <c r="Y67" s="2720"/>
      <c r="Z67" s="2720"/>
      <c r="AA67" s="2720"/>
      <c r="AB67" s="2720"/>
      <c r="AC67" s="2720"/>
      <c r="AD67" s="2720"/>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9"/>
      <c r="O68" s="2749"/>
      <c r="P68" s="2773"/>
      <c r="Q68" s="2734"/>
      <c r="R68" s="2720"/>
      <c r="S68" s="2720"/>
      <c r="T68" s="2720"/>
      <c r="U68" s="2720"/>
      <c r="V68" s="2720"/>
      <c r="W68" s="2720"/>
      <c r="X68" s="2720"/>
      <c r="Y68" s="2720"/>
      <c r="Z68" s="2720"/>
      <c r="AA68" s="2720"/>
      <c r="AB68" s="2720"/>
      <c r="AC68" s="2720"/>
      <c r="AD68" s="2720"/>
    </row>
    <row r="69" spans="1:30" ht="15.75" thickTop="1">
      <c r="A69" s="481"/>
      <c r="B69" s="485" t="s">
        <v>1852</v>
      </c>
      <c r="C69" s="501"/>
      <c r="D69" s="501"/>
      <c r="E69" s="501"/>
      <c r="F69" s="501"/>
      <c r="G69" s="501"/>
      <c r="H69" s="530"/>
      <c r="I69" s="530"/>
      <c r="J69" s="530"/>
      <c r="K69" s="531"/>
      <c r="L69" s="532"/>
      <c r="M69" s="533"/>
      <c r="N69" s="2748"/>
      <c r="O69" s="2748"/>
      <c r="P69" s="2773"/>
      <c r="Q69" s="2734"/>
      <c r="R69" s="2720"/>
      <c r="S69" s="2720"/>
      <c r="T69" s="2720"/>
      <c r="U69" s="2720"/>
      <c r="V69" s="2720"/>
      <c r="W69" s="2720"/>
      <c r="X69" s="2720"/>
      <c r="Y69" s="2720"/>
      <c r="Z69" s="2720"/>
      <c r="AA69" s="2720"/>
      <c r="AB69" s="2720"/>
      <c r="AC69" s="2720"/>
      <c r="AD69" s="2720"/>
    </row>
    <row r="70" spans="1:30" ht="15.75" thickBot="1">
      <c r="A70" s="481"/>
      <c r="B70" s="490"/>
      <c r="C70" s="491">
        <v>100</v>
      </c>
      <c r="D70" s="491">
        <f>C70-$K22</f>
        <v>100</v>
      </c>
      <c r="E70" s="491"/>
      <c r="F70" s="491"/>
      <c r="G70" s="491"/>
      <c r="H70" s="491"/>
      <c r="I70" s="491"/>
      <c r="J70" s="491"/>
      <c r="K70" s="491"/>
      <c r="L70" s="491"/>
      <c r="M70" s="492"/>
      <c r="N70" s="2749"/>
      <c r="O70" s="2749"/>
      <c r="P70" s="2773"/>
      <c r="Q70" s="2734"/>
      <c r="R70" s="2720"/>
      <c r="S70" s="2720"/>
      <c r="T70" s="2720"/>
      <c r="U70" s="2720"/>
      <c r="V70" s="2720"/>
      <c r="W70" s="2720"/>
      <c r="X70" s="2720"/>
      <c r="Y70" s="2720"/>
      <c r="Z70" s="2720"/>
      <c r="AA70" s="2720"/>
      <c r="AB70" s="2720"/>
      <c r="AC70" s="2720"/>
      <c r="AD70" s="2720"/>
    </row>
    <row r="71" spans="1:30" s="106" customFormat="1" ht="15.75" thickTop="1">
      <c r="A71" s="526"/>
      <c r="B71" s="485">
        <f>B23</f>
        <v>111</v>
      </c>
      <c r="C71" s="496"/>
      <c r="D71" s="496"/>
      <c r="E71" s="496"/>
      <c r="F71" s="496"/>
      <c r="G71" s="501"/>
      <c r="H71" s="501"/>
      <c r="I71" s="501"/>
      <c r="J71" s="501"/>
      <c r="K71" s="501"/>
      <c r="L71" s="527"/>
      <c r="M71" s="528"/>
      <c r="N71" s="2747"/>
      <c r="O71" s="2747"/>
      <c r="P71" s="2773"/>
      <c r="Q71" s="2734"/>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9"/>
      <c r="O72" s="2749"/>
      <c r="P72" s="2773"/>
      <c r="Q72" s="2734"/>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7"/>
      <c r="O73" s="2747"/>
      <c r="P73" s="2773"/>
      <c r="Q73" s="2734"/>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9"/>
      <c r="O74" s="2749"/>
      <c r="P74" s="2773"/>
      <c r="Q74" s="2734"/>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50"/>
      <c r="O75" s="2750"/>
      <c r="P75" s="2774"/>
      <c r="Q75" s="2741"/>
      <c r="R75" s="2742"/>
      <c r="S75" s="2742"/>
      <c r="T75" s="2742"/>
      <c r="U75" s="2742"/>
      <c r="V75" s="2742"/>
      <c r="W75" s="2742"/>
      <c r="X75" s="2742"/>
      <c r="Y75" s="2742"/>
      <c r="Z75" s="2742"/>
      <c r="AA75" s="2742"/>
      <c r="AB75" s="2742"/>
      <c r="AC75" s="2742"/>
      <c r="AD75" s="2742"/>
    </row>
    <row r="76" spans="1:30" s="420" customFormat="1" ht="15.75" thickBot="1">
      <c r="A76" s="500"/>
      <c r="B76" s="490"/>
      <c r="C76" s="507"/>
      <c r="D76" s="507"/>
      <c r="E76" s="507"/>
      <c r="F76" s="507"/>
      <c r="G76" s="483"/>
      <c r="H76" s="483"/>
      <c r="I76" s="483"/>
      <c r="J76" s="483"/>
      <c r="K76" s="483"/>
      <c r="L76" s="483"/>
      <c r="M76" s="484"/>
      <c r="N76" s="2750"/>
      <c r="O76" s="2750"/>
      <c r="P76" s="2774"/>
      <c r="Q76" s="2741"/>
      <c r="R76" s="2742"/>
      <c r="S76" s="2742"/>
      <c r="T76" s="2742"/>
      <c r="U76" s="2742"/>
      <c r="V76" s="2742"/>
      <c r="W76" s="2742"/>
      <c r="X76" s="2742"/>
      <c r="Y76" s="2742"/>
      <c r="Z76" s="2742"/>
      <c r="AA76" s="2742"/>
      <c r="AB76" s="2742"/>
      <c r="AC76" s="2742"/>
      <c r="AD76" s="2742"/>
    </row>
    <row r="77" spans="1:30" ht="15" thickTop="1">
      <c r="A77" s="474" t="s">
        <v>1694</v>
      </c>
      <c r="B77" s="475" t="s">
        <v>1740</v>
      </c>
      <c r="C77" s="501"/>
      <c r="D77" s="501"/>
      <c r="E77" s="477"/>
      <c r="F77" s="477"/>
      <c r="G77" s="477"/>
      <c r="H77" s="477"/>
      <c r="I77" s="477"/>
      <c r="J77" s="477"/>
      <c r="K77" s="478"/>
      <c r="L77" s="479"/>
      <c r="M77" s="480"/>
      <c r="N77" s="2748"/>
      <c r="O77" s="2748"/>
      <c r="P77" s="2773"/>
      <c r="Q77" s="2734"/>
      <c r="R77" s="2720"/>
      <c r="S77" s="2720"/>
      <c r="T77" s="2720"/>
      <c r="U77" s="2720"/>
      <c r="V77" s="2720"/>
      <c r="W77" s="2720"/>
      <c r="X77" s="2720"/>
      <c r="Y77" s="2720"/>
      <c r="Z77" s="2720"/>
      <c r="AA77" s="2720"/>
      <c r="AB77" s="2720"/>
      <c r="AC77" s="2720"/>
      <c r="AD77" s="2720"/>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7"/>
      <c r="O79" s="2747"/>
      <c r="P79" s="2773"/>
      <c r="Q79" s="2734"/>
      <c r="R79" s="2720"/>
      <c r="S79" s="2720"/>
      <c r="T79" s="2720"/>
      <c r="U79" s="2720"/>
      <c r="V79" s="2720"/>
      <c r="W79" s="2720"/>
      <c r="X79" s="2720"/>
      <c r="Y79" s="2720"/>
      <c r="Z79" s="2720"/>
      <c r="AA79" s="2720"/>
      <c r="AB79" s="2720"/>
      <c r="AC79" s="2720"/>
      <c r="AD79" s="2720"/>
    </row>
    <row r="80" spans="1:30" ht="15">
      <c r="A80" s="481"/>
      <c r="B80" s="493"/>
      <c r="C80" s="550">
        <v>0.5</v>
      </c>
      <c r="D80" s="550">
        <v>0.6</v>
      </c>
      <c r="E80" s="550">
        <v>0.7</v>
      </c>
      <c r="F80" s="550">
        <v>0.8</v>
      </c>
      <c r="G80" s="550">
        <v>0.9</v>
      </c>
      <c r="H80" s="550">
        <v>1.0001</v>
      </c>
      <c r="I80" s="606"/>
      <c r="J80" s="606"/>
      <c r="K80" s="614"/>
      <c r="L80" s="615"/>
      <c r="M80" s="616"/>
      <c r="N80" s="2747"/>
      <c r="O80" s="2747"/>
      <c r="P80" s="2773"/>
      <c r="Q80" s="2734"/>
      <c r="R80" s="2720"/>
      <c r="S80" s="2720"/>
      <c r="T80" s="2720"/>
      <c r="U80" s="2720"/>
      <c r="V80" s="2720"/>
      <c r="W80" s="2720"/>
      <c r="X80" s="2720"/>
      <c r="Y80" s="2720"/>
      <c r="Z80" s="2720"/>
      <c r="AA80" s="2720"/>
      <c r="AB80" s="2720"/>
      <c r="AC80" s="2720"/>
      <c r="AD80" s="2720"/>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6"/>
      <c r="B82" s="493" t="s">
        <v>1856</v>
      </c>
      <c r="C82" s="501"/>
      <c r="D82" s="501"/>
      <c r="E82" s="530"/>
      <c r="F82" s="530"/>
      <c r="G82" s="530"/>
      <c r="H82" s="530"/>
      <c r="I82" s="530"/>
      <c r="J82" s="530"/>
      <c r="K82" s="531"/>
      <c r="L82" s="532"/>
      <c r="M82" s="533"/>
      <c r="N82" s="2748"/>
      <c r="O82" s="2748"/>
      <c r="P82" s="2773"/>
      <c r="Q82" s="2734"/>
      <c r="R82" s="2720"/>
      <c r="S82" s="2720"/>
      <c r="T82" s="2720"/>
      <c r="U82" s="2720"/>
      <c r="V82" s="2720"/>
      <c r="W82" s="2720"/>
      <c r="X82" s="2720"/>
      <c r="Y82" s="2720"/>
      <c r="Z82" s="2720"/>
      <c r="AA82" s="2720"/>
      <c r="AB82" s="2720"/>
      <c r="AC82" s="2720"/>
      <c r="AD82" s="2720"/>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6"/>
      <c r="B84" s="485" t="s">
        <v>1864</v>
      </c>
      <c r="C84" s="501"/>
      <c r="D84" s="501"/>
      <c r="E84" s="501"/>
      <c r="F84" s="501"/>
      <c r="G84" s="501"/>
      <c r="H84" s="501"/>
      <c r="I84" s="530"/>
      <c r="J84" s="530"/>
      <c r="K84" s="531"/>
      <c r="L84" s="532"/>
      <c r="M84" s="533"/>
      <c r="N84" s="2748"/>
      <c r="O84" s="2748"/>
      <c r="P84" s="2773"/>
      <c r="Q84" s="2734"/>
      <c r="R84" s="2720"/>
      <c r="S84" s="2720"/>
      <c r="T84" s="2720"/>
      <c r="U84" s="2720"/>
      <c r="V84" s="2720"/>
      <c r="W84" s="2720"/>
      <c r="X84" s="2720"/>
      <c r="Y84" s="2720"/>
      <c r="Z84" s="2720"/>
      <c r="AA84" s="2720"/>
      <c r="AB84" s="2720"/>
      <c r="AC84" s="2720"/>
      <c r="AD84" s="2720"/>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6"/>
      <c r="B87" s="493"/>
      <c r="C87" s="542"/>
      <c r="D87" s="542"/>
      <c r="E87" s="542"/>
      <c r="F87" s="542"/>
      <c r="G87" s="542"/>
      <c r="H87" s="542"/>
      <c r="I87" s="542"/>
      <c r="J87" s="543"/>
      <c r="K87" s="543"/>
      <c r="L87" s="544"/>
      <c r="M87" s="545"/>
      <c r="N87" s="2748"/>
      <c r="O87" s="2748"/>
      <c r="P87" s="2773"/>
      <c r="Q87" s="2734"/>
      <c r="R87" s="2720"/>
      <c r="S87" s="2720"/>
      <c r="T87" s="2720"/>
      <c r="U87" s="2720"/>
      <c r="V87" s="2720"/>
      <c r="W87" s="2720"/>
      <c r="X87" s="2720"/>
      <c r="Y87" s="2720"/>
      <c r="Z87" s="2720"/>
      <c r="AA87" s="2720"/>
      <c r="AB87" s="2720"/>
      <c r="AC87" s="2720"/>
      <c r="AD87" s="2720"/>
    </row>
    <row r="88" spans="1:30" ht="15.75" thickBot="1">
      <c r="A88" s="481"/>
      <c r="B88" s="490"/>
      <c r="C88" s="507"/>
      <c r="D88" s="483"/>
      <c r="E88" s="483"/>
      <c r="F88" s="483"/>
      <c r="G88" s="483"/>
      <c r="H88" s="483"/>
      <c r="I88" s="483"/>
      <c r="J88" s="483"/>
      <c r="K88" s="483"/>
      <c r="L88" s="483"/>
      <c r="M88" s="483"/>
      <c r="N88" s="2749"/>
      <c r="O88" s="2749"/>
      <c r="P88" s="2773"/>
      <c r="Q88" s="2734"/>
      <c r="R88" s="2720"/>
      <c r="S88" s="2720"/>
      <c r="T88" s="2720"/>
      <c r="U88" s="2720"/>
      <c r="V88" s="2720"/>
      <c r="W88" s="2720"/>
      <c r="X88" s="2720"/>
      <c r="Y88" s="2720"/>
      <c r="Z88" s="2720"/>
      <c r="AA88" s="2720"/>
      <c r="AB88" s="2720"/>
      <c r="AC88" s="2720"/>
      <c r="AD88" s="2720"/>
    </row>
    <row r="89" spans="1:30" s="420" customFormat="1" ht="15" thickTop="1">
      <c r="A89" s="540"/>
      <c r="B89" s="485" t="s">
        <v>1866</v>
      </c>
      <c r="C89" s="501"/>
      <c r="D89" s="501"/>
      <c r="E89" s="501"/>
      <c r="F89" s="501"/>
      <c r="G89" s="501"/>
      <c r="H89" s="501"/>
      <c r="I89" s="501"/>
      <c r="J89" s="501"/>
      <c r="K89" s="501"/>
      <c r="L89" s="501"/>
      <c r="M89" s="528"/>
      <c r="N89" s="2750"/>
      <c r="O89" s="2750"/>
      <c r="P89" s="2774"/>
      <c r="Q89" s="2741"/>
      <c r="R89" s="2742"/>
      <c r="S89" s="2742"/>
      <c r="T89" s="2742"/>
      <c r="U89" s="2742"/>
      <c r="V89" s="2742"/>
      <c r="W89" s="2742"/>
      <c r="X89" s="2742"/>
      <c r="Y89" s="2742"/>
      <c r="Z89" s="2742"/>
      <c r="AA89" s="2742"/>
      <c r="AB89" s="2742"/>
      <c r="AC89" s="2742"/>
      <c r="AD89" s="2742"/>
    </row>
    <row r="90" spans="1:30" s="420" customFormat="1" ht="15.75" thickBot="1">
      <c r="A90" s="500"/>
      <c r="B90" s="490"/>
      <c r="C90" s="507"/>
      <c r="D90" s="483"/>
      <c r="E90" s="483"/>
      <c r="F90" s="483"/>
      <c r="G90" s="483"/>
      <c r="H90" s="483"/>
      <c r="I90" s="483"/>
      <c r="J90" s="483"/>
      <c r="K90" s="483"/>
      <c r="L90" s="483"/>
      <c r="M90" s="484"/>
      <c r="N90" s="2750"/>
      <c r="O90" s="2750"/>
      <c r="P90" s="2774"/>
      <c r="Q90" s="2741"/>
      <c r="R90" s="2742"/>
      <c r="S90" s="2742"/>
      <c r="T90" s="2742"/>
      <c r="U90" s="2742"/>
      <c r="V90" s="2742"/>
      <c r="W90" s="2742"/>
      <c r="X90" s="2742"/>
      <c r="Y90" s="2742"/>
      <c r="Z90" s="2742"/>
      <c r="AA90" s="2742"/>
      <c r="AB90" s="2742"/>
      <c r="AC90" s="2742"/>
      <c r="AD90" s="2742"/>
    </row>
    <row r="91" spans="1:30" ht="15" thickTop="1">
      <c r="A91" s="546"/>
      <c r="B91" s="485">
        <f>B32</f>
        <v>111</v>
      </c>
      <c r="C91" s="496"/>
      <c r="D91" s="496"/>
      <c r="E91" s="496"/>
      <c r="F91" s="496"/>
      <c r="G91" s="501"/>
      <c r="H91" s="502"/>
      <c r="I91" s="502"/>
      <c r="J91" s="502"/>
      <c r="K91" s="502"/>
      <c r="L91" s="503"/>
      <c r="M91" s="504"/>
      <c r="N91" s="2748"/>
      <c r="O91" s="2748"/>
      <c r="P91" s="2773"/>
      <c r="Q91" s="2734"/>
      <c r="R91" s="2720"/>
      <c r="S91" s="2720"/>
      <c r="T91" s="2720"/>
      <c r="U91" s="2720"/>
      <c r="V91" s="2720"/>
      <c r="W91" s="2720"/>
      <c r="X91" s="2720"/>
      <c r="Y91" s="2720"/>
      <c r="Z91" s="2720"/>
      <c r="AA91" s="2720"/>
      <c r="AB91" s="2720"/>
      <c r="AC91" s="2720"/>
      <c r="AD91" s="2720"/>
    </row>
    <row r="92" spans="1:30" ht="15.75" thickBot="1">
      <c r="A92" s="481"/>
      <c r="B92" s="490"/>
      <c r="C92" s="507"/>
      <c r="D92" s="483"/>
      <c r="E92" s="483"/>
      <c r="F92" s="483"/>
      <c r="G92" s="507"/>
      <c r="H92" s="509"/>
      <c r="I92" s="509"/>
      <c r="J92" s="509"/>
      <c r="K92" s="509"/>
      <c r="L92" s="509"/>
      <c r="M92" s="510"/>
      <c r="N92" s="2749"/>
      <c r="O92" s="2749"/>
      <c r="P92" s="2773"/>
      <c r="Q92" s="2734"/>
      <c r="R92" s="2720"/>
      <c r="S92" s="2720"/>
      <c r="T92" s="2720"/>
      <c r="U92" s="2720"/>
      <c r="V92" s="2720"/>
      <c r="W92" s="2720"/>
      <c r="X92" s="2720"/>
      <c r="Y92" s="2720"/>
      <c r="Z92" s="2720"/>
      <c r="AA92" s="2720"/>
      <c r="AB92" s="2720"/>
      <c r="AC92" s="2720"/>
      <c r="AD92" s="2720"/>
    </row>
    <row r="93" spans="1:30" ht="15" thickTop="1">
      <c r="A93" s="546"/>
      <c r="B93" s="485">
        <f>B33</f>
        <v>111</v>
      </c>
      <c r="C93" s="496"/>
      <c r="D93" s="496"/>
      <c r="E93" s="496"/>
      <c r="F93" s="496"/>
      <c r="G93" s="501"/>
      <c r="H93" s="502"/>
      <c r="I93" s="502"/>
      <c r="J93" s="502"/>
      <c r="K93" s="502"/>
      <c r="L93" s="503"/>
      <c r="M93" s="504"/>
      <c r="N93" s="2748"/>
      <c r="O93" s="2748"/>
      <c r="P93" s="2773"/>
      <c r="Q93" s="2734"/>
      <c r="R93" s="2720"/>
      <c r="S93" s="2720"/>
      <c r="T93" s="2720"/>
      <c r="U93" s="2720"/>
      <c r="V93" s="2720"/>
      <c r="W93" s="2720"/>
      <c r="X93" s="2720"/>
      <c r="Y93" s="2720"/>
      <c r="Z93" s="2720"/>
      <c r="AA93" s="2720"/>
      <c r="AB93" s="2720"/>
      <c r="AC93" s="2720"/>
      <c r="AD93" s="2720"/>
    </row>
    <row r="94" spans="1:30" ht="15.75" thickBot="1">
      <c r="A94" s="481"/>
      <c r="B94" s="490"/>
      <c r="C94" s="507"/>
      <c r="D94" s="483"/>
      <c r="E94" s="483"/>
      <c r="F94" s="483"/>
      <c r="G94" s="507"/>
      <c r="H94" s="509"/>
      <c r="I94" s="509"/>
      <c r="J94" s="509"/>
      <c r="K94" s="509"/>
      <c r="L94" s="509"/>
      <c r="M94" s="510"/>
      <c r="N94" s="2749"/>
      <c r="O94" s="2749"/>
      <c r="P94" s="2773"/>
      <c r="Q94" s="2734"/>
      <c r="R94" s="2720"/>
      <c r="S94" s="2720"/>
      <c r="T94" s="2720"/>
      <c r="U94" s="2720"/>
      <c r="V94" s="2720"/>
      <c r="W94" s="2720"/>
      <c r="X94" s="2720"/>
      <c r="Y94" s="2720"/>
      <c r="Z94" s="2720"/>
      <c r="AA94" s="2720"/>
      <c r="AB94" s="2720"/>
      <c r="AC94" s="2720"/>
      <c r="AD94" s="2720"/>
    </row>
    <row r="95" spans="1:30" ht="15" thickTop="1">
      <c r="A95" s="546"/>
      <c r="B95" s="582">
        <f>B34</f>
        <v>111</v>
      </c>
      <c r="C95" s="496"/>
      <c r="D95" s="496"/>
      <c r="E95" s="496"/>
      <c r="F95" s="496"/>
      <c r="G95" s="501"/>
      <c r="H95" s="502"/>
      <c r="I95" s="502"/>
      <c r="J95" s="502"/>
      <c r="K95" s="502"/>
      <c r="L95" s="503"/>
      <c r="M95" s="504"/>
      <c r="N95" s="2749"/>
      <c r="O95" s="2749"/>
      <c r="P95" s="2776"/>
      <c r="Q95" s="2763"/>
      <c r="R95" s="2720"/>
      <c r="S95" s="2720"/>
      <c r="T95" s="2720"/>
      <c r="U95" s="2720"/>
      <c r="V95" s="2720"/>
      <c r="W95" s="2720"/>
      <c r="X95" s="2720"/>
      <c r="Y95" s="2720"/>
      <c r="Z95" s="2720"/>
      <c r="AA95" s="2720"/>
      <c r="AB95" s="2720"/>
      <c r="AC95" s="2720"/>
      <c r="AD95" s="2720"/>
    </row>
    <row r="96" spans="1:30" ht="15.75" thickBot="1">
      <c r="A96" s="481"/>
      <c r="B96" s="490"/>
      <c r="C96" s="507"/>
      <c r="D96" s="507"/>
      <c r="E96" s="507"/>
      <c r="F96" s="507"/>
      <c r="G96" s="507"/>
      <c r="H96" s="509"/>
      <c r="I96" s="509"/>
      <c r="J96" s="509"/>
      <c r="K96" s="509"/>
      <c r="L96" s="509"/>
      <c r="M96" s="510"/>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1"/>
      <c r="B98" s="931"/>
      <c r="C98" s="931"/>
      <c r="D98" s="931"/>
      <c r="E98" s="931"/>
      <c r="F98" s="931"/>
      <c r="G98" s="931"/>
      <c r="H98" s="931"/>
      <c r="I98" s="931"/>
      <c r="J98" s="931"/>
      <c r="K98" s="932"/>
      <c r="L98" s="933"/>
      <c r="M98" s="931"/>
      <c r="N98" s="2720"/>
      <c r="O98" s="2720"/>
      <c r="P98" s="2720"/>
      <c r="Q98" s="2720"/>
      <c r="R98" s="2720"/>
      <c r="S98" s="2720"/>
      <c r="T98" s="2720"/>
      <c r="U98" s="2720"/>
      <c r="V98" s="2720"/>
      <c r="W98" s="2720"/>
      <c r="X98" s="2720"/>
      <c r="Y98" s="2720"/>
      <c r="Z98" s="2720"/>
      <c r="AA98" s="2720"/>
      <c r="AB98" s="2720"/>
      <c r="AC98" s="2720"/>
      <c r="AD98" s="2720"/>
    </row>
    <row r="99" spans="1:30">
      <c r="A99" s="931"/>
      <c r="B99" s="931"/>
      <c r="C99" s="931"/>
      <c r="D99" s="931"/>
      <c r="E99" s="931"/>
      <c r="F99" s="931"/>
      <c r="G99" s="931"/>
      <c r="H99" s="931"/>
      <c r="I99" s="931"/>
      <c r="J99" s="931"/>
      <c r="K99" s="932"/>
      <c r="L99" s="933"/>
      <c r="M99" s="931"/>
      <c r="N99" s="2720"/>
      <c r="O99" s="2720"/>
      <c r="P99" s="2720"/>
      <c r="Q99" s="2720"/>
      <c r="R99" s="2720"/>
      <c r="S99" s="2720"/>
      <c r="T99" s="2720"/>
      <c r="U99" s="2720"/>
      <c r="V99" s="2720"/>
      <c r="W99" s="2720"/>
      <c r="X99" s="2720"/>
      <c r="Y99" s="2720"/>
      <c r="Z99" s="2720"/>
      <c r="AA99" s="2720"/>
      <c r="AB99" s="2720"/>
      <c r="AC99" s="2720"/>
      <c r="AD99" s="2720"/>
    </row>
    <row r="100" spans="1:30">
      <c r="A100" s="931"/>
      <c r="B100" s="931"/>
      <c r="C100" s="931"/>
      <c r="D100" s="931"/>
      <c r="E100" s="931"/>
      <c r="F100" s="931"/>
      <c r="G100" s="931"/>
      <c r="H100" s="931"/>
      <c r="I100" s="931"/>
      <c r="J100" s="931"/>
      <c r="K100" s="932"/>
      <c r="L100" s="933"/>
      <c r="M100" s="931"/>
      <c r="N100" s="2720"/>
      <c r="O100" s="2720"/>
      <c r="P100" s="2720"/>
      <c r="Q100" s="2720"/>
      <c r="R100" s="2720"/>
      <c r="S100" s="2720"/>
      <c r="T100" s="2720"/>
      <c r="U100" s="2720"/>
      <c r="V100" s="2720"/>
      <c r="W100" s="2720"/>
      <c r="X100" s="2720"/>
      <c r="Y100" s="2720"/>
      <c r="Z100" s="2720"/>
      <c r="AA100" s="2720"/>
      <c r="AB100" s="2720"/>
      <c r="AC100" s="2720"/>
      <c r="AD100" s="2720"/>
    </row>
    <row r="101" spans="1:30">
      <c r="A101" s="931"/>
      <c r="B101" s="931"/>
      <c r="C101" s="931"/>
      <c r="D101" s="931"/>
      <c r="E101" s="931"/>
      <c r="F101" s="931"/>
      <c r="G101" s="931"/>
      <c r="H101" s="931"/>
      <c r="I101" s="931"/>
      <c r="J101" s="931"/>
      <c r="K101" s="932"/>
      <c r="L101" s="933"/>
      <c r="M101" s="931"/>
      <c r="N101" s="2720"/>
      <c r="O101" s="2720"/>
      <c r="P101" s="2720"/>
      <c r="Q101" s="2720"/>
      <c r="R101" s="2720"/>
      <c r="S101" s="2720"/>
      <c r="T101" s="2720"/>
      <c r="U101" s="2720"/>
      <c r="V101" s="2720"/>
      <c r="W101" s="2720"/>
      <c r="X101" s="2720"/>
      <c r="Y101" s="2720"/>
      <c r="Z101" s="2720"/>
      <c r="AA101" s="2720"/>
      <c r="AB101" s="2720"/>
      <c r="AC101" s="2720"/>
      <c r="AD101" s="2720"/>
    </row>
    <row r="102" spans="1:30">
      <c r="A102" s="931"/>
      <c r="B102" s="931"/>
      <c r="C102" s="931"/>
      <c r="D102" s="931"/>
      <c r="E102" s="931"/>
      <c r="F102" s="931"/>
      <c r="G102" s="931"/>
      <c r="H102" s="931"/>
      <c r="I102" s="931"/>
      <c r="J102" s="931"/>
      <c r="K102" s="932"/>
      <c r="L102" s="933"/>
      <c r="M102" s="931"/>
      <c r="N102" s="2720"/>
      <c r="O102" s="2720"/>
      <c r="P102" s="2720"/>
      <c r="Q102" s="2720"/>
      <c r="R102" s="2720"/>
      <c r="S102" s="2720"/>
      <c r="T102" s="2720"/>
      <c r="U102" s="2720"/>
      <c r="V102" s="2720"/>
      <c r="W102" s="2720"/>
      <c r="X102" s="2720"/>
      <c r="Y102" s="2720"/>
      <c r="Z102" s="2720"/>
      <c r="AA102" s="2720"/>
      <c r="AB102" s="2720"/>
      <c r="AC102" s="2720"/>
      <c r="AD102" s="2720"/>
    </row>
    <row r="103" spans="1:30">
      <c r="A103" s="931"/>
      <c r="B103" s="931"/>
      <c r="C103" s="931"/>
      <c r="D103" s="931"/>
      <c r="E103" s="931"/>
      <c r="F103" s="931"/>
      <c r="G103" s="931"/>
      <c r="H103" s="931"/>
      <c r="I103" s="931"/>
      <c r="J103" s="931"/>
      <c r="K103" s="932"/>
      <c r="L103" s="933"/>
      <c r="M103" s="931"/>
      <c r="N103" s="931"/>
      <c r="O103" s="931"/>
      <c r="P103" s="2720"/>
      <c r="Q103" s="2720"/>
      <c r="R103" s="2720"/>
      <c r="S103" s="2720"/>
      <c r="T103" s="2720"/>
      <c r="U103" s="2720"/>
      <c r="V103" s="2720"/>
      <c r="W103" s="2720"/>
      <c r="X103" s="2720"/>
      <c r="Y103" s="2720"/>
      <c r="Z103" s="2720"/>
      <c r="AA103" s="2720"/>
      <c r="AB103" s="2720"/>
      <c r="AC103" s="2720"/>
      <c r="AD103" s="2720"/>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2"/>
      <c r="D2" s="902"/>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30" ht="15">
      <c r="A4" s="353" t="s">
        <v>1769</v>
      </c>
      <c r="B4" s="354"/>
      <c r="C4" s="4083" t="s">
        <v>1770</v>
      </c>
      <c r="D4" s="4084"/>
      <c r="E4" s="4085" t="s">
        <v>1771</v>
      </c>
      <c r="F4" s="4086"/>
      <c r="G4" s="4083" t="s">
        <v>1772</v>
      </c>
      <c r="H4" s="4084"/>
      <c r="I4" s="4083" t="s">
        <v>1773</v>
      </c>
      <c r="J4" s="4084"/>
      <c r="K4" s="557" t="s">
        <v>1774</v>
      </c>
      <c r="L4" s="2710"/>
      <c r="M4" s="2711"/>
      <c r="N4" s="2711"/>
      <c r="O4" s="2711"/>
      <c r="P4" s="4087" t="s">
        <v>1775</v>
      </c>
      <c r="Q4" s="4088"/>
      <c r="R4" s="4093" t="s">
        <v>1771</v>
      </c>
      <c r="S4" s="4094"/>
      <c r="T4" s="4093" t="s">
        <v>1772</v>
      </c>
      <c r="U4" s="4094"/>
      <c r="V4" s="4099" t="s">
        <v>1773</v>
      </c>
      <c r="W4" s="4099"/>
      <c r="X4" s="1350"/>
      <c r="Y4" s="4093" t="s">
        <v>1775</v>
      </c>
      <c r="Z4" s="4094"/>
      <c r="AA4" s="4080" t="s">
        <v>1771</v>
      </c>
      <c r="AB4" s="4081" t="s">
        <v>1772</v>
      </c>
      <c r="AC4" s="4080" t="s">
        <v>1773</v>
      </c>
    </row>
    <row r="5" spans="1:30" ht="15">
      <c r="A5" s="356"/>
      <c r="B5" s="357"/>
      <c r="C5" s="4102" t="s">
        <v>1673</v>
      </c>
      <c r="D5" s="4103"/>
      <c r="E5" s="4109" t="s">
        <v>1674</v>
      </c>
      <c r="F5" s="4110"/>
      <c r="G5" s="4102" t="s">
        <v>1675</v>
      </c>
      <c r="H5" s="4103"/>
      <c r="I5" s="4102" t="s">
        <v>1676</v>
      </c>
      <c r="J5" s="4103"/>
      <c r="K5" s="557"/>
      <c r="L5" s="2710"/>
      <c r="M5" s="2711"/>
      <c r="N5" s="2711"/>
      <c r="O5" s="2711"/>
      <c r="P5" s="4089"/>
      <c r="Q5" s="4090"/>
      <c r="R5" s="4095"/>
      <c r="S5" s="4096"/>
      <c r="T5" s="4095"/>
      <c r="U5" s="4096"/>
      <c r="V5" s="4099"/>
      <c r="W5" s="4099"/>
      <c r="X5" s="1350"/>
      <c r="Y5" s="4095"/>
      <c r="Z5" s="4096"/>
      <c r="AA5" s="4081"/>
      <c r="AB5" s="4081"/>
      <c r="AC5" s="4081"/>
    </row>
    <row r="6" spans="1:30" ht="15.75" thickBot="1">
      <c r="A6" s="358"/>
      <c r="B6" s="359"/>
      <c r="C6" s="4100" t="s">
        <v>1677</v>
      </c>
      <c r="D6" s="4101"/>
      <c r="E6" s="4107" t="s">
        <v>1677</v>
      </c>
      <c r="F6" s="4108"/>
      <c r="G6" s="4100" t="s">
        <v>1677</v>
      </c>
      <c r="H6" s="4101"/>
      <c r="I6" s="4100" t="s">
        <v>1677</v>
      </c>
      <c r="J6" s="4101"/>
      <c r="K6" s="557" t="s">
        <v>1678</v>
      </c>
      <c r="L6" s="2710"/>
      <c r="M6" s="2711"/>
      <c r="N6" s="2711"/>
      <c r="O6" s="2711"/>
      <c r="P6" s="4091"/>
      <c r="Q6" s="4092"/>
      <c r="R6" s="4095"/>
      <c r="S6" s="4096"/>
      <c r="T6" s="4097"/>
      <c r="U6" s="4098"/>
      <c r="V6" s="4099"/>
      <c r="W6" s="4099"/>
      <c r="X6" s="1350"/>
      <c r="Y6" s="4097"/>
      <c r="Z6" s="4098"/>
      <c r="AA6" s="4082"/>
      <c r="AB6" s="4082"/>
      <c r="AC6" s="4082"/>
    </row>
    <row r="7" spans="1:30" s="106" customFormat="1" ht="15.75" thickBot="1">
      <c r="A7" s="360" t="s">
        <v>1679</v>
      </c>
      <c r="B7" s="361"/>
      <c r="C7" s="362">
        <f>'数据-取费表'!B2</f>
        <v>45226</v>
      </c>
      <c r="D7" s="363">
        <v>100</v>
      </c>
      <c r="E7" s="364"/>
      <c r="F7" s="365">
        <f>SUMIF(69:69,YEAR(E7)&amp;"-"&amp;INT((MONTH(E7)+2)/3),70:70)</f>
        <v>0</v>
      </c>
      <c r="G7" s="1969"/>
      <c r="H7" s="363">
        <f>SUMIF(69:69,YEAR(G7)&amp;"-"&amp;INT((MONTH(G7)+2)/3),70:70)</f>
        <v>0</v>
      </c>
      <c r="I7" s="1969"/>
      <c r="J7" s="363">
        <f>SUMIF(69:69,YEAR(I7)&amp;"-"&amp;INT((MONTH(I7)+2)/3),70:70)</f>
        <v>0</v>
      </c>
      <c r="K7" s="558"/>
      <c r="L7" s="2712"/>
      <c r="M7" s="2713"/>
      <c r="N7" s="2713"/>
      <c r="O7" s="2713"/>
      <c r="P7" s="4104" t="s">
        <v>1680</v>
      </c>
      <c r="Q7" s="4106"/>
      <c r="R7" s="699" t="s">
        <v>14</v>
      </c>
      <c r="S7" s="700">
        <f t="shared" ref="S7:S15" si="0">F7</f>
        <v>0</v>
      </c>
      <c r="T7" s="699" t="s">
        <v>14</v>
      </c>
      <c r="U7" s="700">
        <f t="shared" ref="U7:U15" si="1">H7</f>
        <v>0</v>
      </c>
      <c r="V7" s="699" t="s">
        <v>14</v>
      </c>
      <c r="W7" s="700">
        <f t="shared" ref="W7:W15" si="2">J7</f>
        <v>0</v>
      </c>
      <c r="X7" s="701"/>
      <c r="Y7" s="4104" t="s">
        <v>1680</v>
      </c>
      <c r="Z7" s="4105"/>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2"/>
      <c r="M8" s="2713"/>
      <c r="N8" s="2713"/>
      <c r="O8" s="2713"/>
      <c r="P8" s="4104" t="s">
        <v>1683</v>
      </c>
      <c r="Q8" s="4105"/>
      <c r="R8" s="699" t="s">
        <v>14</v>
      </c>
      <c r="S8" s="700">
        <f t="shared" si="0"/>
        <v>0</v>
      </c>
      <c r="T8" s="699" t="s">
        <v>14</v>
      </c>
      <c r="U8" s="700">
        <f t="shared" si="1"/>
        <v>0</v>
      </c>
      <c r="V8" s="699" t="s">
        <v>14</v>
      </c>
      <c r="W8" s="700">
        <f t="shared" si="2"/>
        <v>0</v>
      </c>
      <c r="X8" s="701"/>
      <c r="Y8" s="4104" t="s">
        <v>1683</v>
      </c>
      <c r="Z8" s="4105"/>
      <c r="AA8" s="702" t="e">
        <f t="shared" ref="AA8:AA45" si="3">D8/F8</f>
        <v>#DIV/0!</v>
      </c>
      <c r="AB8" s="702" t="e">
        <f t="shared" ref="AB8:AB45" si="4">D8/H8</f>
        <v>#DIV/0!</v>
      </c>
      <c r="AC8" s="702" t="e">
        <f t="shared" ref="AC8:AC45" si="5">D8/J8</f>
        <v>#DIV/0!</v>
      </c>
    </row>
    <row r="9" spans="1:30" s="106" customFormat="1">
      <c r="A9" s="367" t="s">
        <v>1684</v>
      </c>
      <c r="B9" s="61" t="s">
        <v>1685</v>
      </c>
      <c r="C9" s="1972"/>
      <c r="D9" s="124">
        <v>100</v>
      </c>
      <c r="E9" s="1972"/>
      <c r="F9" s="124">
        <f>SUMIF(74:74,E9,75:75)-SUMIF(74:74,C9,75:75)+100</f>
        <v>100</v>
      </c>
      <c r="G9" s="1972"/>
      <c r="H9" s="124">
        <f>SUMIF(74:74,G9,75:75)-SUMIF(74:74,C9,75:75)+100</f>
        <v>100</v>
      </c>
      <c r="I9" s="1972"/>
      <c r="J9" s="124">
        <f>SUMIF(74:74,I9,75:75)-SUMIF(74:74,C9,75:75)+100</f>
        <v>100</v>
      </c>
      <c r="K9" s="558"/>
      <c r="L9" s="2712"/>
      <c r="M9" s="2713"/>
      <c r="N9" s="2713"/>
      <c r="O9" s="2767"/>
      <c r="P9" s="4068" t="s">
        <v>1686</v>
      </c>
      <c r="Q9" s="1338" t="str">
        <f t="shared" ref="Q9:Q15" si="6">B9</f>
        <v>用途</v>
      </c>
      <c r="R9" s="699" t="s">
        <v>14</v>
      </c>
      <c r="S9" s="700">
        <f t="shared" si="0"/>
        <v>100</v>
      </c>
      <c r="T9" s="699" t="s">
        <v>14</v>
      </c>
      <c r="U9" s="700">
        <f t="shared" si="1"/>
        <v>100</v>
      </c>
      <c r="V9" s="699" t="s">
        <v>14</v>
      </c>
      <c r="W9" s="700">
        <f t="shared" si="2"/>
        <v>100</v>
      </c>
      <c r="X9" s="701"/>
      <c r="Y9" s="3943" t="s">
        <v>1687</v>
      </c>
      <c r="Z9" s="50"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118</v>
      </c>
      <c r="G10" s="412"/>
      <c r="H10" s="125">
        <f>ROUND(100/'数据-取费表'!G16,0)</f>
        <v>118</v>
      </c>
      <c r="I10" s="412"/>
      <c r="J10" s="125">
        <f>ROUND(100/'数据-取费表'!G16,0)</f>
        <v>118</v>
      </c>
      <c r="K10" s="618"/>
      <c r="L10" s="2714"/>
      <c r="M10" s="2715"/>
      <c r="N10" s="2715"/>
      <c r="O10" s="2768"/>
      <c r="P10" s="4068"/>
      <c r="Q10" s="1338" t="str">
        <f t="shared" si="6"/>
        <v>土地使用年限（年）</v>
      </c>
      <c r="R10" s="699" t="s">
        <v>14</v>
      </c>
      <c r="S10" s="700">
        <f t="shared" si="0"/>
        <v>118</v>
      </c>
      <c r="T10" s="699" t="s">
        <v>14</v>
      </c>
      <c r="U10" s="700">
        <f t="shared" si="1"/>
        <v>118</v>
      </c>
      <c r="V10" s="699" t="s">
        <v>14</v>
      </c>
      <c r="W10" s="700">
        <f t="shared" si="2"/>
        <v>118</v>
      </c>
      <c r="X10" s="701"/>
      <c r="Y10" s="3943"/>
      <c r="Z10" s="50" t="str">
        <f t="shared" si="7"/>
        <v>土地使用年限（年）</v>
      </c>
      <c r="AA10" s="702">
        <f t="shared" si="3"/>
        <v>0.84745762711864403</v>
      </c>
      <c r="AB10" s="702">
        <f t="shared" si="4"/>
        <v>0.84745762711864403</v>
      </c>
      <c r="AC10" s="702">
        <f t="shared" si="5"/>
        <v>0.84745762711864403</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6"/>
      <c r="M11" s="2711"/>
      <c r="N11" s="2711"/>
      <c r="O11" s="2769"/>
      <c r="P11" s="4068"/>
      <c r="Q11" s="1338" t="str">
        <f t="shared" si="6"/>
        <v>容积率</v>
      </c>
      <c r="R11" s="699" t="s">
        <v>14</v>
      </c>
      <c r="S11" s="700" t="e">
        <f t="shared" si="0"/>
        <v>#N/A</v>
      </c>
      <c r="T11" s="699" t="s">
        <v>14</v>
      </c>
      <c r="U11" s="700" t="e">
        <f t="shared" si="1"/>
        <v>#N/A</v>
      </c>
      <c r="V11" s="699" t="s">
        <v>14</v>
      </c>
      <c r="W11" s="700" t="e">
        <f t="shared" si="2"/>
        <v>#N/A</v>
      </c>
      <c r="X11" s="701"/>
      <c r="Y11" s="3943"/>
      <c r="Z11" s="50" t="str">
        <f t="shared" si="7"/>
        <v>容积率</v>
      </c>
      <c r="AA11" s="702" t="e">
        <f t="shared" si="3"/>
        <v>#N/A</v>
      </c>
      <c r="AB11" s="702" t="e">
        <f t="shared" si="4"/>
        <v>#N/A</v>
      </c>
      <c r="AC11" s="702" t="e">
        <f t="shared" si="5"/>
        <v>#N/A</v>
      </c>
    </row>
    <row r="12" spans="1:30" s="106" customFormat="1" ht="15">
      <c r="A12" s="380"/>
      <c r="B12" s="1888" t="s">
        <v>1870</v>
      </c>
      <c r="C12" s="381"/>
      <c r="D12" s="382">
        <v>100</v>
      </c>
      <c r="E12" s="414"/>
      <c r="F12" s="125">
        <f>SUMIF(81:81,E12,82:82)-SUMIF(81:81,C12,82:82)+100</f>
        <v>100</v>
      </c>
      <c r="G12" s="412"/>
      <c r="H12" s="125">
        <f>SUMIF(81:81,G12,82:82)-SUMIF(81:81,C12,82:82)+100</f>
        <v>100</v>
      </c>
      <c r="I12" s="414"/>
      <c r="J12" s="125">
        <f>SUMIF(81:81,I12,82:82)-SUMIF(81:81,C12,82:82)+100</f>
        <v>100</v>
      </c>
      <c r="K12" s="618"/>
      <c r="L12" s="2712"/>
      <c r="M12" s="2713"/>
      <c r="N12" s="2713"/>
      <c r="O12" s="2767"/>
      <c r="P12" s="4068"/>
      <c r="Q12" s="1338" t="str">
        <f t="shared" si="6"/>
        <v>配建</v>
      </c>
      <c r="R12" s="699" t="s">
        <v>14</v>
      </c>
      <c r="S12" s="700">
        <f t="shared" si="0"/>
        <v>100</v>
      </c>
      <c r="T12" s="699" t="s">
        <v>14</v>
      </c>
      <c r="U12" s="700">
        <f t="shared" si="1"/>
        <v>100</v>
      </c>
      <c r="V12" s="699" t="s">
        <v>14</v>
      </c>
      <c r="W12" s="700">
        <f t="shared" si="2"/>
        <v>100</v>
      </c>
      <c r="X12" s="701"/>
      <c r="Y12" s="3943"/>
      <c r="Z12" s="50" t="str">
        <f t="shared" si="7"/>
        <v>配建</v>
      </c>
      <c r="AA12" s="702">
        <f>D12/F12</f>
        <v>1</v>
      </c>
      <c r="AB12" s="702">
        <f>D12/H12</f>
        <v>1</v>
      </c>
      <c r="AC12" s="702">
        <f>D12/J12</f>
        <v>1</v>
      </c>
    </row>
    <row r="13" spans="1:30" ht="15">
      <c r="A13" s="377"/>
      <c r="B13" s="1888">
        <v>111</v>
      </c>
      <c r="C13" s="383"/>
      <c r="D13" s="384">
        <v>100</v>
      </c>
      <c r="E13" s="496"/>
      <c r="F13" s="125">
        <f>SUMIF(83:83,E13,84:84)-SUMIF(83:83,C13,84:84)+100</f>
        <v>100</v>
      </c>
      <c r="G13" s="620"/>
      <c r="H13" s="384">
        <f>SUMIF(83:83,G13,84:84)-SUMIF(83:83,C13,84:84)+100</f>
        <v>100</v>
      </c>
      <c r="I13" s="620"/>
      <c r="J13" s="384">
        <f>SUMIF(83:83,I13,84:84)-SUMIF(83:83,C13,84:84)+100</f>
        <v>100</v>
      </c>
      <c r="K13" s="618"/>
      <c r="L13" s="2717"/>
      <c r="M13" s="2711"/>
      <c r="N13" s="2711"/>
      <c r="O13" s="2769"/>
      <c r="P13" s="4068"/>
      <c r="Q13" s="1338">
        <f t="shared" si="6"/>
        <v>111</v>
      </c>
      <c r="R13" s="699" t="s">
        <v>14</v>
      </c>
      <c r="S13" s="700">
        <f t="shared" si="0"/>
        <v>100</v>
      </c>
      <c r="T13" s="699" t="s">
        <v>14</v>
      </c>
      <c r="U13" s="700">
        <f t="shared" si="1"/>
        <v>100</v>
      </c>
      <c r="V13" s="699" t="s">
        <v>14</v>
      </c>
      <c r="W13" s="700">
        <f t="shared" si="2"/>
        <v>100</v>
      </c>
      <c r="X13" s="701"/>
      <c r="Y13" s="3943"/>
      <c r="Z13" s="50">
        <f t="shared" si="7"/>
        <v>111</v>
      </c>
      <c r="AA13" s="702">
        <f>D13/F13</f>
        <v>1</v>
      </c>
      <c r="AB13" s="702">
        <f>D13/H13</f>
        <v>1</v>
      </c>
      <c r="AC13" s="702">
        <f>D13/J13</f>
        <v>1</v>
      </c>
    </row>
    <row r="14" spans="1:30" ht="15.75" thickBot="1">
      <c r="A14" s="385"/>
      <c r="B14" s="1890">
        <v>111</v>
      </c>
      <c r="C14" s="386"/>
      <c r="D14" s="387">
        <v>100</v>
      </c>
      <c r="E14" s="496"/>
      <c r="F14" s="387">
        <f>SUMIF(85:85,E14,86:86)-SUMIF(85:85,C14,86:86)+100</f>
        <v>100</v>
      </c>
      <c r="G14" s="620"/>
      <c r="H14" s="387">
        <f>SUMIF(85:85,G14,86:86)-SUMIF(85:85,C14,86:86)+100</f>
        <v>100</v>
      </c>
      <c r="I14" s="620"/>
      <c r="J14" s="387">
        <f>SUMIF(85:85,I14,86:86)-SUMIF(85:85,C14,86:86)+100</f>
        <v>100</v>
      </c>
      <c r="K14" s="618"/>
      <c r="L14" s="2717"/>
      <c r="M14" s="2711"/>
      <c r="N14" s="2711"/>
      <c r="O14" s="2769"/>
      <c r="P14" s="4068"/>
      <c r="Q14" s="1338">
        <f t="shared" si="6"/>
        <v>111</v>
      </c>
      <c r="R14" s="699" t="s">
        <v>14</v>
      </c>
      <c r="S14" s="700">
        <f t="shared" si="0"/>
        <v>100</v>
      </c>
      <c r="T14" s="699" t="s">
        <v>14</v>
      </c>
      <c r="U14" s="700">
        <f t="shared" si="1"/>
        <v>100</v>
      </c>
      <c r="V14" s="699" t="s">
        <v>14</v>
      </c>
      <c r="W14" s="700">
        <f t="shared" si="2"/>
        <v>100</v>
      </c>
      <c r="X14" s="701"/>
      <c r="Y14" s="3943"/>
      <c r="Z14" s="50">
        <f t="shared" si="7"/>
        <v>111</v>
      </c>
      <c r="AA14" s="702">
        <f>D14/F14</f>
        <v>1</v>
      </c>
      <c r="AB14" s="702">
        <f>D14/H14</f>
        <v>1</v>
      </c>
      <c r="AC14" s="702">
        <f>D14/J14</f>
        <v>1</v>
      </c>
    </row>
    <row r="15" spans="1:30" ht="15">
      <c r="A15" s="389" t="s">
        <v>1690</v>
      </c>
      <c r="B15" s="59" t="s">
        <v>1257</v>
      </c>
      <c r="C15" s="1891">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7"/>
      <c r="M15" s="2711"/>
      <c r="N15" s="2711"/>
      <c r="O15" s="2769"/>
      <c r="P15" s="4070" t="s">
        <v>1691</v>
      </c>
      <c r="Q15" s="1347" t="str">
        <f t="shared" si="6"/>
        <v>居住社区成熟度</v>
      </c>
      <c r="R15" s="703" t="s">
        <v>14</v>
      </c>
      <c r="S15" s="704">
        <f t="shared" si="0"/>
        <v>100</v>
      </c>
      <c r="T15" s="703" t="s">
        <v>14</v>
      </c>
      <c r="U15" s="704">
        <f t="shared" si="1"/>
        <v>100</v>
      </c>
      <c r="V15" s="703" t="s">
        <v>14</v>
      </c>
      <c r="W15" s="704">
        <f t="shared" si="2"/>
        <v>100</v>
      </c>
      <c r="X15" s="1350"/>
      <c r="Y15" s="4070" t="s">
        <v>1691</v>
      </c>
      <c r="Z15" s="1351" t="str">
        <f t="shared" si="7"/>
        <v>居住社区成熟度</v>
      </c>
      <c r="AA15" s="1348">
        <f t="shared" si="3"/>
        <v>1</v>
      </c>
      <c r="AB15" s="1348">
        <f t="shared" si="4"/>
        <v>1</v>
      </c>
      <c r="AC15" s="1348">
        <f t="shared" si="5"/>
        <v>1</v>
      </c>
    </row>
    <row r="16" spans="1:30" ht="15">
      <c r="A16" s="377"/>
      <c r="B16" s="395"/>
      <c r="C16" s="396"/>
      <c r="D16" s="397"/>
      <c r="E16" s="1893"/>
      <c r="F16" s="397"/>
      <c r="G16" s="1893"/>
      <c r="H16" s="399"/>
      <c r="I16" s="1892"/>
      <c r="J16" s="397"/>
      <c r="K16" s="618"/>
      <c r="L16" s="2717"/>
      <c r="M16" s="2711"/>
      <c r="N16" s="2711"/>
      <c r="O16" s="2769"/>
      <c r="P16" s="4071"/>
      <c r="Q16" s="1347"/>
      <c r="R16" s="703"/>
      <c r="S16" s="704"/>
      <c r="T16" s="703"/>
      <c r="U16" s="704"/>
      <c r="V16" s="703"/>
      <c r="W16" s="704"/>
      <c r="X16" s="1350"/>
      <c r="Y16" s="4071"/>
      <c r="Z16" s="1351"/>
      <c r="AA16" s="1348">
        <v>1</v>
      </c>
      <c r="AB16" s="1348">
        <v>1</v>
      </c>
      <c r="AC16" s="1348">
        <v>1</v>
      </c>
    </row>
    <row r="17" spans="1:29" ht="15">
      <c r="A17" s="377"/>
      <c r="B17" s="400" t="s">
        <v>1777</v>
      </c>
      <c r="C17" s="1950">
        <f>估价对象房地状况!C16</f>
        <v>0</v>
      </c>
      <c r="D17" s="399">
        <v>100</v>
      </c>
      <c r="E17" s="401"/>
      <c r="F17" s="399">
        <f>SUMIF(89:89,E18,90:90)-SUMIF(89:89,C18,90:90)+100</f>
        <v>100</v>
      </c>
      <c r="G17" s="401"/>
      <c r="H17" s="404">
        <f>SUMIF(89:89,G18,90:90)-SUMIF(89:89,C18,90:90)+100</f>
        <v>100</v>
      </c>
      <c r="I17" s="403"/>
      <c r="J17" s="404">
        <f>SUMIF(89:89,I18,90:90)-SUMIF(89:89,C18,90:90)+100</f>
        <v>100</v>
      </c>
      <c r="K17" s="619"/>
      <c r="L17" s="2717"/>
      <c r="M17" s="2711"/>
      <c r="N17" s="2711"/>
      <c r="O17" s="2769"/>
      <c r="P17" s="4071"/>
      <c r="Q17" s="1347" t="str">
        <f>B17</f>
        <v>商业繁华度</v>
      </c>
      <c r="R17" s="703" t="s">
        <v>14</v>
      </c>
      <c r="S17" s="704">
        <f>F17</f>
        <v>100</v>
      </c>
      <c r="T17" s="703" t="s">
        <v>14</v>
      </c>
      <c r="U17" s="704">
        <f>H17</f>
        <v>100</v>
      </c>
      <c r="V17" s="703" t="s">
        <v>14</v>
      </c>
      <c r="W17" s="704">
        <f>J17</f>
        <v>100</v>
      </c>
      <c r="X17" s="1350"/>
      <c r="Y17" s="4071"/>
      <c r="Z17" s="1351" t="str">
        <f>Q17</f>
        <v>商业繁华度</v>
      </c>
      <c r="AA17" s="1348">
        <f t="shared" si="3"/>
        <v>1</v>
      </c>
      <c r="AB17" s="1348">
        <f t="shared" si="4"/>
        <v>1</v>
      </c>
      <c r="AC17" s="1348">
        <f t="shared" si="5"/>
        <v>1</v>
      </c>
    </row>
    <row r="18" spans="1:29" ht="15">
      <c r="A18" s="377"/>
      <c r="B18" s="405"/>
      <c r="C18" s="1896"/>
      <c r="D18" s="399"/>
      <c r="E18" s="1898"/>
      <c r="F18" s="399"/>
      <c r="G18" s="1898"/>
      <c r="H18" s="397"/>
      <c r="I18" s="1897"/>
      <c r="J18" s="397"/>
      <c r="K18" s="618"/>
      <c r="L18" s="2717"/>
      <c r="M18" s="2711"/>
      <c r="N18" s="2711"/>
      <c r="O18" s="2769"/>
      <c r="P18" s="4071"/>
      <c r="Q18" s="1347"/>
      <c r="R18" s="703"/>
      <c r="S18" s="704"/>
      <c r="T18" s="703"/>
      <c r="U18" s="704"/>
      <c r="V18" s="703"/>
      <c r="W18" s="704"/>
      <c r="X18" s="1350"/>
      <c r="Y18" s="4071"/>
      <c r="Z18" s="1351"/>
      <c r="AA18" s="1348">
        <v>1</v>
      </c>
      <c r="AB18" s="1348">
        <v>1</v>
      </c>
      <c r="AC18" s="1348">
        <v>1</v>
      </c>
    </row>
    <row r="19" spans="1:29" ht="15">
      <c r="A19" s="377"/>
      <c r="B19" s="400" t="s">
        <v>1811</v>
      </c>
      <c r="C19" s="1950">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7"/>
      <c r="M19" s="2711"/>
      <c r="N19" s="2711"/>
      <c r="O19" s="2769"/>
      <c r="P19" s="4071"/>
      <c r="Q19" s="1347" t="str">
        <f>B19</f>
        <v>办公集聚程度</v>
      </c>
      <c r="R19" s="703" t="s">
        <v>14</v>
      </c>
      <c r="S19" s="704">
        <f>F19</f>
        <v>100</v>
      </c>
      <c r="T19" s="703" t="s">
        <v>14</v>
      </c>
      <c r="U19" s="704">
        <f>H19</f>
        <v>100</v>
      </c>
      <c r="V19" s="703" t="s">
        <v>14</v>
      </c>
      <c r="W19" s="704">
        <f>J19</f>
        <v>100</v>
      </c>
      <c r="X19" s="1350"/>
      <c r="Y19" s="4071"/>
      <c r="Z19" s="1351" t="str">
        <f>Q19</f>
        <v>办公集聚程度</v>
      </c>
      <c r="AA19" s="1348">
        <f t="shared" si="3"/>
        <v>1</v>
      </c>
      <c r="AB19" s="1348">
        <f t="shared" si="4"/>
        <v>1</v>
      </c>
      <c r="AC19" s="1348">
        <f t="shared" si="5"/>
        <v>1</v>
      </c>
    </row>
    <row r="20" spans="1:29" ht="15">
      <c r="A20" s="377"/>
      <c r="B20" s="405"/>
      <c r="C20" s="396"/>
      <c r="D20" s="397"/>
      <c r="E20" s="1893"/>
      <c r="F20" s="397"/>
      <c r="G20" s="1893"/>
      <c r="H20" s="397"/>
      <c r="I20" s="1892"/>
      <c r="J20" s="397"/>
      <c r="K20" s="618"/>
      <c r="L20" s="2717"/>
      <c r="M20" s="2711"/>
      <c r="N20" s="2711"/>
      <c r="O20" s="2769"/>
      <c r="P20" s="4071"/>
      <c r="Q20" s="1347"/>
      <c r="R20" s="703"/>
      <c r="S20" s="704"/>
      <c r="T20" s="703"/>
      <c r="U20" s="704"/>
      <c r="V20" s="703"/>
      <c r="W20" s="704"/>
      <c r="X20" s="1350"/>
      <c r="Y20" s="4071"/>
      <c r="Z20" s="1351"/>
      <c r="AA20" s="1348">
        <v>1</v>
      </c>
      <c r="AB20" s="1348">
        <v>1</v>
      </c>
      <c r="AC20" s="1348">
        <v>1</v>
      </c>
    </row>
    <row r="21" spans="1:29" ht="15">
      <c r="A21" s="377"/>
      <c r="B21" s="400" t="s">
        <v>1833</v>
      </c>
      <c r="C21" s="1895">
        <f>估价对象房地状况!C18</f>
        <v>0</v>
      </c>
      <c r="D21" s="399">
        <v>100</v>
      </c>
      <c r="E21" s="401"/>
      <c r="F21" s="404">
        <f>SUMIF(93:93,E22,94:94)-SUMIF(93:93,C22,94:94)+100</f>
        <v>100</v>
      </c>
      <c r="G21" s="401"/>
      <c r="H21" s="399">
        <f>SUMIF(93:93,G22,94:94)-SUMIF(93:93,C22,94:94)+100</f>
        <v>100</v>
      </c>
      <c r="I21" s="403"/>
      <c r="J21" s="399">
        <f>SUMIF(93:93,I22,94:94)-SUMIF(93:93,C22,94:94)+100</f>
        <v>100</v>
      </c>
      <c r="K21" s="619"/>
      <c r="L21" s="2717"/>
      <c r="M21" s="2711"/>
      <c r="N21" s="2711"/>
      <c r="O21" s="2769"/>
      <c r="P21" s="4071"/>
      <c r="Q21" s="1347" t="str">
        <f>B21</f>
        <v>交通便捷度</v>
      </c>
      <c r="R21" s="703" t="s">
        <v>14</v>
      </c>
      <c r="S21" s="704">
        <f>F21</f>
        <v>100</v>
      </c>
      <c r="T21" s="703" t="s">
        <v>14</v>
      </c>
      <c r="U21" s="704">
        <f>H21</f>
        <v>100</v>
      </c>
      <c r="V21" s="703" t="s">
        <v>14</v>
      </c>
      <c r="W21" s="704">
        <f>J21</f>
        <v>100</v>
      </c>
      <c r="X21" s="1350"/>
      <c r="Y21" s="4071"/>
      <c r="Z21" s="1351" t="str">
        <f>Q21</f>
        <v>交通便捷度</v>
      </c>
      <c r="AA21" s="1348">
        <f t="shared" si="3"/>
        <v>1</v>
      </c>
      <c r="AB21" s="1348">
        <f t="shared" si="4"/>
        <v>1</v>
      </c>
      <c r="AC21" s="1348">
        <f t="shared" si="5"/>
        <v>1</v>
      </c>
    </row>
    <row r="22" spans="1:29" ht="15">
      <c r="A22" s="377"/>
      <c r="B22" s="1126"/>
      <c r="C22" s="396"/>
      <c r="D22" s="399"/>
      <c r="E22" s="1893"/>
      <c r="F22" s="397"/>
      <c r="G22" s="1893"/>
      <c r="H22" s="397"/>
      <c r="I22" s="1892"/>
      <c r="J22" s="397"/>
      <c r="K22" s="618"/>
      <c r="L22" s="2717"/>
      <c r="M22" s="2711"/>
      <c r="N22" s="2711"/>
      <c r="O22" s="2769"/>
      <c r="P22" s="4071"/>
      <c r="Q22" s="1347"/>
      <c r="R22" s="703"/>
      <c r="S22" s="704"/>
      <c r="T22" s="703"/>
      <c r="U22" s="704"/>
      <c r="V22" s="703"/>
      <c r="W22" s="704"/>
      <c r="X22" s="1350"/>
      <c r="Y22" s="4071"/>
      <c r="Z22" s="1351"/>
      <c r="AA22" s="1348">
        <v>1</v>
      </c>
      <c r="AB22" s="1348">
        <v>1</v>
      </c>
      <c r="AC22" s="1348">
        <v>1</v>
      </c>
    </row>
    <row r="23" spans="1:29" ht="15">
      <c r="A23" s="356"/>
      <c r="B23" s="400" t="s">
        <v>1871</v>
      </c>
      <c r="C23" s="1131">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7"/>
      <c r="M23" s="2711"/>
      <c r="N23" s="2711"/>
      <c r="O23" s="2769"/>
      <c r="P23" s="4071"/>
      <c r="Q23" s="1347" t="str">
        <f t="shared" ref="Q23:Q37" si="8">B23</f>
        <v>区域土地利用方向</v>
      </c>
      <c r="R23" s="703" t="s">
        <v>14</v>
      </c>
      <c r="S23" s="704">
        <f>F23</f>
        <v>100</v>
      </c>
      <c r="T23" s="703" t="s">
        <v>14</v>
      </c>
      <c r="U23" s="704">
        <f>H23</f>
        <v>100</v>
      </c>
      <c r="V23" s="703" t="s">
        <v>14</v>
      </c>
      <c r="W23" s="704">
        <f>J23</f>
        <v>100</v>
      </c>
      <c r="X23" s="1350"/>
      <c r="Y23" s="4071"/>
      <c r="Z23" s="1351" t="str">
        <f>Q23</f>
        <v>区域土地利用方向</v>
      </c>
      <c r="AA23" s="1348">
        <f t="shared" si="3"/>
        <v>1</v>
      </c>
      <c r="AB23" s="1348">
        <f t="shared" si="4"/>
        <v>1</v>
      </c>
      <c r="AC23" s="1348">
        <f t="shared" si="5"/>
        <v>1</v>
      </c>
    </row>
    <row r="24" spans="1:29" ht="15">
      <c r="A24" s="356"/>
      <c r="B24" s="405"/>
      <c r="C24" s="563"/>
      <c r="D24" s="397"/>
      <c r="E24" s="1893"/>
      <c r="F24" s="397"/>
      <c r="G24" s="1892"/>
      <c r="H24" s="397"/>
      <c r="I24" s="1892"/>
      <c r="J24" s="397"/>
      <c r="K24" s="735"/>
      <c r="L24" s="2717"/>
      <c r="M24" s="2711"/>
      <c r="N24" s="2711"/>
      <c r="O24" s="2769"/>
      <c r="P24" s="4071"/>
      <c r="Q24" s="1347"/>
      <c r="R24" s="703"/>
      <c r="S24" s="704"/>
      <c r="T24" s="703"/>
      <c r="U24" s="704"/>
      <c r="V24" s="703"/>
      <c r="W24" s="704"/>
      <c r="X24" s="1350"/>
      <c r="Y24" s="4071"/>
      <c r="Z24" s="1351"/>
      <c r="AA24" s="1348"/>
      <c r="AB24" s="1348"/>
      <c r="AC24" s="1348"/>
    </row>
    <row r="25" spans="1:29" ht="27">
      <c r="A25" s="356"/>
      <c r="B25" s="1126" t="s">
        <v>1872</v>
      </c>
      <c r="C25" s="1950">
        <f>估价对象房地状况!C20</f>
        <v>0</v>
      </c>
      <c r="D25" s="399">
        <v>100</v>
      </c>
      <c r="E25" s="401"/>
      <c r="F25" s="399">
        <f>SUMIF(97:97,E26,98:98)-SUMIF(97:97,C26,98:98)+100</f>
        <v>100</v>
      </c>
      <c r="G25" s="401"/>
      <c r="H25" s="399">
        <f>SUMIF(97:97,G26,98:98)-SUMIF(97:97,C26,98:98)+100</f>
        <v>100</v>
      </c>
      <c r="I25" s="403"/>
      <c r="J25" s="399">
        <f>SUMIF(97:97,I26,98:98)-SUMIF(97:97,C26,98:98)+100</f>
        <v>100</v>
      </c>
      <c r="K25" s="619"/>
      <c r="L25" s="2717"/>
      <c r="M25" s="2711"/>
      <c r="N25" s="2711"/>
      <c r="O25" s="2769"/>
      <c r="P25" s="4071"/>
      <c r="Q25" s="1347" t="str">
        <f t="shared" si="8"/>
        <v>自然及人文环境状况</v>
      </c>
      <c r="R25" s="703" t="s">
        <v>14</v>
      </c>
      <c r="S25" s="704">
        <f>F25</f>
        <v>100</v>
      </c>
      <c r="T25" s="703" t="s">
        <v>14</v>
      </c>
      <c r="U25" s="704">
        <f>H25</f>
        <v>100</v>
      </c>
      <c r="V25" s="703" t="s">
        <v>14</v>
      </c>
      <c r="W25" s="704">
        <f>J25</f>
        <v>100</v>
      </c>
      <c r="X25" s="1350"/>
      <c r="Y25" s="4071"/>
      <c r="Z25" s="1351" t="str">
        <f>Q25</f>
        <v>自然及人文环境状况</v>
      </c>
      <c r="AA25" s="1348">
        <f t="shared" si="3"/>
        <v>1</v>
      </c>
      <c r="AB25" s="1348">
        <f t="shared" si="4"/>
        <v>1</v>
      </c>
      <c r="AC25" s="1348">
        <f t="shared" si="5"/>
        <v>1</v>
      </c>
    </row>
    <row r="26" spans="1:29" ht="15">
      <c r="A26" s="356"/>
      <c r="B26" s="405"/>
      <c r="C26" s="396"/>
      <c r="D26" s="397"/>
      <c r="E26" s="1899"/>
      <c r="F26" s="397"/>
      <c r="G26" s="1899"/>
      <c r="H26" s="397"/>
      <c r="I26" s="396"/>
      <c r="J26" s="397"/>
      <c r="K26" s="618"/>
      <c r="L26" s="2717"/>
      <c r="M26" s="2711"/>
      <c r="N26" s="2711"/>
      <c r="O26" s="2769"/>
      <c r="P26" s="4071"/>
      <c r="Q26" s="1347"/>
      <c r="R26" s="703"/>
      <c r="S26" s="704"/>
      <c r="T26" s="703"/>
      <c r="U26" s="704"/>
      <c r="V26" s="703"/>
      <c r="W26" s="704"/>
      <c r="X26" s="1350"/>
      <c r="Y26" s="4071"/>
      <c r="Z26" s="1351"/>
      <c r="AA26" s="1348">
        <v>1</v>
      </c>
      <c r="AB26" s="1348">
        <v>1</v>
      </c>
      <c r="AC26" s="1348">
        <v>1</v>
      </c>
    </row>
    <row r="27" spans="1:29" s="106" customFormat="1" ht="15">
      <c r="A27" s="595"/>
      <c r="B27" s="1126" t="s">
        <v>1778</v>
      </c>
      <c r="C27" s="1895">
        <f>估价对象房地状况!C21</f>
        <v>0</v>
      </c>
      <c r="D27" s="399">
        <v>100</v>
      </c>
      <c r="E27" s="401"/>
      <c r="F27" s="399">
        <f>SUMIF(99:99,E28,100:100)-SUMIF(99:99,C28,100:100)+100</f>
        <v>100</v>
      </c>
      <c r="G27" s="401"/>
      <c r="H27" s="399">
        <f>SUMIF(99:99,G28,100:100)-SUMIF(99:99,C28,100:100)+100</f>
        <v>100</v>
      </c>
      <c r="I27" s="403"/>
      <c r="J27" s="399">
        <f>SUMIF(99:99,I28,100:100)-SUMIF(99:99,C28,100:100)+100</f>
        <v>100</v>
      </c>
      <c r="K27" s="619"/>
      <c r="L27" s="2712"/>
      <c r="M27" s="2713"/>
      <c r="N27" s="2713"/>
      <c r="O27" s="2767"/>
      <c r="P27" s="4071"/>
      <c r="Q27" s="1338" t="str">
        <f t="shared" si="8"/>
        <v>公共配套设施</v>
      </c>
      <c r="R27" s="699" t="s">
        <v>14</v>
      </c>
      <c r="S27" s="700">
        <f>F27</f>
        <v>100</v>
      </c>
      <c r="T27" s="699" t="s">
        <v>14</v>
      </c>
      <c r="U27" s="700">
        <f>H27</f>
        <v>100</v>
      </c>
      <c r="V27" s="699" t="s">
        <v>14</v>
      </c>
      <c r="W27" s="700">
        <f>J27</f>
        <v>100</v>
      </c>
      <c r="X27" s="701"/>
      <c r="Y27" s="4071"/>
      <c r="Z27" s="50" t="str">
        <f>Q27</f>
        <v>公共配套设施</v>
      </c>
      <c r="AA27" s="1348">
        <f>D27/F27</f>
        <v>1</v>
      </c>
      <c r="AB27" s="1348">
        <f>D27/H27</f>
        <v>1</v>
      </c>
      <c r="AC27" s="1348">
        <f>D27/J27</f>
        <v>1</v>
      </c>
    </row>
    <row r="28" spans="1:29" s="106" customFormat="1" ht="15">
      <c r="A28" s="595"/>
      <c r="B28" s="405"/>
      <c r="C28" s="1973"/>
      <c r="D28" s="397"/>
      <c r="E28" s="1899"/>
      <c r="F28" s="397"/>
      <c r="G28" s="1899"/>
      <c r="H28" s="397"/>
      <c r="I28" s="396"/>
      <c r="J28" s="397"/>
      <c r="K28" s="618"/>
      <c r="L28" s="2712"/>
      <c r="M28" s="2713"/>
      <c r="N28" s="2713"/>
      <c r="O28" s="2767"/>
      <c r="P28" s="4071"/>
      <c r="Q28" s="1338"/>
      <c r="R28" s="699"/>
      <c r="S28" s="700"/>
      <c r="T28" s="699"/>
      <c r="U28" s="700"/>
      <c r="V28" s="699"/>
      <c r="W28" s="700"/>
      <c r="X28" s="701"/>
      <c r="Y28" s="4071"/>
      <c r="Z28" s="50"/>
      <c r="AA28" s="1348">
        <v>1</v>
      </c>
      <c r="AB28" s="1348">
        <v>1</v>
      </c>
      <c r="AC28" s="1348">
        <v>1</v>
      </c>
    </row>
    <row r="29" spans="1:29" s="106" customFormat="1" ht="15">
      <c r="A29" s="595"/>
      <c r="B29" s="1126" t="s">
        <v>1779</v>
      </c>
      <c r="C29" s="1895">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2"/>
      <c r="M29" s="2713"/>
      <c r="N29" s="2713"/>
      <c r="O29" s="2767"/>
      <c r="P29" s="4071"/>
      <c r="Q29" s="1338" t="str">
        <f t="shared" ref="Q29" si="9">B29</f>
        <v>基础设施水平</v>
      </c>
      <c r="R29" s="699" t="s">
        <v>14</v>
      </c>
      <c r="S29" s="700">
        <f>F29</f>
        <v>100</v>
      </c>
      <c r="T29" s="699" t="s">
        <v>14</v>
      </c>
      <c r="U29" s="700">
        <f>H29</f>
        <v>100</v>
      </c>
      <c r="V29" s="699" t="s">
        <v>14</v>
      </c>
      <c r="W29" s="700">
        <f>J29</f>
        <v>100</v>
      </c>
      <c r="X29" s="701"/>
      <c r="Y29" s="4071"/>
      <c r="Z29" s="50" t="str">
        <f>Q29</f>
        <v>基础设施水平</v>
      </c>
      <c r="AA29" s="1348">
        <f>D29/F29</f>
        <v>1</v>
      </c>
      <c r="AB29" s="1348">
        <f>D29/H29</f>
        <v>1</v>
      </c>
      <c r="AC29" s="1348">
        <f>D29/J29</f>
        <v>1</v>
      </c>
    </row>
    <row r="30" spans="1:29" s="106" customFormat="1" ht="15">
      <c r="A30" s="595"/>
      <c r="B30" s="405"/>
      <c r="C30" s="1973"/>
      <c r="D30" s="397"/>
      <c r="E30" s="1974"/>
      <c r="F30" s="397"/>
      <c r="G30" s="1974"/>
      <c r="H30" s="397"/>
      <c r="I30" s="1974"/>
      <c r="J30" s="397"/>
      <c r="K30" s="618"/>
      <c r="L30" s="2712"/>
      <c r="M30" s="2713"/>
      <c r="N30" s="2713"/>
      <c r="O30" s="2767"/>
      <c r="P30" s="4071"/>
      <c r="Q30" s="1338"/>
      <c r="R30" s="699"/>
      <c r="S30" s="700"/>
      <c r="T30" s="699"/>
      <c r="U30" s="700"/>
      <c r="V30" s="699"/>
      <c r="W30" s="700"/>
      <c r="X30" s="701"/>
      <c r="Y30" s="4071"/>
      <c r="Z30" s="50"/>
      <c r="AA30" s="1348">
        <v>1</v>
      </c>
      <c r="AB30" s="1348">
        <v>1</v>
      </c>
      <c r="AC30" s="1348">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7"/>
      <c r="M31" s="2711"/>
      <c r="N31" s="2711"/>
      <c r="O31" s="2769"/>
      <c r="P31" s="4071"/>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4071"/>
      <c r="Z31" s="1351" t="str">
        <f t="shared" ref="Z31:Z45" si="13">Q31</f>
        <v>临街状况</v>
      </c>
      <c r="AA31" s="1348">
        <f t="shared" si="3"/>
        <v>1</v>
      </c>
      <c r="AB31" s="1348">
        <f t="shared" si="4"/>
        <v>1</v>
      </c>
      <c r="AC31" s="1348">
        <f t="shared" si="5"/>
        <v>1</v>
      </c>
    </row>
    <row r="32" spans="1:29" ht="27">
      <c r="A32" s="377"/>
      <c r="B32" s="1126"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7"/>
      <c r="M32" s="2711"/>
      <c r="N32" s="2711"/>
      <c r="O32" s="2769"/>
      <c r="P32" s="4071"/>
      <c r="Q32" s="1347" t="str">
        <f t="shared" si="8"/>
        <v>毗邻道路的类型与等级</v>
      </c>
      <c r="R32" s="703" t="s">
        <v>14</v>
      </c>
      <c r="S32" s="704">
        <f t="shared" si="10"/>
        <v>100</v>
      </c>
      <c r="T32" s="703" t="s">
        <v>14</v>
      </c>
      <c r="U32" s="704">
        <f t="shared" si="11"/>
        <v>100</v>
      </c>
      <c r="V32" s="703" t="s">
        <v>14</v>
      </c>
      <c r="W32" s="704">
        <f t="shared" si="12"/>
        <v>100</v>
      </c>
      <c r="X32" s="1350"/>
      <c r="Y32" s="4071"/>
      <c r="Z32" s="1351" t="str">
        <f t="shared" si="13"/>
        <v>毗邻道路的类型与等级</v>
      </c>
      <c r="AA32" s="1348">
        <f t="shared" si="3"/>
        <v>1</v>
      </c>
      <c r="AB32" s="1348">
        <f t="shared" si="4"/>
        <v>1</v>
      </c>
      <c r="AC32" s="1348">
        <f t="shared" si="5"/>
        <v>1</v>
      </c>
    </row>
    <row r="33" spans="1:29" ht="15">
      <c r="A33" s="377"/>
      <c r="B33" s="405"/>
      <c r="C33" s="396"/>
      <c r="D33" s="397"/>
      <c r="E33" s="1899"/>
      <c r="F33" s="397"/>
      <c r="G33" s="1899"/>
      <c r="H33" s="397"/>
      <c r="I33" s="396"/>
      <c r="J33" s="397"/>
      <c r="K33" s="560"/>
      <c r="L33" s="2717"/>
      <c r="M33" s="2711"/>
      <c r="N33" s="2711"/>
      <c r="O33" s="2769"/>
      <c r="P33" s="4071"/>
      <c r="Q33" s="1347"/>
      <c r="R33" s="703"/>
      <c r="S33" s="704"/>
      <c r="T33" s="703"/>
      <c r="U33" s="704"/>
      <c r="V33" s="703"/>
      <c r="W33" s="704"/>
      <c r="X33" s="1350"/>
      <c r="Y33" s="4071"/>
      <c r="Z33" s="1351"/>
      <c r="AA33" s="1348">
        <v>1</v>
      </c>
      <c r="AB33" s="1348">
        <v>1</v>
      </c>
      <c r="AC33" s="1348">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7"/>
      <c r="M34" s="2711"/>
      <c r="N34" s="2711"/>
      <c r="O34" s="2769"/>
      <c r="P34" s="4071"/>
      <c r="Q34" s="1347" t="str">
        <f t="shared" si="8"/>
        <v>土地级别</v>
      </c>
      <c r="R34" s="703" t="s">
        <v>14</v>
      </c>
      <c r="S34" s="704">
        <f t="shared" si="10"/>
        <v>100</v>
      </c>
      <c r="T34" s="703" t="s">
        <v>14</v>
      </c>
      <c r="U34" s="704">
        <f t="shared" si="11"/>
        <v>100</v>
      </c>
      <c r="V34" s="703" t="s">
        <v>14</v>
      </c>
      <c r="W34" s="704">
        <f t="shared" si="12"/>
        <v>100</v>
      </c>
      <c r="X34" s="1350"/>
      <c r="Y34" s="4071"/>
      <c r="Z34" s="1351" t="str">
        <f t="shared" si="13"/>
        <v>土地级别</v>
      </c>
      <c r="AA34" s="1348">
        <f t="shared" si="3"/>
        <v>1</v>
      </c>
      <c r="AB34" s="1348">
        <f t="shared" si="4"/>
        <v>1</v>
      </c>
      <c r="AC34" s="1348">
        <f t="shared" si="5"/>
        <v>1</v>
      </c>
    </row>
    <row r="35" spans="1:29" ht="15">
      <c r="A35" s="356"/>
      <c r="B35" s="1128">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7"/>
      <c r="M35" s="2711"/>
      <c r="N35" s="2711"/>
      <c r="O35" s="2769"/>
      <c r="P35" s="4071"/>
      <c r="Q35" s="1347">
        <f t="shared" si="8"/>
        <v>111</v>
      </c>
      <c r="R35" s="703" t="s">
        <v>14</v>
      </c>
      <c r="S35" s="704">
        <f t="shared" si="10"/>
        <v>100</v>
      </c>
      <c r="T35" s="703" t="s">
        <v>14</v>
      </c>
      <c r="U35" s="704">
        <f t="shared" si="11"/>
        <v>100</v>
      </c>
      <c r="V35" s="703" t="s">
        <v>14</v>
      </c>
      <c r="W35" s="704">
        <f t="shared" si="12"/>
        <v>100</v>
      </c>
      <c r="X35" s="1350"/>
      <c r="Y35" s="4071"/>
      <c r="Z35" s="1351">
        <f t="shared" si="13"/>
        <v>111</v>
      </c>
      <c r="AA35" s="1348">
        <f t="shared" si="3"/>
        <v>1</v>
      </c>
      <c r="AB35" s="1348">
        <f t="shared" si="4"/>
        <v>1</v>
      </c>
      <c r="AC35" s="1348">
        <f t="shared" si="5"/>
        <v>1</v>
      </c>
    </row>
    <row r="36" spans="1:29" ht="15">
      <c r="A36" s="621"/>
      <c r="B36" s="1129">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7"/>
      <c r="M36" s="2711"/>
      <c r="N36" s="2711"/>
      <c r="O36" s="2769"/>
      <c r="P36" s="4126" t="s">
        <v>1696</v>
      </c>
      <c r="Q36" s="1347">
        <f t="shared" si="8"/>
        <v>111</v>
      </c>
      <c r="R36" s="703" t="s">
        <v>14</v>
      </c>
      <c r="S36" s="704">
        <f t="shared" si="10"/>
        <v>100</v>
      </c>
      <c r="T36" s="703" t="s">
        <v>14</v>
      </c>
      <c r="U36" s="704">
        <f t="shared" si="11"/>
        <v>100</v>
      </c>
      <c r="V36" s="703" t="s">
        <v>14</v>
      </c>
      <c r="W36" s="704">
        <f t="shared" si="12"/>
        <v>100</v>
      </c>
      <c r="X36" s="1350"/>
      <c r="Y36" s="4075" t="s">
        <v>1696</v>
      </c>
      <c r="Z36" s="1351">
        <f t="shared" si="13"/>
        <v>111</v>
      </c>
      <c r="AA36" s="1348">
        <f t="shared" si="3"/>
        <v>1</v>
      </c>
      <c r="AB36" s="1348">
        <f t="shared" si="4"/>
        <v>1</v>
      </c>
      <c r="AC36" s="1348">
        <f t="shared" si="5"/>
        <v>1</v>
      </c>
    </row>
    <row r="37" spans="1:29" s="420" customFormat="1" ht="15.75" thickBot="1">
      <c r="A37" s="622"/>
      <c r="B37" s="1130">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6"/>
      <c r="M37" s="2718"/>
      <c r="N37" s="2718"/>
      <c r="O37" s="2770"/>
      <c r="P37" s="4075"/>
      <c r="Q37" s="1347">
        <f t="shared" si="8"/>
        <v>111</v>
      </c>
      <c r="R37" s="706" t="s">
        <v>14</v>
      </c>
      <c r="S37" s="707">
        <f t="shared" si="10"/>
        <v>100</v>
      </c>
      <c r="T37" s="706" t="s">
        <v>14</v>
      </c>
      <c r="U37" s="707">
        <f t="shared" si="11"/>
        <v>100</v>
      </c>
      <c r="V37" s="706" t="s">
        <v>14</v>
      </c>
      <c r="W37" s="707">
        <f t="shared" si="12"/>
        <v>100</v>
      </c>
      <c r="X37" s="708"/>
      <c r="Y37" s="4075"/>
      <c r="Z37" s="709">
        <f t="shared" si="13"/>
        <v>111</v>
      </c>
      <c r="AA37" s="1348">
        <f t="shared" si="3"/>
        <v>1</v>
      </c>
      <c r="AB37" s="1348">
        <f t="shared" si="4"/>
        <v>1</v>
      </c>
      <c r="AC37" s="1348">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7"/>
      <c r="M38" s="2711"/>
      <c r="N38" s="2711"/>
      <c r="O38" s="2769"/>
      <c r="P38" s="4075"/>
      <c r="Q38" s="1347" t="str">
        <f>B38</f>
        <v>宗地面积</v>
      </c>
      <c r="R38" s="703" t="s">
        <v>14</v>
      </c>
      <c r="S38" s="704" t="e">
        <f t="shared" si="10"/>
        <v>#N/A</v>
      </c>
      <c r="T38" s="703" t="s">
        <v>14</v>
      </c>
      <c r="U38" s="704" t="e">
        <f t="shared" si="11"/>
        <v>#N/A</v>
      </c>
      <c r="V38" s="703" t="s">
        <v>14</v>
      </c>
      <c r="W38" s="704" t="e">
        <f t="shared" si="12"/>
        <v>#N/A</v>
      </c>
      <c r="X38" s="1350"/>
      <c r="Y38" s="4075"/>
      <c r="Z38" s="1351" t="str">
        <f t="shared" si="13"/>
        <v>宗地面积</v>
      </c>
      <c r="AA38" s="1348" t="e">
        <f t="shared" si="3"/>
        <v>#N/A</v>
      </c>
      <c r="AB38" s="1348" t="e">
        <f t="shared" si="4"/>
        <v>#N/A</v>
      </c>
      <c r="AC38" s="1348" t="e">
        <f t="shared" si="5"/>
        <v>#N/A</v>
      </c>
    </row>
    <row r="39" spans="1:29" ht="15">
      <c r="A39" s="421"/>
      <c r="B39" s="373" t="s">
        <v>1875</v>
      </c>
      <c r="C39" s="1901"/>
      <c r="D39" s="384">
        <v>100</v>
      </c>
      <c r="E39" s="1901"/>
      <c r="F39" s="384">
        <f>SUMIF(118:118,E39,119:119)-SUMIF(118:118,C39,119:119)+100</f>
        <v>100</v>
      </c>
      <c r="G39" s="1901"/>
      <c r="H39" s="384">
        <f>SUMIF(118:118,G39,119:119)-SUMIF(118:118,C39,119:119)+100</f>
        <v>100</v>
      </c>
      <c r="I39" s="1901"/>
      <c r="J39" s="384">
        <f>SUMIF(118:118,I39,119:119)-SUMIF(118:118,C39,119:119)+100</f>
        <v>100</v>
      </c>
      <c r="K39" s="559"/>
      <c r="L39" s="2717"/>
      <c r="M39" s="2711"/>
      <c r="N39" s="2711"/>
      <c r="O39" s="2769"/>
      <c r="P39" s="4075"/>
      <c r="Q39" s="1347" t="str">
        <f t="shared" ref="Q39:Q45" si="14">B39</f>
        <v>宗地形状</v>
      </c>
      <c r="R39" s="703" t="s">
        <v>14</v>
      </c>
      <c r="S39" s="704">
        <f t="shared" si="10"/>
        <v>100</v>
      </c>
      <c r="T39" s="703" t="s">
        <v>14</v>
      </c>
      <c r="U39" s="704">
        <f t="shared" si="11"/>
        <v>100</v>
      </c>
      <c r="V39" s="703" t="s">
        <v>14</v>
      </c>
      <c r="W39" s="704">
        <f t="shared" si="12"/>
        <v>100</v>
      </c>
      <c r="X39" s="1350"/>
      <c r="Y39" s="4075"/>
      <c r="Z39" s="1351" t="str">
        <f t="shared" si="13"/>
        <v>宗地形状</v>
      </c>
      <c r="AA39" s="1348">
        <f t="shared" si="3"/>
        <v>1</v>
      </c>
      <c r="AB39" s="1348">
        <f t="shared" si="4"/>
        <v>1</v>
      </c>
      <c r="AC39" s="1348">
        <f t="shared" si="5"/>
        <v>1</v>
      </c>
    </row>
    <row r="40" spans="1:29" ht="15">
      <c r="A40" s="421"/>
      <c r="B40" s="373" t="s">
        <v>1876</v>
      </c>
      <c r="C40" s="1901"/>
      <c r="D40" s="384">
        <v>100</v>
      </c>
      <c r="E40" s="1901"/>
      <c r="F40" s="384">
        <f>SUMIF(120:120,E40,121:121)-SUMIF(120:120,C40,121:121)+100</f>
        <v>100</v>
      </c>
      <c r="G40" s="1901"/>
      <c r="H40" s="384">
        <f>SUMIF(120:120,G40,121:121)-SUMIF(120:120,C40,121:121)+100</f>
        <v>100</v>
      </c>
      <c r="I40" s="1901"/>
      <c r="J40" s="384">
        <f>SUMIF(120:120,I40,121:121)-SUMIF(120:120,C40,121:121)+100</f>
        <v>100</v>
      </c>
      <c r="K40" s="559"/>
      <c r="L40" s="2717"/>
      <c r="M40" s="2711"/>
      <c r="N40" s="2711"/>
      <c r="O40" s="2769"/>
      <c r="P40" s="4075"/>
      <c r="Q40" s="1347" t="str">
        <f t="shared" si="14"/>
        <v>临街宽度及深度</v>
      </c>
      <c r="R40" s="703" t="s">
        <v>14</v>
      </c>
      <c r="S40" s="704">
        <f t="shared" si="10"/>
        <v>100</v>
      </c>
      <c r="T40" s="703" t="s">
        <v>14</v>
      </c>
      <c r="U40" s="704">
        <f t="shared" si="11"/>
        <v>100</v>
      </c>
      <c r="V40" s="703" t="s">
        <v>14</v>
      </c>
      <c r="W40" s="704">
        <f t="shared" si="12"/>
        <v>100</v>
      </c>
      <c r="X40" s="1350"/>
      <c r="Y40" s="4075"/>
      <c r="Z40" s="1351" t="str">
        <f t="shared" si="13"/>
        <v>临街宽度及深度</v>
      </c>
      <c r="AA40" s="1348">
        <f t="shared" si="3"/>
        <v>1</v>
      </c>
      <c r="AB40" s="1348">
        <f t="shared" si="4"/>
        <v>1</v>
      </c>
      <c r="AC40" s="1348">
        <f t="shared" si="5"/>
        <v>1</v>
      </c>
    </row>
    <row r="41" spans="1:29" s="106" customFormat="1" ht="15">
      <c r="A41" s="422"/>
      <c r="B41" s="373" t="s">
        <v>1877</v>
      </c>
      <c r="C41" s="1975"/>
      <c r="D41" s="125">
        <v>100</v>
      </c>
      <c r="E41" s="1975"/>
      <c r="F41" s="384">
        <f>SUMIF(122:122,E41,123:123)-SUMIF(122:122,C41,123:123)+100</f>
        <v>100</v>
      </c>
      <c r="G41" s="1975"/>
      <c r="H41" s="384">
        <f>SUMIF(122:122,G41,123:123)-SUMIF(122:122,C41,123:123)+100</f>
        <v>100</v>
      </c>
      <c r="I41" s="1975"/>
      <c r="J41" s="384">
        <f>SUMIF(122:122,I41,123:123)-SUMIF(122:122,C41,123:123)+100</f>
        <v>100</v>
      </c>
      <c r="K41" s="559"/>
      <c r="L41" s="2712"/>
      <c r="M41" s="2713"/>
      <c r="N41" s="2713"/>
      <c r="O41" s="2767"/>
      <c r="P41" s="4075"/>
      <c r="Q41" s="1347" t="str">
        <f t="shared" si="14"/>
        <v>宗地开发程度</v>
      </c>
      <c r="R41" s="699" t="s">
        <v>14</v>
      </c>
      <c r="S41" s="700">
        <f t="shared" si="10"/>
        <v>100</v>
      </c>
      <c r="T41" s="699" t="s">
        <v>14</v>
      </c>
      <c r="U41" s="700">
        <f t="shared" si="11"/>
        <v>100</v>
      </c>
      <c r="V41" s="699" t="s">
        <v>14</v>
      </c>
      <c r="W41" s="700">
        <f t="shared" si="12"/>
        <v>100</v>
      </c>
      <c r="X41" s="701"/>
      <c r="Y41" s="4075"/>
      <c r="Z41" s="50" t="str">
        <f t="shared" si="13"/>
        <v>宗地开发程度</v>
      </c>
      <c r="AA41" s="702">
        <f t="shared" si="3"/>
        <v>1</v>
      </c>
      <c r="AB41" s="702">
        <f t="shared" si="4"/>
        <v>1</v>
      </c>
      <c r="AC41" s="702">
        <f t="shared" si="5"/>
        <v>1</v>
      </c>
    </row>
    <row r="42" spans="1:29" ht="15">
      <c r="A42" s="421"/>
      <c r="B42" s="373" t="s">
        <v>1878</v>
      </c>
      <c r="C42" s="1901"/>
      <c r="D42" s="384">
        <v>100</v>
      </c>
      <c r="E42" s="1901"/>
      <c r="F42" s="384">
        <f>SUMIF(124:124,E42,125:125)-SUMIF(124:124,C42,125:125)+100</f>
        <v>100</v>
      </c>
      <c r="G42" s="1901"/>
      <c r="H42" s="384">
        <f>SUMIF(124:124,G42,125:125)-SUMIF(124:124,C42,125:125)+100</f>
        <v>100</v>
      </c>
      <c r="I42" s="1901"/>
      <c r="J42" s="384">
        <f>SUMIF(124:124,I42,125:125)-SUMIF(124:124,C42,125:125)+100</f>
        <v>100</v>
      </c>
      <c r="K42" s="559"/>
      <c r="L42" s="2717"/>
      <c r="M42" s="2711"/>
      <c r="N42" s="2711"/>
      <c r="O42" s="2769"/>
      <c r="P42" s="4075" t="s">
        <v>1696</v>
      </c>
      <c r="Q42" s="1347" t="str">
        <f t="shared" si="14"/>
        <v>工程地质条件</v>
      </c>
      <c r="R42" s="703" t="s">
        <v>14</v>
      </c>
      <c r="S42" s="704">
        <f t="shared" si="10"/>
        <v>100</v>
      </c>
      <c r="T42" s="703" t="s">
        <v>14</v>
      </c>
      <c r="U42" s="704">
        <f t="shared" si="11"/>
        <v>100</v>
      </c>
      <c r="V42" s="703" t="s">
        <v>14</v>
      </c>
      <c r="W42" s="704">
        <f t="shared" si="12"/>
        <v>100</v>
      </c>
      <c r="X42" s="1350"/>
      <c r="Y42" s="4075" t="s">
        <v>1696</v>
      </c>
      <c r="Z42" s="1351" t="str">
        <f t="shared" si="13"/>
        <v>工程地质条件</v>
      </c>
      <c r="AA42" s="1348">
        <f t="shared" si="3"/>
        <v>1</v>
      </c>
      <c r="AB42" s="1348">
        <f t="shared" si="4"/>
        <v>1</v>
      </c>
      <c r="AC42" s="1348">
        <f t="shared" si="5"/>
        <v>1</v>
      </c>
    </row>
    <row r="43" spans="1:29" ht="15">
      <c r="A43" s="421"/>
      <c r="B43" s="1129">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7"/>
      <c r="M43" s="2711"/>
      <c r="N43" s="2711"/>
      <c r="O43" s="2769"/>
      <c r="P43" s="4075"/>
      <c r="Q43" s="1347">
        <f t="shared" si="14"/>
        <v>111</v>
      </c>
      <c r="R43" s="703" t="s">
        <v>14</v>
      </c>
      <c r="S43" s="704">
        <f t="shared" si="10"/>
        <v>100</v>
      </c>
      <c r="T43" s="703" t="s">
        <v>14</v>
      </c>
      <c r="U43" s="704">
        <f t="shared" si="11"/>
        <v>100</v>
      </c>
      <c r="V43" s="703" t="s">
        <v>14</v>
      </c>
      <c r="W43" s="704">
        <f t="shared" si="12"/>
        <v>100</v>
      </c>
      <c r="X43" s="1350"/>
      <c r="Y43" s="4075"/>
      <c r="Z43" s="1351">
        <f t="shared" si="13"/>
        <v>111</v>
      </c>
      <c r="AA43" s="1348">
        <f t="shared" si="3"/>
        <v>1</v>
      </c>
      <c r="AB43" s="1348">
        <f t="shared" si="4"/>
        <v>1</v>
      </c>
      <c r="AC43" s="1348">
        <f t="shared" si="5"/>
        <v>1</v>
      </c>
    </row>
    <row r="44" spans="1:29" ht="15">
      <c r="A44" s="421"/>
      <c r="B44" s="1129">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7"/>
      <c r="M44" s="2711"/>
      <c r="N44" s="2711"/>
      <c r="O44" s="2769"/>
      <c r="P44" s="4075"/>
      <c r="Q44" s="1347">
        <f t="shared" si="14"/>
        <v>111</v>
      </c>
      <c r="R44" s="703" t="s">
        <v>14</v>
      </c>
      <c r="S44" s="704">
        <f t="shared" si="10"/>
        <v>100</v>
      </c>
      <c r="T44" s="703" t="s">
        <v>14</v>
      </c>
      <c r="U44" s="704">
        <f t="shared" si="11"/>
        <v>100</v>
      </c>
      <c r="V44" s="703" t="s">
        <v>14</v>
      </c>
      <c r="W44" s="704">
        <f t="shared" si="12"/>
        <v>100</v>
      </c>
      <c r="X44" s="1350"/>
      <c r="Y44" s="4075"/>
      <c r="Z44" s="1351">
        <f t="shared" si="13"/>
        <v>111</v>
      </c>
      <c r="AA44" s="1348">
        <f t="shared" si="3"/>
        <v>1</v>
      </c>
      <c r="AB44" s="1348">
        <f t="shared" si="4"/>
        <v>1</v>
      </c>
      <c r="AC44" s="1348">
        <f t="shared" si="5"/>
        <v>1</v>
      </c>
    </row>
    <row r="45" spans="1:29" s="420" customFormat="1" ht="15.75" thickBot="1">
      <c r="A45" s="417"/>
      <c r="B45" s="1129">
        <v>111</v>
      </c>
      <c r="C45" s="1976"/>
      <c r="D45" s="626">
        <v>100</v>
      </c>
      <c r="E45" s="620"/>
      <c r="F45" s="387">
        <f>SUMIF(130:130,E45,131:131)-SUMIF(130:130,C45,131:131)+100</f>
        <v>100</v>
      </c>
      <c r="G45" s="620"/>
      <c r="H45" s="387">
        <f>SUMIF(130:130,G45,131:131)-SUMIF(130:130,C45,131:131)+100</f>
        <v>100</v>
      </c>
      <c r="I45" s="620"/>
      <c r="J45" s="387">
        <f>SUMIF(130:130,I45,131:131)-SUMIF(130:130,C45,131:131)+100</f>
        <v>100</v>
      </c>
      <c r="K45" s="627"/>
      <c r="L45" s="2716"/>
      <c r="M45" s="2718"/>
      <c r="N45" s="2718"/>
      <c r="O45" s="2770"/>
      <c r="P45" s="4075"/>
      <c r="Q45" s="1347">
        <f t="shared" si="14"/>
        <v>111</v>
      </c>
      <c r="R45" s="706" t="s">
        <v>14</v>
      </c>
      <c r="S45" s="707">
        <f t="shared" si="10"/>
        <v>100</v>
      </c>
      <c r="T45" s="706" t="s">
        <v>14</v>
      </c>
      <c r="U45" s="707">
        <f t="shared" si="11"/>
        <v>100</v>
      </c>
      <c r="V45" s="706" t="s">
        <v>14</v>
      </c>
      <c r="W45" s="707">
        <f t="shared" si="12"/>
        <v>100</v>
      </c>
      <c r="X45" s="708"/>
      <c r="Y45" s="4075"/>
      <c r="Z45" s="709">
        <f t="shared" si="13"/>
        <v>111</v>
      </c>
      <c r="AA45" s="1348">
        <f t="shared" si="3"/>
        <v>1</v>
      </c>
      <c r="AB45" s="1348">
        <f t="shared" si="4"/>
        <v>1</v>
      </c>
      <c r="AC45" s="1348">
        <f t="shared" si="5"/>
        <v>1</v>
      </c>
    </row>
    <row r="46" spans="1:29" ht="15">
      <c r="A46" s="428" t="s">
        <v>1844</v>
      </c>
      <c r="B46" s="1977" t="s">
        <v>1879</v>
      </c>
      <c r="C46" s="628" t="s">
        <v>0</v>
      </c>
      <c r="D46" s="430"/>
      <c r="E46" s="431"/>
      <c r="F46" s="432"/>
      <c r="G46" s="433"/>
      <c r="H46" s="434"/>
      <c r="I46" s="431"/>
      <c r="J46" s="434"/>
      <c r="K46" s="712"/>
      <c r="L46" s="2719"/>
      <c r="M46" s="2720"/>
      <c r="N46" s="2711"/>
      <c r="O46" s="2720"/>
      <c r="P46" s="4068" t="str">
        <f>A46</f>
        <v>成交单价</v>
      </c>
      <c r="Q46" s="4068"/>
      <c r="R46" s="4099">
        <f>E46</f>
        <v>0</v>
      </c>
      <c r="S46" s="4099"/>
      <c r="T46" s="4099">
        <f>G46</f>
        <v>0</v>
      </c>
      <c r="U46" s="4099"/>
      <c r="V46" s="4099">
        <f>I46</f>
        <v>0</v>
      </c>
      <c r="W46" s="4099"/>
      <c r="X46" s="688"/>
      <c r="Y46" s="710"/>
      <c r="Z46" s="688"/>
      <c r="AA46" s="688"/>
      <c r="AB46" s="688"/>
      <c r="AC46" s="688"/>
    </row>
    <row r="47" spans="1:29" ht="15.75" thickBot="1">
      <c r="A47" s="435" t="s">
        <v>1793</v>
      </c>
      <c r="B47" s="629"/>
      <c r="C47" s="438" t="e">
        <f>R48</f>
        <v>#DIV/0!</v>
      </c>
      <c r="D47" s="2312" t="s">
        <v>2138</v>
      </c>
      <c r="E47" s="438" t="e">
        <f>R47</f>
        <v>#DIV/0!</v>
      </c>
      <c r="F47" s="2313"/>
      <c r="G47" s="437" t="e">
        <f>T47</f>
        <v>#DIV/0!</v>
      </c>
      <c r="H47" s="2313"/>
      <c r="I47" s="438" t="e">
        <f>V47</f>
        <v>#DIV/0!</v>
      </c>
      <c r="J47" s="2313"/>
      <c r="K47" s="2315">
        <f>F47+H47+J47</f>
        <v>0</v>
      </c>
      <c r="L47" s="2719"/>
      <c r="M47" s="2720"/>
      <c r="N47" s="2720"/>
      <c r="O47" s="2720"/>
      <c r="P47" s="4068" t="str">
        <f>A47</f>
        <v>比较价值（元/平方米）</v>
      </c>
      <c r="Q47" s="4068"/>
      <c r="R47" s="4128" t="e">
        <f>ROUND(PRODUCT(R46,AA7:AA45),0)</f>
        <v>#DIV/0!</v>
      </c>
      <c r="S47" s="4128"/>
      <c r="T47" s="4128" t="e">
        <f>ROUND(PRODUCT(T46,AB7:AB45),0)</f>
        <v>#DIV/0!</v>
      </c>
      <c r="U47" s="4128"/>
      <c r="V47" s="4128" t="e">
        <f>ROUND(PRODUCT(V46,AC7:AC45),0)</f>
        <v>#DIV/0!</v>
      </c>
      <c r="W47" s="4128"/>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19"/>
      <c r="M48" s="2720"/>
      <c r="N48" s="2720"/>
      <c r="O48" s="2720"/>
      <c r="P48" s="4065" t="str">
        <f>A48</f>
        <v>估价对象XX用房的比较价值（楼面单价，元/平方米）</v>
      </c>
      <c r="Q48" s="4066"/>
      <c r="R48" s="4129" t="e">
        <f>ROUND(IF(D47="简单平均",AVERAGE(R47:W47),R47*F47+T47*H47+V47*J47),0)</f>
        <v>#DIV/0!</v>
      </c>
      <c r="S48" s="4129"/>
      <c r="T48" s="4129"/>
      <c r="U48" s="4129"/>
      <c r="V48" s="4129"/>
      <c r="W48" s="4129"/>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49" customFormat="1" ht="13.5" customHeight="1">
      <c r="A53" s="2723"/>
      <c r="B53" s="2723"/>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49"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0" t="s">
        <v>1881</v>
      </c>
      <c r="B55" s="631" t="s">
        <v>1882</v>
      </c>
      <c r="C55" s="1978" t="s">
        <v>1883</v>
      </c>
      <c r="D55" s="1979" t="s">
        <v>1884</v>
      </c>
      <c r="E55" s="632" t="s">
        <v>1885</v>
      </c>
      <c r="F55" s="885" t="s">
        <v>1886</v>
      </c>
      <c r="G55" s="4083" t="s">
        <v>1887</v>
      </c>
      <c r="H55" s="4130"/>
      <c r="I55" s="133"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8" customFormat="1">
      <c r="A56" s="634" t="s">
        <v>1890</v>
      </c>
      <c r="B56" s="635" t="e">
        <f>C48</f>
        <v>#DIV/0!</v>
      </c>
      <c r="C56" s="636">
        <v>1</v>
      </c>
      <c r="D56" s="939">
        <v>1</v>
      </c>
      <c r="E56" s="636">
        <f>'数据-汇总表'!E8+'数据-汇总表'!E9</f>
        <v>49913.509999999995</v>
      </c>
      <c r="F56" s="881" t="e">
        <f t="shared" ref="F56:F64" si="15">ROUND(B56*E56/10000,0)</f>
        <v>#DIV/0!</v>
      </c>
      <c r="G56" s="4079"/>
      <c r="H56" s="4068"/>
      <c r="I56" s="886">
        <v>1</v>
      </c>
      <c r="J56" s="889">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8" customFormat="1">
      <c r="A57" s="639" t="s">
        <v>1891</v>
      </c>
      <c r="B57" s="216" t="e">
        <f>ROUND($C$48*C57*D57,0)</f>
        <v>#DIV/0!</v>
      </c>
      <c r="C57" s="169">
        <f t="shared" ref="C57:C64" si="16">IF($C$55="北京市系数",I57,J57)</f>
        <v>0.7</v>
      </c>
      <c r="D57" s="940">
        <v>0.25</v>
      </c>
      <c r="E57" s="640"/>
      <c r="F57" s="881" t="e">
        <f t="shared" si="15"/>
        <v>#DIV/0!</v>
      </c>
      <c r="G57" s="2997" t="s">
        <v>1892</v>
      </c>
      <c r="H57" s="882" t="str">
        <f>项目基本情况!B37</f>
        <v>一级</v>
      </c>
      <c r="I57" s="886">
        <f>SUMIF(修正!A57:A68,H57,修正!B57:B68)</f>
        <v>0.7</v>
      </c>
      <c r="J57" s="890"/>
      <c r="K57" s="2720"/>
      <c r="L57" s="2777"/>
      <c r="M57" s="2777"/>
      <c r="N57" s="2777"/>
      <c r="O57" s="2777"/>
      <c r="P57" s="2777"/>
      <c r="Q57" s="2777"/>
      <c r="R57" s="2777"/>
      <c r="S57" s="2777"/>
      <c r="T57" s="2777"/>
      <c r="U57" s="2777"/>
      <c r="V57" s="2777"/>
      <c r="W57" s="2777"/>
      <c r="X57" s="2777"/>
      <c r="Y57" s="2777"/>
      <c r="Z57" s="2777"/>
      <c r="AA57" s="2777"/>
      <c r="AB57" s="2777"/>
      <c r="AC57" s="2777"/>
    </row>
    <row r="58" spans="1:29" s="638" customFormat="1">
      <c r="A58" s="639" t="s">
        <v>1893</v>
      </c>
      <c r="B58" s="216" t="e">
        <f t="shared" ref="B58:B64" si="17">ROUND($C$48*C58*D58,0)</f>
        <v>#DIV/0!</v>
      </c>
      <c r="C58" s="169">
        <f t="shared" si="16"/>
        <v>0.4</v>
      </c>
      <c r="D58" s="940">
        <v>0.25</v>
      </c>
      <c r="E58" s="640"/>
      <c r="F58" s="881" t="e">
        <f t="shared" si="15"/>
        <v>#DIV/0!</v>
      </c>
      <c r="G58" s="2998"/>
      <c r="H58" s="882" t="str">
        <f>项目基本情况!B37</f>
        <v>一级</v>
      </c>
      <c r="I58" s="886">
        <f>SUMIF(修正!A57:A68,H58,修正!C57:C68)</f>
        <v>0.4</v>
      </c>
      <c r="J58" s="890"/>
      <c r="K58" s="2723"/>
      <c r="L58" s="2777"/>
      <c r="M58" s="2777"/>
      <c r="N58" s="2777"/>
      <c r="O58" s="2777"/>
      <c r="P58" s="2777"/>
      <c r="Q58" s="2777"/>
      <c r="R58" s="2777"/>
      <c r="S58" s="2777"/>
      <c r="T58" s="2777"/>
      <c r="U58" s="2777"/>
      <c r="V58" s="2777"/>
      <c r="W58" s="2777"/>
      <c r="X58" s="2777"/>
      <c r="Y58" s="2777"/>
      <c r="Z58" s="2777"/>
      <c r="AA58" s="2777"/>
      <c r="AB58" s="2777"/>
      <c r="AC58" s="2777"/>
    </row>
    <row r="59" spans="1:29" s="638" customFormat="1">
      <c r="A59" s="639" t="s">
        <v>1894</v>
      </c>
      <c r="B59" s="216" t="e">
        <f t="shared" si="17"/>
        <v>#DIV/0!</v>
      </c>
      <c r="C59" s="169">
        <f t="shared" si="16"/>
        <v>0.3</v>
      </c>
      <c r="D59" s="940">
        <v>0.25</v>
      </c>
      <c r="E59" s="640"/>
      <c r="F59" s="881" t="e">
        <f t="shared" si="15"/>
        <v>#DIV/0!</v>
      </c>
      <c r="G59" s="2998"/>
      <c r="H59" s="882" t="str">
        <f>项目基本情况!B37</f>
        <v>一级</v>
      </c>
      <c r="I59" s="886">
        <f>SUMIF(修正!A57:A68,H59,修正!D57:D68)</f>
        <v>0.3</v>
      </c>
      <c r="J59" s="890"/>
      <c r="K59" s="2720"/>
      <c r="L59" s="2777"/>
      <c r="M59" s="2777"/>
      <c r="N59" s="2777"/>
      <c r="O59" s="2777"/>
      <c r="P59" s="2777"/>
      <c r="Q59" s="2777"/>
      <c r="R59" s="2777"/>
      <c r="S59" s="2777"/>
      <c r="T59" s="2777"/>
      <c r="U59" s="2777"/>
      <c r="V59" s="2777"/>
      <c r="W59" s="2777"/>
      <c r="X59" s="2777"/>
      <c r="Y59" s="2777"/>
      <c r="Z59" s="2777"/>
      <c r="AA59" s="2777"/>
      <c r="AB59" s="2777"/>
      <c r="AC59" s="2777"/>
    </row>
    <row r="60" spans="1:29" s="638" customFormat="1">
      <c r="A60" s="639" t="s">
        <v>1895</v>
      </c>
      <c r="B60" s="216" t="e">
        <f t="shared" si="17"/>
        <v>#DIV/0!</v>
      </c>
      <c r="C60" s="169">
        <f t="shared" si="16"/>
        <v>0</v>
      </c>
      <c r="D60" s="940">
        <v>0.25</v>
      </c>
      <c r="E60" s="215">
        <f>'数据-汇总表'!E11</f>
        <v>0</v>
      </c>
      <c r="F60" s="881" t="e">
        <f t="shared" si="15"/>
        <v>#DIV/0!</v>
      </c>
      <c r="G60" s="1982" t="s">
        <v>1896</v>
      </c>
      <c r="H60" s="882">
        <f>项目基本情况!C37</f>
        <v>0</v>
      </c>
      <c r="I60" s="886">
        <f>SUMIF(修正!A57:A68,H60,修正!E57:E68)</f>
        <v>0</v>
      </c>
      <c r="J60" s="890"/>
      <c r="K60" s="2720"/>
      <c r="L60" s="2777"/>
      <c r="M60" s="2777"/>
      <c r="N60" s="2777"/>
      <c r="O60" s="2777"/>
      <c r="P60" s="2777"/>
      <c r="Q60" s="2777"/>
      <c r="R60" s="2777"/>
      <c r="S60" s="2777"/>
      <c r="T60" s="2777"/>
      <c r="U60" s="2777"/>
      <c r="V60" s="2777"/>
      <c r="W60" s="2777"/>
      <c r="X60" s="2777"/>
      <c r="Y60" s="2777"/>
      <c r="Z60" s="2777"/>
      <c r="AA60" s="2777"/>
      <c r="AB60" s="2777"/>
      <c r="AC60" s="2777"/>
    </row>
    <row r="61" spans="1:29" s="638" customFormat="1">
      <c r="A61" s="639" t="s">
        <v>1897</v>
      </c>
      <c r="B61" s="216" t="e">
        <f t="shared" si="17"/>
        <v>#DIV/0!</v>
      </c>
      <c r="C61" s="169">
        <f t="shared" si="16"/>
        <v>0</v>
      </c>
      <c r="D61" s="940">
        <v>0.25</v>
      </c>
      <c r="E61" s="215">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3"/>
      <c r="L61" s="2777"/>
      <c r="M61" s="2777"/>
      <c r="N61" s="2777"/>
      <c r="O61" s="2777"/>
      <c r="P61" s="2777"/>
      <c r="Q61" s="2777"/>
      <c r="R61" s="2777"/>
      <c r="S61" s="2777"/>
      <c r="T61" s="2777"/>
      <c r="U61" s="2777"/>
      <c r="V61" s="2777"/>
      <c r="W61" s="2777"/>
      <c r="X61" s="2777"/>
      <c r="Y61" s="2777"/>
      <c r="Z61" s="2777"/>
      <c r="AA61" s="2777"/>
      <c r="AB61" s="2777"/>
      <c r="AC61" s="2777"/>
    </row>
    <row r="62" spans="1:29" s="638" customFormat="1">
      <c r="A62" s="639" t="s">
        <v>1899</v>
      </c>
      <c r="B62" s="216" t="e">
        <f t="shared" si="17"/>
        <v>#DIV/0!</v>
      </c>
      <c r="C62" s="169">
        <f t="shared" si="16"/>
        <v>0.2</v>
      </c>
      <c r="D62" s="940">
        <v>0.25</v>
      </c>
      <c r="E62" s="215">
        <f>'数据-汇总表'!E13</f>
        <v>4264.3</v>
      </c>
      <c r="F62" s="881" t="e">
        <f t="shared" si="15"/>
        <v>#DIV/0!</v>
      </c>
      <c r="G62" s="887" t="s">
        <v>1900</v>
      </c>
      <c r="H62" s="882" t="str">
        <f>IF(G62="商业",项目基本情况!B37,IF(G62="办公",项目基本情况!C37,IF(G62="住宅",项目基本情况!D37,项目基本情况!E37)))</f>
        <v>一级</v>
      </c>
      <c r="I62" s="886">
        <f>SUMIF(修正!A57:A68,H62,修正!G57:G68)</f>
        <v>0.2</v>
      </c>
      <c r="J62" s="890"/>
      <c r="K62" s="2720"/>
      <c r="L62" s="2777"/>
      <c r="M62" s="2777"/>
      <c r="N62" s="2777"/>
      <c r="O62" s="2777"/>
      <c r="P62" s="2777"/>
      <c r="Q62" s="2777"/>
      <c r="R62" s="2777"/>
      <c r="S62" s="2777"/>
      <c r="T62" s="2777"/>
      <c r="U62" s="2777"/>
      <c r="V62" s="2777"/>
      <c r="W62" s="2777"/>
      <c r="X62" s="2777"/>
      <c r="Y62" s="2777"/>
      <c r="Z62" s="2777"/>
      <c r="AA62" s="2777"/>
      <c r="AB62" s="2777"/>
      <c r="AC62" s="2777"/>
    </row>
    <row r="63" spans="1:29" s="638" customFormat="1">
      <c r="A63" s="639" t="s">
        <v>1901</v>
      </c>
      <c r="B63" s="216" t="e">
        <f t="shared" si="17"/>
        <v>#DIV/0!</v>
      </c>
      <c r="C63" s="169">
        <f t="shared" si="16"/>
        <v>0.2</v>
      </c>
      <c r="D63" s="940">
        <v>0.25</v>
      </c>
      <c r="E63" s="215">
        <f>'数据-汇总表'!E14</f>
        <v>0</v>
      </c>
      <c r="F63" s="881" t="e">
        <f t="shared" si="15"/>
        <v>#DIV/0!</v>
      </c>
      <c r="G63" s="1982" t="s">
        <v>1892</v>
      </c>
      <c r="H63" s="882" t="str">
        <f>项目基本情况!B37</f>
        <v>一级</v>
      </c>
      <c r="I63" s="886">
        <f>SUMIF(修正!A57:A68,H63,修正!G57:G68)</f>
        <v>0.2</v>
      </c>
      <c r="J63" s="890"/>
      <c r="K63" s="2723"/>
      <c r="L63" s="2777"/>
      <c r="M63" s="2777"/>
      <c r="N63" s="2777"/>
      <c r="O63" s="2777"/>
      <c r="P63" s="2777"/>
      <c r="Q63" s="2777"/>
      <c r="R63" s="2777"/>
      <c r="S63" s="2777"/>
      <c r="T63" s="2777"/>
      <c r="U63" s="2777"/>
      <c r="V63" s="2777"/>
      <c r="W63" s="2777"/>
      <c r="X63" s="2777"/>
      <c r="Y63" s="2777"/>
      <c r="Z63" s="2777"/>
      <c r="AA63" s="2777"/>
      <c r="AB63" s="2777"/>
      <c r="AC63" s="2777"/>
    </row>
    <row r="64" spans="1:29" s="638" customFormat="1" ht="15" thickBot="1">
      <c r="A64" s="639" t="s">
        <v>1902</v>
      </c>
      <c r="B64" s="216" t="e">
        <f t="shared" si="17"/>
        <v>#DIV/0!</v>
      </c>
      <c r="C64" s="169">
        <f t="shared" si="16"/>
        <v>0</v>
      </c>
      <c r="D64" s="940">
        <v>0.25</v>
      </c>
      <c r="E64" s="215">
        <f>'数据-汇总表'!E15</f>
        <v>0</v>
      </c>
      <c r="F64" s="881" t="e">
        <f t="shared" si="15"/>
        <v>#DIV/0!</v>
      </c>
      <c r="G64" s="1983" t="s">
        <v>1896</v>
      </c>
      <c r="H64" s="892">
        <f>项目基本情况!C37</f>
        <v>0</v>
      </c>
      <c r="I64" s="888">
        <f>SUMIF(修正!A57:A68,H64,修正!G57:G68)</f>
        <v>0</v>
      </c>
      <c r="J64" s="891"/>
      <c r="K64" s="2720"/>
      <c r="L64" s="2777"/>
      <c r="M64" s="2777"/>
      <c r="N64" s="2777"/>
      <c r="O64" s="2777"/>
      <c r="P64" s="2777"/>
      <c r="Q64" s="2777"/>
      <c r="R64" s="2777"/>
      <c r="S64" s="2777"/>
      <c r="T64" s="2777"/>
      <c r="U64" s="2777"/>
      <c r="V64" s="2777"/>
      <c r="W64" s="2777"/>
      <c r="X64" s="2777"/>
      <c r="Y64" s="2777"/>
      <c r="Z64" s="2777"/>
      <c r="AA64" s="2777"/>
      <c r="AB64" s="2777"/>
      <c r="AC64" s="2777"/>
    </row>
    <row r="65" spans="1:29" s="638" customFormat="1" ht="13.5" thickBot="1">
      <c r="A65" s="641" t="s">
        <v>1903</v>
      </c>
      <c r="B65" s="642" t="s">
        <v>22</v>
      </c>
      <c r="C65" s="642" t="s">
        <v>23</v>
      </c>
      <c r="D65" s="642" t="s">
        <v>392</v>
      </c>
      <c r="E65" s="642">
        <f>IF(B46="楼面地价",SUM(E56:E64),'数据-汇总表'!D3)</f>
        <v>54177.81</v>
      </c>
      <c r="F65" s="643"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2"/>
      <c r="K66" s="883"/>
      <c r="L66" s="884"/>
      <c r="M66" s="922"/>
      <c r="N66" s="922"/>
      <c r="O66" s="922"/>
      <c r="P66" s="2720"/>
      <c r="Q66" s="2720"/>
      <c r="R66" s="2720"/>
      <c r="S66" s="2720"/>
      <c r="T66" s="2720"/>
      <c r="U66" s="2720"/>
      <c r="V66" s="2720"/>
      <c r="W66" s="2720"/>
      <c r="X66" s="2720"/>
      <c r="Y66" s="2720"/>
      <c r="Z66" s="2720"/>
      <c r="AA66" s="2720"/>
      <c r="AB66" s="2720"/>
      <c r="AC66" s="2720"/>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0"/>
      <c r="Q67" s="2720"/>
      <c r="R67" s="2720"/>
      <c r="S67" s="2720"/>
      <c r="T67" s="2720"/>
      <c r="U67" s="2720"/>
      <c r="V67" s="2720"/>
      <c r="W67" s="2720"/>
      <c r="X67" s="2720"/>
      <c r="Y67" s="2720"/>
      <c r="Z67" s="2720"/>
      <c r="AA67" s="2720"/>
      <c r="AB67" s="2720"/>
      <c r="AC67" s="2720"/>
    </row>
    <row r="68" spans="1:29" ht="21.75" thickBot="1">
      <c r="A68" s="692" t="s">
        <v>1798</v>
      </c>
      <c r="B68" s="688"/>
      <c r="C68" s="693"/>
      <c r="D68" s="693"/>
      <c r="E68" s="693"/>
      <c r="F68" s="694"/>
      <c r="G68" s="694"/>
      <c r="H68" s="693"/>
      <c r="I68" s="693"/>
      <c r="J68" s="935"/>
      <c r="K68" s="936"/>
      <c r="L68" s="937"/>
      <c r="M68" s="935"/>
      <c r="N68" s="2764"/>
      <c r="O68" s="2764"/>
      <c r="P68" s="2764"/>
      <c r="Q68" s="2734"/>
      <c r="R68" s="2720"/>
      <c r="S68" s="2720"/>
      <c r="T68" s="2720"/>
      <c r="U68" s="2720"/>
      <c r="V68" s="2720"/>
      <c r="W68" s="2720"/>
      <c r="X68" s="2720"/>
      <c r="Y68" s="2720"/>
      <c r="Z68" s="2720"/>
      <c r="AA68" s="2720"/>
      <c r="AB68" s="2720"/>
      <c r="AC68" s="2720"/>
    </row>
    <row r="69" spans="1:29" s="455" customFormat="1" ht="15">
      <c r="A69" s="1984" t="s">
        <v>1904</v>
      </c>
      <c r="B69" s="1104"/>
      <c r="C69" s="1177" t="str">
        <f>YEAR(C67)&amp;"-"&amp;ROUNDUP(MONTH(C67)/3,0)</f>
        <v>2023-4</v>
      </c>
      <c r="D69" s="1177" t="str">
        <f>YEAR(D67)&amp;"-"&amp;ROUNDUP(MONTH(D67)/3,0)</f>
        <v>2023-3</v>
      </c>
      <c r="E69" s="1177" t="str">
        <f t="shared" ref="E69:O69" si="19">YEAR(E67)&amp;"-"&amp;ROUNDUP(MONTH(E67)/3,0)</f>
        <v>2023-2</v>
      </c>
      <c r="F69" s="1177" t="str">
        <f t="shared" si="19"/>
        <v>2023-1</v>
      </c>
      <c r="G69" s="1177" t="str">
        <f t="shared" si="19"/>
        <v>2022-4</v>
      </c>
      <c r="H69" s="1177" t="str">
        <f t="shared" si="19"/>
        <v>2022-3</v>
      </c>
      <c r="I69" s="1177" t="str">
        <f t="shared" si="19"/>
        <v>2022-2</v>
      </c>
      <c r="J69" s="1177" t="str">
        <f t="shared" si="19"/>
        <v>2022-1</v>
      </c>
      <c r="K69" s="1177" t="str">
        <f t="shared" si="19"/>
        <v>2021-4</v>
      </c>
      <c r="L69" s="1177" t="str">
        <f t="shared" si="19"/>
        <v>2021-3</v>
      </c>
      <c r="M69" s="1177" t="str">
        <f t="shared" si="19"/>
        <v>2021-2</v>
      </c>
      <c r="N69" s="1177" t="str">
        <f t="shared" si="19"/>
        <v>2021-1</v>
      </c>
      <c r="O69" s="1177" t="str">
        <f t="shared" si="19"/>
        <v>2020-4</v>
      </c>
      <c r="P69" s="2771"/>
      <c r="Q69" s="2736"/>
      <c r="R69" s="2736"/>
      <c r="S69" s="2736"/>
      <c r="T69" s="2736"/>
      <c r="U69" s="2736"/>
      <c r="V69" s="2736"/>
      <c r="W69" s="2736"/>
      <c r="X69" s="2736"/>
      <c r="Y69" s="2736"/>
      <c r="Z69" s="2736"/>
      <c r="AA69" s="2736"/>
      <c r="AB69" s="2736"/>
      <c r="AC69" s="2736"/>
    </row>
    <row r="70" spans="1:29" s="106" customFormat="1" ht="30" customHeight="1">
      <c r="A70" s="1985" t="s">
        <v>1905</v>
      </c>
      <c r="B70" s="286" t="str">
        <f>"北京市平均增长率"&amp;TEXT(SUMIF('基准地价修正-商业'!N25:N29,A70,'基准地价修正-商业'!P25:P29),"0.00%")</f>
        <v>北京市平均增长率0.00%</v>
      </c>
      <c r="C70" s="550">
        <v>100</v>
      </c>
      <c r="D70" s="542"/>
      <c r="E70" s="542"/>
      <c r="F70" s="542"/>
      <c r="G70" s="542"/>
      <c r="H70" s="542"/>
      <c r="I70" s="542"/>
      <c r="J70" s="542"/>
      <c r="K70" s="542"/>
      <c r="L70" s="542"/>
      <c r="M70" s="1173"/>
      <c r="N70" s="542"/>
      <c r="O70" s="1174"/>
      <c r="P70" s="2734"/>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38"/>
      <c r="P71" s="2734"/>
      <c r="Q71" s="2734"/>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7"/>
      <c r="O72" s="2747"/>
      <c r="P72" s="2772"/>
      <c r="Q72" s="2734"/>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7"/>
      <c r="O73" s="2747"/>
      <c r="P73" s="2734"/>
      <c r="Q73" s="2734"/>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8"/>
      <c r="O74" s="2748"/>
      <c r="P74" s="2773"/>
      <c r="Q74" s="2734"/>
      <c r="R74" s="2720"/>
      <c r="S74" s="2720"/>
      <c r="T74" s="2720"/>
      <c r="U74" s="2720"/>
      <c r="V74" s="2720"/>
      <c r="W74" s="2720"/>
      <c r="X74" s="2720"/>
      <c r="Y74" s="2720"/>
      <c r="Z74" s="2720"/>
      <c r="AA74" s="2720"/>
      <c r="AB74" s="2720"/>
      <c r="AC74" s="2720"/>
    </row>
    <row r="75" spans="1:29" ht="15.75" thickBot="1">
      <c r="A75" s="481"/>
      <c r="B75" s="482"/>
      <c r="C75" s="483"/>
      <c r="D75" s="483"/>
      <c r="E75" s="483"/>
      <c r="F75" s="483"/>
      <c r="G75" s="483"/>
      <c r="H75" s="483"/>
      <c r="I75" s="483"/>
      <c r="J75" s="483"/>
      <c r="K75" s="483"/>
      <c r="L75" s="483"/>
      <c r="M75" s="484"/>
      <c r="N75" s="2749"/>
      <c r="O75" s="2749"/>
      <c r="P75" s="2773"/>
      <c r="Q75" s="2734"/>
      <c r="R75" s="2720"/>
      <c r="S75" s="2720"/>
      <c r="T75" s="2720"/>
      <c r="U75" s="2720"/>
      <c r="V75" s="2720"/>
      <c r="W75" s="2720"/>
      <c r="X75" s="2720"/>
      <c r="Y75" s="2720"/>
      <c r="Z75" s="2720"/>
      <c r="AA75" s="2720"/>
      <c r="AB75" s="2720"/>
      <c r="AC75" s="2720"/>
    </row>
    <row r="76" spans="1:29" ht="27.75" thickTop="1">
      <c r="A76" s="481"/>
      <c r="B76" s="485" t="s">
        <v>1688</v>
      </c>
      <c r="C76" s="486"/>
      <c r="D76" s="486"/>
      <c r="E76" s="486"/>
      <c r="F76" s="486"/>
      <c r="G76" s="486"/>
      <c r="H76" s="486"/>
      <c r="I76" s="486"/>
      <c r="J76" s="486"/>
      <c r="K76" s="487"/>
      <c r="L76" s="488"/>
      <c r="M76" s="489"/>
      <c r="N76" s="2748"/>
      <c r="O76" s="2748"/>
      <c r="P76" s="2773"/>
      <c r="Q76" s="2734"/>
      <c r="R76" s="2720"/>
      <c r="S76" s="2720"/>
      <c r="T76" s="2720"/>
      <c r="U76" s="2720"/>
      <c r="V76" s="2720"/>
      <c r="W76" s="2720"/>
      <c r="X76" s="2720"/>
      <c r="Y76" s="2720"/>
      <c r="Z76" s="2720"/>
      <c r="AA76" s="2720"/>
      <c r="AB76" s="2720"/>
      <c r="AC76" s="2720"/>
    </row>
    <row r="77" spans="1:29" ht="15.75" thickBot="1">
      <c r="A77" s="481"/>
      <c r="B77" s="490"/>
      <c r="C77" s="491"/>
      <c r="D77" s="491"/>
      <c r="E77" s="491"/>
      <c r="F77" s="491"/>
      <c r="G77" s="491"/>
      <c r="H77" s="491"/>
      <c r="I77" s="491"/>
      <c r="J77" s="491"/>
      <c r="K77" s="491"/>
      <c r="L77" s="491"/>
      <c r="M77" s="492"/>
      <c r="N77" s="2749"/>
      <c r="O77" s="2749"/>
      <c r="P77" s="2773"/>
      <c r="Q77" s="2734"/>
      <c r="R77" s="2720"/>
      <c r="S77" s="2720"/>
      <c r="T77" s="2720"/>
      <c r="U77" s="2720"/>
      <c r="V77" s="2720"/>
      <c r="W77" s="2720"/>
      <c r="X77" s="2720"/>
      <c r="Y77" s="2720"/>
      <c r="Z77" s="2720"/>
      <c r="AA77" s="2720"/>
      <c r="AB77" s="2720"/>
      <c r="AC77" s="2720"/>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1"/>
      <c r="B79" s="495"/>
      <c r="C79" s="496"/>
      <c r="D79" s="496"/>
      <c r="E79" s="496"/>
      <c r="F79" s="496"/>
      <c r="G79" s="496"/>
      <c r="H79" s="496"/>
      <c r="I79" s="496"/>
      <c r="J79" s="496"/>
      <c r="K79" s="497"/>
      <c r="L79" s="498"/>
      <c r="M79" s="499"/>
      <c r="N79" s="2748"/>
      <c r="O79" s="2748"/>
      <c r="P79" s="2773"/>
      <c r="Q79" s="2734"/>
      <c r="R79" s="2720"/>
      <c r="S79" s="2720"/>
      <c r="T79" s="2720"/>
      <c r="U79" s="2720"/>
      <c r="V79" s="2720"/>
      <c r="W79" s="2720"/>
      <c r="X79" s="2720"/>
      <c r="Y79" s="2720"/>
      <c r="Z79" s="2720"/>
      <c r="AA79" s="2720"/>
      <c r="AB79" s="2720"/>
      <c r="AC79" s="272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9"/>
      <c r="O80" s="2749"/>
      <c r="P80" s="2773"/>
      <c r="Q80" s="2734"/>
      <c r="R80" s="2720"/>
      <c r="S80" s="2720"/>
      <c r="T80" s="2720"/>
      <c r="U80" s="2720"/>
      <c r="V80" s="2720"/>
      <c r="W80" s="2720"/>
      <c r="X80" s="2720"/>
      <c r="Y80" s="2720"/>
      <c r="Z80" s="2720"/>
      <c r="AA80" s="2720"/>
      <c r="AB80" s="2720"/>
      <c r="AC80" s="2720"/>
    </row>
    <row r="81" spans="1:29" s="420" customFormat="1" ht="15.75" thickTop="1">
      <c r="A81" s="500"/>
      <c r="B81" s="485" t="str">
        <f>B12</f>
        <v>配建</v>
      </c>
      <c r="C81" s="501"/>
      <c r="D81" s="501"/>
      <c r="E81" s="501"/>
      <c r="F81" s="501"/>
      <c r="G81" s="501"/>
      <c r="H81" s="502"/>
      <c r="I81" s="502"/>
      <c r="J81" s="502"/>
      <c r="K81" s="502"/>
      <c r="L81" s="503"/>
      <c r="M81" s="504"/>
      <c r="N81" s="2750"/>
      <c r="O81" s="2750"/>
      <c r="P81" s="2774"/>
      <c r="Q81" s="2741"/>
      <c r="R81" s="2742"/>
      <c r="S81" s="2742"/>
      <c r="T81" s="2742"/>
      <c r="U81" s="2742"/>
      <c r="V81" s="2742"/>
      <c r="W81" s="2742"/>
      <c r="X81" s="2742"/>
      <c r="Y81" s="2742"/>
      <c r="Z81" s="2742"/>
      <c r="AA81" s="2742"/>
      <c r="AB81" s="2742"/>
      <c r="AC81" s="2742"/>
    </row>
    <row r="82" spans="1:29" s="420" customFormat="1" ht="15.75" thickBot="1">
      <c r="A82" s="500"/>
      <c r="B82" s="490"/>
      <c r="C82" s="507"/>
      <c r="D82" s="483"/>
      <c r="E82" s="483"/>
      <c r="F82" s="483"/>
      <c r="G82" s="483"/>
      <c r="H82" s="483"/>
      <c r="I82" s="483"/>
      <c r="J82" s="483"/>
      <c r="K82" s="483"/>
      <c r="L82" s="483"/>
      <c r="M82" s="484"/>
      <c r="N82" s="2749"/>
      <c r="O82" s="2749"/>
      <c r="P82" s="2774"/>
      <c r="Q82" s="2741"/>
      <c r="R82" s="2742"/>
      <c r="S82" s="2742"/>
      <c r="T82" s="2742"/>
      <c r="U82" s="2742"/>
      <c r="V82" s="2742"/>
      <c r="W82" s="2742"/>
      <c r="X82" s="2742"/>
      <c r="Y82" s="2742"/>
      <c r="Z82" s="2742"/>
      <c r="AA82" s="2742"/>
      <c r="AB82" s="2742"/>
      <c r="AC82" s="2742"/>
    </row>
    <row r="83" spans="1:29" s="420" customFormat="1" ht="15.75" thickTop="1">
      <c r="A83" s="500"/>
      <c r="B83" s="485">
        <f>B13</f>
        <v>111</v>
      </c>
      <c r="C83" s="501"/>
      <c r="D83" s="501"/>
      <c r="E83" s="501"/>
      <c r="F83" s="501"/>
      <c r="G83" s="501"/>
      <c r="H83" s="502"/>
      <c r="I83" s="502"/>
      <c r="J83" s="502"/>
      <c r="K83" s="502"/>
      <c r="L83" s="503"/>
      <c r="M83" s="504"/>
      <c r="N83" s="2750"/>
      <c r="O83" s="2750"/>
      <c r="P83" s="2718"/>
      <c r="Q83" s="2744"/>
      <c r="R83" s="2742"/>
      <c r="S83" s="2742"/>
      <c r="T83" s="2742"/>
      <c r="U83" s="2742"/>
      <c r="V83" s="2742"/>
      <c r="W83" s="2742"/>
      <c r="X83" s="2742"/>
      <c r="Y83" s="2742"/>
      <c r="Z83" s="2742"/>
      <c r="AA83" s="2742"/>
      <c r="AB83" s="2742"/>
      <c r="AC83" s="2742"/>
    </row>
    <row r="84" spans="1:29" s="420" customFormat="1" ht="15.75" thickBot="1">
      <c r="A84" s="500"/>
      <c r="B84" s="490"/>
      <c r="C84" s="507"/>
      <c r="D84" s="507"/>
      <c r="E84" s="507"/>
      <c r="F84" s="507"/>
      <c r="G84" s="507"/>
      <c r="H84" s="509"/>
      <c r="I84" s="509"/>
      <c r="J84" s="509"/>
      <c r="K84" s="509"/>
      <c r="L84" s="509"/>
      <c r="M84" s="510"/>
      <c r="N84" s="2750"/>
      <c r="O84" s="2750"/>
      <c r="P84" s="2774"/>
      <c r="Q84" s="2741"/>
      <c r="R84" s="2742"/>
      <c r="S84" s="2742"/>
      <c r="T84" s="2742"/>
      <c r="U84" s="2742"/>
      <c r="V84" s="2742"/>
      <c r="W84" s="2742"/>
      <c r="X84" s="2742"/>
      <c r="Y84" s="2742"/>
      <c r="Z84" s="2742"/>
      <c r="AA84" s="2742"/>
      <c r="AB84" s="2742"/>
      <c r="AC84" s="2742"/>
    </row>
    <row r="85" spans="1:29" s="420" customFormat="1" ht="15.75" thickTop="1">
      <c r="A85" s="500"/>
      <c r="B85" s="493">
        <f>B14</f>
        <v>111</v>
      </c>
      <c r="C85" s="470"/>
      <c r="D85" s="470"/>
      <c r="E85" s="470"/>
      <c r="F85" s="470"/>
      <c r="G85" s="470"/>
      <c r="H85" s="511"/>
      <c r="I85" s="511"/>
      <c r="J85" s="511"/>
      <c r="K85" s="511"/>
      <c r="L85" s="512"/>
      <c r="M85" s="513"/>
      <c r="N85" s="2750"/>
      <c r="O85" s="2750"/>
      <c r="P85" s="2779"/>
      <c r="Q85" s="2741"/>
      <c r="R85" s="2742"/>
      <c r="S85" s="2742"/>
      <c r="T85" s="2742"/>
      <c r="U85" s="2742"/>
      <c r="V85" s="2742"/>
      <c r="W85" s="2742"/>
      <c r="X85" s="2742"/>
      <c r="Y85" s="2742"/>
      <c r="Z85" s="2742"/>
      <c r="AA85" s="2742"/>
      <c r="AB85" s="2742"/>
      <c r="AC85" s="2742"/>
    </row>
    <row r="86" spans="1:29" s="420" customFormat="1" ht="15.75" thickBot="1">
      <c r="A86" s="515"/>
      <c r="B86" s="516"/>
      <c r="C86" s="517"/>
      <c r="D86" s="517"/>
      <c r="E86" s="517"/>
      <c r="F86" s="517"/>
      <c r="G86" s="517"/>
      <c r="H86" s="518"/>
      <c r="I86" s="518"/>
      <c r="J86" s="518"/>
      <c r="K86" s="518"/>
      <c r="L86" s="518"/>
      <c r="M86" s="519"/>
      <c r="N86" s="2750"/>
      <c r="O86" s="2750"/>
      <c r="P86" s="2774"/>
      <c r="Q86" s="2741"/>
      <c r="R86" s="2742"/>
      <c r="S86" s="2742"/>
      <c r="T86" s="2742"/>
      <c r="U86" s="2742"/>
      <c r="V86" s="2742"/>
      <c r="W86" s="2742"/>
      <c r="X86" s="2742"/>
      <c r="Y86" s="2742"/>
      <c r="Z86" s="2742"/>
      <c r="AA86" s="2742"/>
      <c r="AB86" s="2742"/>
      <c r="AC86" s="2742"/>
    </row>
    <row r="87" spans="1:29">
      <c r="A87" s="474" t="s">
        <v>1690</v>
      </c>
      <c r="B87" s="475" t="s">
        <v>1720</v>
      </c>
      <c r="C87" s="520" t="s">
        <v>1721</v>
      </c>
      <c r="D87" s="520" t="s">
        <v>1722</v>
      </c>
      <c r="E87" s="520" t="s">
        <v>1723</v>
      </c>
      <c r="F87" s="520" t="s">
        <v>1724</v>
      </c>
      <c r="G87" s="520" t="s">
        <v>1725</v>
      </c>
      <c r="H87" s="476"/>
      <c r="I87" s="476"/>
      <c r="J87" s="476"/>
      <c r="K87" s="521"/>
      <c r="L87" s="522"/>
      <c r="M87" s="523"/>
      <c r="N87" s="2748"/>
      <c r="O87" s="2748"/>
      <c r="P87" s="2775"/>
      <c r="Q87" s="2734"/>
      <c r="R87" s="2720"/>
      <c r="S87" s="2720"/>
      <c r="T87" s="2720"/>
      <c r="U87" s="2720"/>
      <c r="V87" s="2720"/>
      <c r="W87" s="2720"/>
      <c r="X87" s="2720"/>
      <c r="Y87" s="2720"/>
      <c r="Z87" s="2720"/>
      <c r="AA87" s="2720"/>
      <c r="AB87" s="2720"/>
      <c r="AC87" s="272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9"/>
      <c r="O88" s="2749"/>
      <c r="P88" s="2773"/>
      <c r="Q88" s="2734"/>
      <c r="R88" s="2720"/>
      <c r="S88" s="2720"/>
      <c r="T88" s="2720"/>
      <c r="U88" s="2720"/>
      <c r="V88" s="2720"/>
      <c r="W88" s="2720"/>
      <c r="X88" s="2720"/>
      <c r="Y88" s="2720"/>
      <c r="Z88" s="2720"/>
      <c r="AA88" s="2720"/>
      <c r="AB88" s="2720"/>
      <c r="AC88" s="2720"/>
    </row>
    <row r="89" spans="1:29" ht="15.75" thickTop="1">
      <c r="A89" s="481"/>
      <c r="B89" s="485" t="s">
        <v>1906</v>
      </c>
      <c r="C89" s="525" t="s">
        <v>1721</v>
      </c>
      <c r="D89" s="525" t="s">
        <v>1722</v>
      </c>
      <c r="E89" s="525" t="s">
        <v>1723</v>
      </c>
      <c r="F89" s="525" t="s">
        <v>1724</v>
      </c>
      <c r="G89" s="525" t="s">
        <v>1725</v>
      </c>
      <c r="H89" s="486"/>
      <c r="I89" s="486"/>
      <c r="J89" s="486"/>
      <c r="K89" s="487"/>
      <c r="L89" s="488"/>
      <c r="M89" s="489"/>
      <c r="N89" s="2748"/>
      <c r="O89" s="2748"/>
      <c r="P89" s="2773"/>
      <c r="Q89" s="2734"/>
      <c r="R89" s="2720"/>
      <c r="S89" s="2720"/>
      <c r="T89" s="2720"/>
      <c r="U89" s="2720"/>
      <c r="V89" s="2720"/>
      <c r="W89" s="2720"/>
      <c r="X89" s="2720"/>
      <c r="Y89" s="2720"/>
      <c r="Z89" s="2720"/>
      <c r="AA89" s="2720"/>
      <c r="AB89" s="2720"/>
      <c r="AC89" s="272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9"/>
      <c r="O90" s="2749"/>
      <c r="P90" s="2773"/>
      <c r="Q90" s="2734"/>
      <c r="R90" s="2720"/>
      <c r="S90" s="2720"/>
      <c r="T90" s="2720"/>
      <c r="U90" s="2720"/>
      <c r="V90" s="2720"/>
      <c r="W90" s="2720"/>
      <c r="X90" s="2720"/>
      <c r="Y90" s="2720"/>
      <c r="Z90" s="2720"/>
      <c r="AA90" s="2720"/>
      <c r="AB90" s="2720"/>
      <c r="AC90" s="2720"/>
    </row>
    <row r="91" spans="1:29" ht="15.75" thickTop="1">
      <c r="A91" s="481"/>
      <c r="B91" s="485" t="s">
        <v>1821</v>
      </c>
      <c r="C91" s="525" t="s">
        <v>1721</v>
      </c>
      <c r="D91" s="525" t="s">
        <v>1722</v>
      </c>
      <c r="E91" s="525" t="s">
        <v>1723</v>
      </c>
      <c r="F91" s="525" t="s">
        <v>1724</v>
      </c>
      <c r="G91" s="525" t="s">
        <v>1725</v>
      </c>
      <c r="H91" s="486"/>
      <c r="I91" s="486"/>
      <c r="J91" s="486"/>
      <c r="K91" s="487"/>
      <c r="L91" s="488"/>
      <c r="M91" s="489"/>
      <c r="N91" s="2748"/>
      <c r="O91" s="2748"/>
      <c r="P91" s="2773"/>
      <c r="Q91" s="2734"/>
      <c r="R91" s="2720"/>
      <c r="S91" s="2720"/>
      <c r="T91" s="2720"/>
      <c r="U91" s="2720"/>
      <c r="V91" s="2720"/>
      <c r="W91" s="2720"/>
      <c r="X91" s="2720"/>
      <c r="Y91" s="2720"/>
      <c r="Z91" s="2720"/>
      <c r="AA91" s="2720"/>
      <c r="AB91" s="2720"/>
      <c r="AC91" s="272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9"/>
      <c r="O92" s="2749"/>
      <c r="P92" s="2773"/>
      <c r="Q92" s="2734"/>
      <c r="R92" s="2720"/>
      <c r="S92" s="2720"/>
      <c r="T92" s="2720"/>
      <c r="U92" s="2720"/>
      <c r="V92" s="2720"/>
      <c r="W92" s="2720"/>
      <c r="X92" s="2720"/>
      <c r="Y92" s="2720"/>
      <c r="Z92" s="2720"/>
      <c r="AA92" s="2720"/>
      <c r="AB92" s="2720"/>
      <c r="AC92" s="2720"/>
    </row>
    <row r="93" spans="1:29" ht="15.75" thickTop="1">
      <c r="A93" s="481"/>
      <c r="B93" s="485" t="s">
        <v>1726</v>
      </c>
      <c r="C93" s="525" t="s">
        <v>1721</v>
      </c>
      <c r="D93" s="525" t="s">
        <v>1722</v>
      </c>
      <c r="E93" s="525" t="s">
        <v>1723</v>
      </c>
      <c r="F93" s="525" t="s">
        <v>1724</v>
      </c>
      <c r="G93" s="525" t="s">
        <v>1725</v>
      </c>
      <c r="H93" s="486"/>
      <c r="I93" s="486"/>
      <c r="J93" s="486"/>
      <c r="K93" s="487"/>
      <c r="L93" s="488"/>
      <c r="M93" s="489"/>
      <c r="N93" s="2748"/>
      <c r="O93" s="2748"/>
      <c r="P93" s="2773"/>
      <c r="Q93" s="2734"/>
      <c r="R93" s="2720"/>
      <c r="S93" s="2720"/>
      <c r="T93" s="2720"/>
      <c r="U93" s="2720"/>
      <c r="V93" s="2720"/>
      <c r="W93" s="2720"/>
      <c r="X93" s="2720"/>
      <c r="Y93" s="2720"/>
      <c r="Z93" s="2720"/>
      <c r="AA93" s="2720"/>
      <c r="AB93" s="2720"/>
      <c r="AC93" s="272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9"/>
      <c r="O94" s="2749"/>
      <c r="P94" s="2773"/>
      <c r="Q94" s="2734"/>
      <c r="R94" s="2720"/>
      <c r="S94" s="2720"/>
      <c r="T94" s="2720"/>
      <c r="U94" s="2720"/>
      <c r="V94" s="2720"/>
      <c r="W94" s="2720"/>
      <c r="X94" s="2720"/>
      <c r="Y94" s="2720"/>
      <c r="Z94" s="2720"/>
      <c r="AA94" s="2720"/>
      <c r="AB94" s="2720"/>
      <c r="AC94" s="2720"/>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7"/>
      <c r="O95" s="2747"/>
      <c r="P95" s="2773"/>
      <c r="Q95" s="2734"/>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9"/>
      <c r="O96" s="2749"/>
      <c r="P96" s="2773"/>
      <c r="Q96" s="2734"/>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7"/>
      <c r="O97" s="2747"/>
      <c r="P97" s="2773"/>
      <c r="Q97" s="2734"/>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9"/>
      <c r="O98" s="2749"/>
      <c r="P98" s="2773"/>
      <c r="Q98" s="2734"/>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0"/>
      <c r="O99" s="2750"/>
      <c r="P99" s="2774"/>
      <c r="Q99" s="2741"/>
      <c r="R99" s="2742"/>
      <c r="S99" s="2742"/>
      <c r="T99" s="2742"/>
      <c r="U99" s="2742"/>
      <c r="V99" s="2742"/>
      <c r="W99" s="2742"/>
      <c r="X99" s="2742"/>
      <c r="Y99" s="2742"/>
      <c r="Z99" s="2742"/>
      <c r="AA99" s="2742"/>
      <c r="AB99" s="2742"/>
      <c r="AC99" s="2742"/>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0"/>
      <c r="O100" s="2750"/>
      <c r="P100" s="2774"/>
      <c r="Q100" s="2741"/>
      <c r="R100" s="2742"/>
      <c r="S100" s="2742"/>
      <c r="T100" s="2742"/>
      <c r="U100" s="2742"/>
      <c r="V100" s="2742"/>
      <c r="W100" s="2742"/>
      <c r="X100" s="2742"/>
      <c r="Y100" s="2742"/>
      <c r="Z100" s="2742"/>
      <c r="AA100" s="2742"/>
      <c r="AB100" s="2742"/>
      <c r="AC100" s="2742"/>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7"/>
      <c r="N101" s="2750"/>
      <c r="O101" s="2750"/>
      <c r="P101" s="2774"/>
      <c r="Q101" s="2741"/>
      <c r="R101" s="2742"/>
      <c r="S101" s="2742"/>
      <c r="T101" s="2742"/>
      <c r="U101" s="2742"/>
      <c r="V101" s="2742"/>
      <c r="W101" s="2742"/>
      <c r="X101" s="2742"/>
      <c r="Y101" s="2742"/>
      <c r="Z101" s="2742"/>
      <c r="AA101" s="2742"/>
      <c r="AB101" s="2742"/>
      <c r="AC101" s="2742"/>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8"/>
      <c r="O103" s="2748"/>
      <c r="P103" s="2773"/>
      <c r="Q103" s="2734"/>
      <c r="R103" s="2720"/>
      <c r="S103" s="2720"/>
      <c r="T103" s="2720"/>
      <c r="U103" s="2720"/>
      <c r="V103" s="2720"/>
      <c r="W103" s="2720"/>
      <c r="X103" s="2720"/>
      <c r="Y103" s="2720"/>
      <c r="Z103" s="2720"/>
      <c r="AA103" s="2720"/>
      <c r="AB103" s="2720"/>
      <c r="AC103" s="272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1"/>
      <c r="B105" s="485" t="s">
        <v>1815</v>
      </c>
      <c r="C105" s="501"/>
      <c r="D105" s="501"/>
      <c r="E105" s="501"/>
      <c r="F105" s="501"/>
      <c r="G105" s="501"/>
      <c r="H105" s="530"/>
      <c r="I105" s="530"/>
      <c r="J105" s="530"/>
      <c r="K105" s="531"/>
      <c r="L105" s="532"/>
      <c r="M105" s="533"/>
      <c r="N105" s="2748"/>
      <c r="O105" s="2748"/>
      <c r="P105" s="2773"/>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1"/>
      <c r="B107" s="485" t="s">
        <v>1873</v>
      </c>
      <c r="C107" s="530"/>
      <c r="D107" s="530"/>
      <c r="E107" s="530"/>
      <c r="F107" s="530"/>
      <c r="G107" s="530"/>
      <c r="H107" s="530"/>
      <c r="I107" s="530"/>
      <c r="J107" s="530"/>
      <c r="K107" s="531"/>
      <c r="L107" s="532"/>
      <c r="M107" s="533"/>
      <c r="N107" s="2748"/>
      <c r="O107" s="2748"/>
      <c r="P107" s="2773"/>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1"/>
      <c r="B109" s="493">
        <f>B35</f>
        <v>111</v>
      </c>
      <c r="C109" s="501"/>
      <c r="D109" s="501"/>
      <c r="E109" s="501"/>
      <c r="F109" s="501"/>
      <c r="G109" s="534"/>
      <c r="H109" s="534"/>
      <c r="I109" s="534"/>
      <c r="J109" s="534"/>
      <c r="K109" s="535"/>
      <c r="L109" s="536"/>
      <c r="M109" s="537"/>
      <c r="N109" s="2748"/>
      <c r="O109" s="2748"/>
      <c r="P109" s="2773"/>
      <c r="Q109" s="2734"/>
      <c r="R109" s="2720"/>
      <c r="S109" s="2720"/>
      <c r="T109" s="2720"/>
      <c r="U109" s="2720"/>
      <c r="V109" s="2720"/>
      <c r="W109" s="2720"/>
      <c r="X109" s="2720"/>
      <c r="Y109" s="2720"/>
      <c r="Z109" s="2720"/>
      <c r="AA109" s="2720"/>
      <c r="AB109" s="2720"/>
      <c r="AC109" s="2720"/>
    </row>
    <row r="110" spans="1:29" ht="15.75" thickBot="1">
      <c r="A110" s="481"/>
      <c r="B110" s="516"/>
      <c r="C110" s="507"/>
      <c r="D110" s="507"/>
      <c r="E110" s="507"/>
      <c r="F110" s="507"/>
      <c r="G110" s="538"/>
      <c r="H110" s="538"/>
      <c r="I110" s="538"/>
      <c r="J110" s="538"/>
      <c r="K110" s="538"/>
      <c r="L110" s="538"/>
      <c r="M110" s="539"/>
      <c r="N110" s="2749"/>
      <c r="O110" s="2749"/>
      <c r="P110" s="2773"/>
      <c r="Q110" s="2734"/>
      <c r="R110" s="2720"/>
      <c r="S110" s="2720"/>
      <c r="T110" s="2720"/>
      <c r="U110" s="2720"/>
      <c r="V110" s="2720"/>
      <c r="W110" s="2720"/>
      <c r="X110" s="2720"/>
      <c r="Y110" s="2720"/>
      <c r="Z110" s="2720"/>
      <c r="AA110" s="2720"/>
      <c r="AB110" s="2720"/>
      <c r="AC110" s="2720"/>
    </row>
    <row r="111" spans="1:29" ht="15" thickTop="1">
      <c r="A111" s="621"/>
      <c r="B111" s="485">
        <f>B36</f>
        <v>111</v>
      </c>
      <c r="C111" s="470"/>
      <c r="D111" s="470"/>
      <c r="E111" s="470"/>
      <c r="F111" s="470"/>
      <c r="G111" s="530"/>
      <c r="H111" s="530"/>
      <c r="I111" s="530"/>
      <c r="J111" s="530"/>
      <c r="K111" s="531"/>
      <c r="L111" s="532"/>
      <c r="M111" s="533"/>
      <c r="N111" s="2748"/>
      <c r="O111" s="2748"/>
      <c r="P111" s="2773"/>
      <c r="Q111" s="2734"/>
      <c r="R111" s="2720"/>
      <c r="S111" s="2720"/>
      <c r="T111" s="2720"/>
      <c r="U111" s="2720"/>
      <c r="V111" s="2720"/>
      <c r="W111" s="2720"/>
      <c r="X111" s="2720"/>
      <c r="Y111" s="2720"/>
      <c r="Z111" s="2720"/>
      <c r="AA111" s="2720"/>
      <c r="AB111" s="2720"/>
      <c r="AC111" s="2720"/>
    </row>
    <row r="112" spans="1:29" ht="15.75" thickBot="1">
      <c r="A112" s="481"/>
      <c r="B112" s="490"/>
      <c r="C112" s="517"/>
      <c r="D112" s="517"/>
      <c r="E112" s="517"/>
      <c r="F112" s="517"/>
      <c r="G112" s="483"/>
      <c r="H112" s="483"/>
      <c r="I112" s="483"/>
      <c r="J112" s="483"/>
      <c r="K112" s="483"/>
      <c r="L112" s="483"/>
      <c r="M112" s="484"/>
      <c r="N112" s="2749"/>
      <c r="O112" s="2749"/>
      <c r="P112" s="2773"/>
      <c r="Q112" s="2734"/>
      <c r="R112" s="2720"/>
      <c r="S112" s="2720"/>
      <c r="T112" s="2720"/>
      <c r="U112" s="2720"/>
      <c r="V112" s="2720"/>
      <c r="W112" s="2720"/>
      <c r="X112" s="2720"/>
      <c r="Y112" s="2720"/>
      <c r="Z112" s="2720"/>
      <c r="AA112" s="2720"/>
      <c r="AB112" s="2720"/>
      <c r="AC112" s="2720"/>
    </row>
    <row r="113" spans="1:29" s="420" customFormat="1" ht="15" thickTop="1">
      <c r="A113" s="540"/>
      <c r="B113" s="541">
        <f>B37</f>
        <v>111</v>
      </c>
      <c r="C113" s="542"/>
      <c r="D113" s="542"/>
      <c r="E113" s="542"/>
      <c r="F113" s="542"/>
      <c r="G113" s="542"/>
      <c r="H113" s="542"/>
      <c r="I113" s="542"/>
      <c r="J113" s="543"/>
      <c r="K113" s="543"/>
      <c r="L113" s="544"/>
      <c r="M113" s="545"/>
      <c r="N113" s="2750"/>
      <c r="O113" s="2750"/>
      <c r="P113" s="2774"/>
      <c r="Q113" s="2741"/>
      <c r="R113" s="2742"/>
      <c r="S113" s="2742"/>
      <c r="T113" s="2742"/>
      <c r="U113" s="2742"/>
      <c r="V113" s="2742"/>
      <c r="W113" s="2742"/>
      <c r="X113" s="2742"/>
      <c r="Y113" s="2742"/>
      <c r="Z113" s="2742"/>
      <c r="AA113" s="2742"/>
      <c r="AB113" s="2742"/>
      <c r="AC113" s="2742"/>
    </row>
    <row r="114" spans="1:29" s="420" customFormat="1" ht="15.75" thickBot="1">
      <c r="A114" s="500"/>
      <c r="B114" s="493"/>
      <c r="C114" s="459"/>
      <c r="D114" s="623"/>
      <c r="E114" s="623"/>
      <c r="F114" s="623"/>
      <c r="G114" s="623"/>
      <c r="H114" s="623"/>
      <c r="I114" s="623"/>
      <c r="J114" s="623"/>
      <c r="K114" s="623"/>
      <c r="L114" s="623"/>
      <c r="M114" s="645"/>
      <c r="N114" s="2749"/>
      <c r="O114" s="2749"/>
      <c r="P114" s="2774"/>
      <c r="Q114" s="2741"/>
      <c r="R114" s="2742"/>
      <c r="S114" s="2742"/>
      <c r="T114" s="2742"/>
      <c r="U114" s="2742"/>
      <c r="V114" s="2742"/>
      <c r="W114" s="2742"/>
      <c r="X114" s="2742"/>
      <c r="Y114" s="2742"/>
      <c r="Z114" s="2742"/>
      <c r="AA114" s="2742"/>
      <c r="AB114" s="2742"/>
      <c r="AC114" s="2742"/>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1"/>
      <c r="B116" s="493"/>
      <c r="C116" s="542"/>
      <c r="D116" s="542"/>
      <c r="E116" s="542"/>
      <c r="F116" s="542"/>
      <c r="G116" s="542"/>
      <c r="H116" s="542"/>
      <c r="I116" s="542"/>
      <c r="J116" s="543"/>
      <c r="K116" s="543"/>
      <c r="L116" s="544"/>
      <c r="M116" s="545"/>
      <c r="N116" s="2748"/>
      <c r="O116" s="2748"/>
      <c r="P116" s="2773"/>
      <c r="Q116" s="2734"/>
      <c r="R116" s="2720"/>
      <c r="S116" s="2720"/>
      <c r="T116" s="2720"/>
      <c r="U116" s="2720"/>
      <c r="V116" s="2720"/>
      <c r="W116" s="2720"/>
      <c r="X116" s="2720"/>
      <c r="Y116" s="2720"/>
      <c r="Z116" s="2720"/>
      <c r="AA116" s="2720"/>
      <c r="AB116" s="2720"/>
      <c r="AC116" s="2720"/>
    </row>
    <row r="117" spans="1:29" ht="15.75" thickBot="1">
      <c r="A117" s="481"/>
      <c r="B117" s="490"/>
      <c r="C117" s="517"/>
      <c r="D117" s="538"/>
      <c r="E117" s="538"/>
      <c r="F117" s="538"/>
      <c r="G117" s="538"/>
      <c r="H117" s="538"/>
      <c r="I117" s="538"/>
      <c r="J117" s="538"/>
      <c r="K117" s="538"/>
      <c r="L117" s="538"/>
      <c r="M117" s="539"/>
      <c r="N117" s="2749"/>
      <c r="O117" s="2749"/>
      <c r="P117" s="2773"/>
      <c r="Q117" s="2734"/>
      <c r="R117" s="2720"/>
      <c r="S117" s="2720"/>
      <c r="T117" s="2720"/>
      <c r="U117" s="2720"/>
      <c r="V117" s="2720"/>
      <c r="W117" s="2720"/>
      <c r="X117" s="2720"/>
      <c r="Y117" s="2720"/>
      <c r="Z117" s="2720"/>
      <c r="AA117" s="2720"/>
      <c r="AB117" s="2720"/>
      <c r="AC117" s="2720"/>
    </row>
    <row r="118" spans="1:29" ht="15" thickTop="1">
      <c r="A118" s="546"/>
      <c r="B118" s="485" t="s">
        <v>1914</v>
      </c>
      <c r="C118" s="530"/>
      <c r="D118" s="530"/>
      <c r="E118" s="530"/>
      <c r="F118" s="530"/>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6"/>
      <c r="B120" s="485" t="s">
        <v>1915</v>
      </c>
      <c r="C120" s="501"/>
      <c r="D120" s="501"/>
      <c r="E120" s="501"/>
      <c r="F120" s="530"/>
      <c r="G120" s="530"/>
      <c r="H120" s="530"/>
      <c r="I120" s="530"/>
      <c r="J120" s="530"/>
      <c r="K120" s="531"/>
      <c r="L120" s="532"/>
      <c r="M120" s="533"/>
      <c r="N120" s="2748"/>
      <c r="O120" s="2748"/>
      <c r="P120" s="2773"/>
      <c r="Q120" s="2734"/>
      <c r="R120" s="2720"/>
      <c r="S120" s="2720"/>
      <c r="T120" s="2720"/>
      <c r="U120" s="2720"/>
      <c r="V120" s="2720"/>
      <c r="W120" s="2720"/>
      <c r="X120" s="2720"/>
      <c r="Y120" s="2720"/>
      <c r="Z120" s="2720"/>
      <c r="AA120" s="2720"/>
      <c r="AB120" s="2720"/>
      <c r="AC120" s="272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9"/>
      <c r="O121" s="2749"/>
      <c r="P121" s="2773"/>
      <c r="Q121" s="2734"/>
      <c r="R121" s="2720"/>
      <c r="S121" s="2720"/>
      <c r="T121" s="2720"/>
      <c r="U121" s="2720"/>
      <c r="V121" s="2720"/>
      <c r="W121" s="2720"/>
      <c r="X121" s="2720"/>
      <c r="Y121" s="2720"/>
      <c r="Z121" s="2720"/>
      <c r="AA121" s="2720"/>
      <c r="AB121" s="2720"/>
      <c r="AC121" s="2720"/>
    </row>
    <row r="122" spans="1:29" s="420" customFormat="1" ht="15" thickTop="1">
      <c r="A122" s="540"/>
      <c r="B122" s="485" t="s">
        <v>1916</v>
      </c>
      <c r="C122" s="501"/>
      <c r="D122" s="501"/>
      <c r="E122" s="501"/>
      <c r="F122" s="501"/>
      <c r="G122" s="501"/>
      <c r="H122" s="530"/>
      <c r="I122" s="530"/>
      <c r="J122" s="530"/>
      <c r="K122" s="531"/>
      <c r="L122" s="532"/>
      <c r="M122" s="533"/>
      <c r="N122" s="2750"/>
      <c r="O122" s="2750"/>
      <c r="P122" s="2774"/>
      <c r="Q122" s="2741"/>
      <c r="R122" s="2742"/>
      <c r="S122" s="2742"/>
      <c r="T122" s="2742"/>
      <c r="U122" s="2742"/>
      <c r="V122" s="2742"/>
      <c r="W122" s="2742"/>
      <c r="X122" s="2742"/>
      <c r="Y122" s="2742"/>
      <c r="Z122" s="2742"/>
      <c r="AA122" s="2742"/>
      <c r="AB122" s="2742"/>
      <c r="AC122" s="2742"/>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6"/>
      <c r="B124" s="485" t="s">
        <v>1917</v>
      </c>
      <c r="C124" s="501"/>
      <c r="D124" s="501"/>
      <c r="E124" s="530"/>
      <c r="F124" s="530"/>
      <c r="G124" s="530"/>
      <c r="H124" s="530"/>
      <c r="I124" s="530"/>
      <c r="J124" s="530"/>
      <c r="K124" s="531"/>
      <c r="L124" s="532"/>
      <c r="M124" s="533"/>
      <c r="N124" s="2748"/>
      <c r="O124" s="2748"/>
      <c r="P124" s="2773"/>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6"/>
      <c r="B126" s="485">
        <f>B43</f>
        <v>111</v>
      </c>
      <c r="C126" s="501"/>
      <c r="D126" s="501"/>
      <c r="E126" s="501"/>
      <c r="F126" s="501"/>
      <c r="G126" s="501"/>
      <c r="H126" s="530"/>
      <c r="I126" s="530"/>
      <c r="J126" s="530"/>
      <c r="K126" s="531"/>
      <c r="L126" s="532"/>
      <c r="M126" s="533"/>
      <c r="N126" s="2748"/>
      <c r="O126" s="2748"/>
      <c r="P126" s="2773"/>
      <c r="Q126" s="2734"/>
      <c r="R126" s="2720"/>
      <c r="S126" s="2720"/>
      <c r="T126" s="2720"/>
      <c r="U126" s="2720"/>
      <c r="V126" s="2720"/>
      <c r="W126" s="2720"/>
      <c r="X126" s="2720"/>
      <c r="Y126" s="2720"/>
      <c r="Z126" s="2720"/>
      <c r="AA126" s="2720"/>
      <c r="AB126" s="2720"/>
      <c r="AC126" s="2720"/>
    </row>
    <row r="127" spans="1:29" ht="15.75" thickBot="1">
      <c r="A127" s="481"/>
      <c r="B127" s="490"/>
      <c r="C127" s="507"/>
      <c r="D127" s="507"/>
      <c r="E127" s="507"/>
      <c r="F127" s="507"/>
      <c r="G127" s="483"/>
      <c r="H127" s="483"/>
      <c r="I127" s="483"/>
      <c r="J127" s="483"/>
      <c r="K127" s="483"/>
      <c r="L127" s="483"/>
      <c r="M127" s="484"/>
      <c r="N127" s="2749"/>
      <c r="O127" s="2749"/>
      <c r="P127" s="2773"/>
      <c r="Q127" s="2734"/>
      <c r="R127" s="2720"/>
      <c r="S127" s="2720"/>
      <c r="T127" s="2720"/>
      <c r="U127" s="2720"/>
      <c r="V127" s="2720"/>
      <c r="W127" s="2720"/>
      <c r="X127" s="2720"/>
      <c r="Y127" s="2720"/>
      <c r="Z127" s="2720"/>
      <c r="AA127" s="2720"/>
      <c r="AB127" s="2720"/>
      <c r="AC127" s="2720"/>
    </row>
    <row r="128" spans="1:29" ht="15" thickTop="1">
      <c r="A128" s="546"/>
      <c r="B128" s="485">
        <f>B44</f>
        <v>111</v>
      </c>
      <c r="C128" s="470"/>
      <c r="D128" s="470"/>
      <c r="E128" s="470"/>
      <c r="F128" s="470"/>
      <c r="G128" s="530"/>
      <c r="H128" s="530"/>
      <c r="I128" s="530"/>
      <c r="J128" s="530"/>
      <c r="K128" s="531"/>
      <c r="L128" s="532"/>
      <c r="M128" s="533"/>
      <c r="N128" s="2748"/>
      <c r="O128" s="2748"/>
      <c r="P128" s="2773"/>
      <c r="Q128" s="2734"/>
      <c r="R128" s="2720"/>
      <c r="S128" s="2720"/>
      <c r="T128" s="2720"/>
      <c r="U128" s="2720"/>
      <c r="V128" s="2720"/>
      <c r="W128" s="2720"/>
      <c r="X128" s="2720"/>
      <c r="Y128" s="2720"/>
      <c r="Z128" s="2720"/>
      <c r="AA128" s="2720"/>
      <c r="AB128" s="2720"/>
      <c r="AC128" s="2720"/>
    </row>
    <row r="129" spans="1:29" ht="15.75" thickBot="1">
      <c r="A129" s="481"/>
      <c r="B129" s="490"/>
      <c r="C129" s="517"/>
      <c r="D129" s="517"/>
      <c r="E129" s="517"/>
      <c r="F129" s="517"/>
      <c r="G129" s="483"/>
      <c r="H129" s="483"/>
      <c r="I129" s="483"/>
      <c r="J129" s="483"/>
      <c r="K129" s="483"/>
      <c r="L129" s="483"/>
      <c r="M129" s="484"/>
      <c r="N129" s="2749"/>
      <c r="O129" s="2749"/>
      <c r="P129" s="2773"/>
      <c r="Q129" s="2734"/>
      <c r="R129" s="2720"/>
      <c r="S129" s="2720"/>
      <c r="T129" s="2720"/>
      <c r="U129" s="2720"/>
      <c r="V129" s="2720"/>
      <c r="W129" s="2720"/>
      <c r="X129" s="2720"/>
      <c r="Y129" s="2720"/>
      <c r="Z129" s="2720"/>
      <c r="AA129" s="2720"/>
      <c r="AB129" s="2720"/>
      <c r="AC129" s="2720"/>
    </row>
    <row r="130" spans="1:29" s="420" customFormat="1" ht="15" thickTop="1">
      <c r="A130" s="540"/>
      <c r="B130" s="485">
        <f>B45</f>
        <v>111</v>
      </c>
      <c r="C130" s="470"/>
      <c r="D130" s="470"/>
      <c r="E130" s="470"/>
      <c r="F130" s="470"/>
      <c r="G130" s="502"/>
      <c r="H130" s="502"/>
      <c r="I130" s="502"/>
      <c r="J130" s="502"/>
      <c r="K130" s="502"/>
      <c r="L130" s="503"/>
      <c r="M130" s="504"/>
      <c r="N130" s="2750"/>
      <c r="O130" s="2750"/>
      <c r="P130" s="2774"/>
      <c r="Q130" s="2741"/>
      <c r="R130" s="2742"/>
      <c r="S130" s="2742"/>
      <c r="T130" s="2742"/>
      <c r="U130" s="2742"/>
      <c r="V130" s="2742"/>
      <c r="W130" s="2742"/>
      <c r="X130" s="2742"/>
      <c r="Y130" s="2742"/>
      <c r="Z130" s="2742"/>
      <c r="AA130" s="2742"/>
      <c r="AB130" s="2742"/>
      <c r="AC130" s="2742"/>
    </row>
    <row r="131" spans="1:29" s="420" customFormat="1" ht="15.75" thickBot="1">
      <c r="A131" s="515"/>
      <c r="B131" s="646"/>
      <c r="C131" s="517"/>
      <c r="D131" s="517"/>
      <c r="E131" s="517"/>
      <c r="F131" s="517"/>
      <c r="G131" s="538"/>
      <c r="H131" s="538"/>
      <c r="I131" s="538"/>
      <c r="J131" s="538"/>
      <c r="K131" s="538"/>
      <c r="L131" s="538"/>
      <c r="M131" s="539"/>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3"/>
      <c r="D2" s="903"/>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83" t="s">
        <v>1770</v>
      </c>
      <c r="D4" s="4084"/>
      <c r="E4" s="4085" t="s">
        <v>1771</v>
      </c>
      <c r="F4" s="4086"/>
      <c r="G4" s="4083" t="s">
        <v>1772</v>
      </c>
      <c r="H4" s="4084"/>
      <c r="I4" s="4083" t="s">
        <v>1773</v>
      </c>
      <c r="J4" s="4084"/>
      <c r="K4" s="557" t="s">
        <v>1774</v>
      </c>
      <c r="L4" s="2710"/>
      <c r="M4" s="2711"/>
      <c r="N4" s="2711"/>
      <c r="O4" s="2711"/>
      <c r="P4" s="4087" t="s">
        <v>1775</v>
      </c>
      <c r="Q4" s="4088"/>
      <c r="R4" s="4093" t="s">
        <v>1771</v>
      </c>
      <c r="S4" s="4094"/>
      <c r="T4" s="4093" t="s">
        <v>1772</v>
      </c>
      <c r="U4" s="4094"/>
      <c r="V4" s="4099" t="s">
        <v>1773</v>
      </c>
      <c r="W4" s="4099"/>
      <c r="X4" s="1350"/>
      <c r="Y4" s="4093" t="s">
        <v>1775</v>
      </c>
      <c r="Z4" s="4094"/>
      <c r="AA4" s="4080" t="s">
        <v>1771</v>
      </c>
      <c r="AB4" s="4081" t="s">
        <v>1772</v>
      </c>
      <c r="AC4" s="4080" t="s">
        <v>1773</v>
      </c>
    </row>
    <row r="5" spans="1:29" ht="15">
      <c r="A5" s="356"/>
      <c r="B5" s="357"/>
      <c r="C5" s="4102" t="s">
        <v>1673</v>
      </c>
      <c r="D5" s="4103"/>
      <c r="E5" s="4109" t="s">
        <v>1674</v>
      </c>
      <c r="F5" s="4110"/>
      <c r="G5" s="4102" t="s">
        <v>1675</v>
      </c>
      <c r="H5" s="4103"/>
      <c r="I5" s="4102" t="s">
        <v>1676</v>
      </c>
      <c r="J5" s="4103"/>
      <c r="K5" s="557"/>
      <c r="L5" s="2710"/>
      <c r="M5" s="2711"/>
      <c r="N5" s="2711"/>
      <c r="O5" s="2711"/>
      <c r="P5" s="4089"/>
      <c r="Q5" s="4090"/>
      <c r="R5" s="4095"/>
      <c r="S5" s="4096"/>
      <c r="T5" s="4095"/>
      <c r="U5" s="4096"/>
      <c r="V5" s="4099"/>
      <c r="W5" s="4099"/>
      <c r="X5" s="1350"/>
      <c r="Y5" s="4095"/>
      <c r="Z5" s="4096"/>
      <c r="AA5" s="4081"/>
      <c r="AB5" s="4081"/>
      <c r="AC5" s="4081"/>
    </row>
    <row r="6" spans="1:29" ht="15.75" thickBot="1">
      <c r="A6" s="358"/>
      <c r="B6" s="359"/>
      <c r="C6" s="4131" t="s">
        <v>1919</v>
      </c>
      <c r="D6" s="4132"/>
      <c r="E6" s="4133" t="s">
        <v>1919</v>
      </c>
      <c r="F6" s="4134"/>
      <c r="G6" s="4131" t="s">
        <v>1919</v>
      </c>
      <c r="H6" s="4132"/>
      <c r="I6" s="4131" t="s">
        <v>1919</v>
      </c>
      <c r="J6" s="4132"/>
      <c r="K6" s="557" t="s">
        <v>1678</v>
      </c>
      <c r="L6" s="2710"/>
      <c r="M6" s="2711"/>
      <c r="N6" s="2711"/>
      <c r="O6" s="2711"/>
      <c r="P6" s="4091"/>
      <c r="Q6" s="4092"/>
      <c r="R6" s="4095"/>
      <c r="S6" s="4096"/>
      <c r="T6" s="4097"/>
      <c r="U6" s="4098"/>
      <c r="V6" s="4099"/>
      <c r="W6" s="4099"/>
      <c r="X6" s="1350"/>
      <c r="Y6" s="4097"/>
      <c r="Z6" s="4098"/>
      <c r="AA6" s="4082"/>
      <c r="AB6" s="4082"/>
      <c r="AC6" s="4082"/>
    </row>
    <row r="7" spans="1:29" s="106" customFormat="1" ht="15.75" thickBot="1">
      <c r="A7" s="360" t="s">
        <v>1679</v>
      </c>
      <c r="B7" s="361"/>
      <c r="C7" s="362">
        <f>'数据-取费表'!B2</f>
        <v>45226</v>
      </c>
      <c r="D7" s="363">
        <v>100</v>
      </c>
      <c r="E7" s="364"/>
      <c r="F7" s="365">
        <f>SUMIF(65:65,YEAR(E7)&amp;"-"&amp;INT((MONTH(E7)+2)/3),66:66)</f>
        <v>0</v>
      </c>
      <c r="G7" s="1969"/>
      <c r="H7" s="363">
        <f>SUMIF(65:65,YEAR(G7)&amp;"-"&amp;INT((MONTH(G7)+2)/3),66:66)</f>
        <v>0</v>
      </c>
      <c r="I7" s="1969"/>
      <c r="J7" s="363">
        <f>SUMIF(65:65,YEAR(I7)&amp;"-"&amp;INT((MONTH(I7)+2)/3),66:66)</f>
        <v>0</v>
      </c>
      <c r="K7" s="558"/>
      <c r="L7" s="2712"/>
      <c r="M7" s="2713"/>
      <c r="N7" s="2713"/>
      <c r="O7" s="2713"/>
      <c r="P7" s="4104" t="s">
        <v>1680</v>
      </c>
      <c r="Q7" s="4106"/>
      <c r="R7" s="699" t="s">
        <v>14</v>
      </c>
      <c r="S7" s="700">
        <f t="shared" ref="S7:S15" si="0">F7</f>
        <v>0</v>
      </c>
      <c r="T7" s="699" t="s">
        <v>14</v>
      </c>
      <c r="U7" s="700">
        <f t="shared" ref="U7:U15" si="1">H7</f>
        <v>0</v>
      </c>
      <c r="V7" s="699" t="s">
        <v>14</v>
      </c>
      <c r="W7" s="700">
        <f t="shared" ref="W7:W15" si="2">J7</f>
        <v>0</v>
      </c>
      <c r="X7" s="701"/>
      <c r="Y7" s="4104" t="s">
        <v>1680</v>
      </c>
      <c r="Z7" s="4105"/>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2"/>
      <c r="M8" s="2713"/>
      <c r="N8" s="2713"/>
      <c r="O8" s="2713"/>
      <c r="P8" s="4104" t="s">
        <v>1683</v>
      </c>
      <c r="Q8" s="4105"/>
      <c r="R8" s="699" t="s">
        <v>14</v>
      </c>
      <c r="S8" s="700">
        <f t="shared" si="0"/>
        <v>0</v>
      </c>
      <c r="T8" s="699" t="s">
        <v>14</v>
      </c>
      <c r="U8" s="700">
        <f t="shared" si="1"/>
        <v>0</v>
      </c>
      <c r="V8" s="699" t="s">
        <v>14</v>
      </c>
      <c r="W8" s="700">
        <f t="shared" si="2"/>
        <v>0</v>
      </c>
      <c r="X8" s="701"/>
      <c r="Y8" s="4104" t="s">
        <v>1683</v>
      </c>
      <c r="Z8" s="4105"/>
      <c r="AA8" s="702" t="e">
        <f t="shared" ref="AA8:AA40" si="3">D8/F8</f>
        <v>#DIV/0!</v>
      </c>
      <c r="AB8" s="702" t="e">
        <f t="shared" ref="AB8:AB40" si="4">D8/H8</f>
        <v>#DIV/0!</v>
      </c>
      <c r="AC8" s="702" t="e">
        <f t="shared" ref="AC8:AC40" si="5">D8/J8</f>
        <v>#DIV/0!</v>
      </c>
    </row>
    <row r="9" spans="1:29" s="106" customFormat="1">
      <c r="A9" s="367" t="s">
        <v>1684</v>
      </c>
      <c r="B9" s="61" t="s">
        <v>1685</v>
      </c>
      <c r="C9" s="1972"/>
      <c r="D9" s="124">
        <v>100</v>
      </c>
      <c r="E9" s="1972"/>
      <c r="F9" s="124">
        <f>SUMIF(70:70,E9,71:71)-SUMIF(70:70,C9,71:71)+100</f>
        <v>100</v>
      </c>
      <c r="G9" s="1972"/>
      <c r="H9" s="124">
        <f>SUMIF(70:70,G9,71:71)-SUMIF(70:70,C9,71:71)+100</f>
        <v>100</v>
      </c>
      <c r="I9" s="1972"/>
      <c r="J9" s="124">
        <f>SUMIF(70:70,I9,71:71)-SUMIF(70:70,C9,71:71)+100</f>
        <v>100</v>
      </c>
      <c r="K9" s="558"/>
      <c r="L9" s="2712"/>
      <c r="M9" s="2713"/>
      <c r="N9" s="2713"/>
      <c r="O9" s="2767"/>
      <c r="P9" s="4068" t="s">
        <v>1686</v>
      </c>
      <c r="Q9" s="1338" t="str">
        <f t="shared" ref="Q9:Q15" si="6">B9</f>
        <v>用途</v>
      </c>
      <c r="R9" s="699" t="s">
        <v>14</v>
      </c>
      <c r="S9" s="700">
        <f t="shared" si="0"/>
        <v>100</v>
      </c>
      <c r="T9" s="699" t="s">
        <v>14</v>
      </c>
      <c r="U9" s="700">
        <f t="shared" si="1"/>
        <v>100</v>
      </c>
      <c r="V9" s="699" t="s">
        <v>14</v>
      </c>
      <c r="W9" s="700">
        <f t="shared" si="2"/>
        <v>100</v>
      </c>
      <c r="X9" s="701"/>
      <c r="Y9" s="3943" t="s">
        <v>1687</v>
      </c>
      <c r="Z9" s="50"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118</v>
      </c>
      <c r="G10" s="381"/>
      <c r="H10" s="125">
        <f>ROUND(100/'数据-取费表'!G16,0)</f>
        <v>118</v>
      </c>
      <c r="I10" s="381"/>
      <c r="J10" s="125">
        <f>ROUND(100/'数据-取费表'!G16,0)</f>
        <v>118</v>
      </c>
      <c r="K10" s="618"/>
      <c r="L10" s="2714"/>
      <c r="M10" s="2715"/>
      <c r="N10" s="2715"/>
      <c r="O10" s="2768"/>
      <c r="P10" s="4068"/>
      <c r="Q10" s="1338" t="str">
        <f t="shared" si="6"/>
        <v>土地使用年限（年）</v>
      </c>
      <c r="R10" s="699" t="s">
        <v>14</v>
      </c>
      <c r="S10" s="700">
        <f t="shared" si="0"/>
        <v>118</v>
      </c>
      <c r="T10" s="699" t="s">
        <v>14</v>
      </c>
      <c r="U10" s="700">
        <f t="shared" si="1"/>
        <v>118</v>
      </c>
      <c r="V10" s="699" t="s">
        <v>14</v>
      </c>
      <c r="W10" s="700">
        <f t="shared" si="2"/>
        <v>118</v>
      </c>
      <c r="X10" s="701"/>
      <c r="Y10" s="3943"/>
      <c r="Z10" s="50" t="str">
        <f t="shared" si="7"/>
        <v>土地使用年限（年）</v>
      </c>
      <c r="AA10" s="702">
        <f t="shared" si="3"/>
        <v>0.84745762711864403</v>
      </c>
      <c r="AB10" s="702">
        <f t="shared" si="4"/>
        <v>0.84745762711864403</v>
      </c>
      <c r="AC10" s="702">
        <f t="shared" si="5"/>
        <v>0.84745762711864403</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6"/>
      <c r="M11" s="2711"/>
      <c r="N11" s="2711"/>
      <c r="O11" s="2769"/>
      <c r="P11" s="4068"/>
      <c r="Q11" s="1338" t="str">
        <f t="shared" si="6"/>
        <v>容积率</v>
      </c>
      <c r="R11" s="699" t="s">
        <v>14</v>
      </c>
      <c r="S11" s="700" t="e">
        <f t="shared" si="0"/>
        <v>#N/A</v>
      </c>
      <c r="T11" s="699" t="s">
        <v>14</v>
      </c>
      <c r="U11" s="700" t="e">
        <f t="shared" si="1"/>
        <v>#N/A</v>
      </c>
      <c r="V11" s="699" t="s">
        <v>14</v>
      </c>
      <c r="W11" s="700" t="e">
        <f t="shared" si="2"/>
        <v>#N/A</v>
      </c>
      <c r="X11" s="701"/>
      <c r="Y11" s="3943"/>
      <c r="Z11" s="50" t="str">
        <f t="shared" si="7"/>
        <v>容积率</v>
      </c>
      <c r="AA11" s="702" t="e">
        <f t="shared" si="3"/>
        <v>#N/A</v>
      </c>
      <c r="AB11" s="702" t="e">
        <f t="shared" si="4"/>
        <v>#N/A</v>
      </c>
      <c r="AC11" s="702" t="e">
        <f t="shared" si="5"/>
        <v>#N/A</v>
      </c>
    </row>
    <row r="12" spans="1:29" s="106" customFormat="1" ht="15">
      <c r="A12" s="380"/>
      <c r="B12" s="1888">
        <v>111</v>
      </c>
      <c r="C12" s="381"/>
      <c r="D12" s="382">
        <v>100</v>
      </c>
      <c r="E12" s="496"/>
      <c r="F12" s="125">
        <f>SUMIF(77:77,E12,78:78)-SUMIF(77:77,C12,78:78)+100</f>
        <v>100</v>
      </c>
      <c r="G12" s="620"/>
      <c r="H12" s="125">
        <f>SUMIF(77:77,G12,78:78)-SUMIF(77:77,C12,78:78)+100</f>
        <v>100</v>
      </c>
      <c r="I12" s="496"/>
      <c r="J12" s="125">
        <f>SUMIF(77:77,I12,78:78)-SUMIF(77:77,C12,78:78)+100</f>
        <v>100</v>
      </c>
      <c r="K12" s="618"/>
      <c r="L12" s="2712"/>
      <c r="M12" s="2713"/>
      <c r="N12" s="2713"/>
      <c r="O12" s="2767"/>
      <c r="P12" s="4068"/>
      <c r="Q12" s="1338">
        <f t="shared" si="6"/>
        <v>111</v>
      </c>
      <c r="R12" s="699" t="s">
        <v>14</v>
      </c>
      <c r="S12" s="700">
        <f t="shared" si="0"/>
        <v>100</v>
      </c>
      <c r="T12" s="699" t="s">
        <v>14</v>
      </c>
      <c r="U12" s="700">
        <f t="shared" si="1"/>
        <v>100</v>
      </c>
      <c r="V12" s="699" t="s">
        <v>14</v>
      </c>
      <c r="W12" s="700">
        <f t="shared" si="2"/>
        <v>100</v>
      </c>
      <c r="X12" s="701"/>
      <c r="Y12" s="3943"/>
      <c r="Z12" s="50">
        <f t="shared" si="7"/>
        <v>111</v>
      </c>
      <c r="AA12" s="702">
        <f>D12/F12</f>
        <v>1</v>
      </c>
      <c r="AB12" s="702">
        <f>D12/H12</f>
        <v>1</v>
      </c>
      <c r="AC12" s="702">
        <f>D12/J12</f>
        <v>1</v>
      </c>
    </row>
    <row r="13" spans="1:29" ht="15">
      <c r="A13" s="377"/>
      <c r="B13" s="1888">
        <v>111</v>
      </c>
      <c r="C13" s="383"/>
      <c r="D13" s="384">
        <v>100</v>
      </c>
      <c r="E13" s="496"/>
      <c r="F13" s="125">
        <f>SUMIF(79:79,E13,80:80)-SUMIF(79:79,C13,80:80)+100</f>
        <v>100</v>
      </c>
      <c r="G13" s="620"/>
      <c r="H13" s="384">
        <f>SUMIF(79:79,G13,80:80)-SUMIF(79:79,C13,80:80)+100</f>
        <v>100</v>
      </c>
      <c r="I13" s="496"/>
      <c r="J13" s="384">
        <f>SUMIF(79:79,I13,80:80)-SUMIF(79:79,C13,80:80)+100</f>
        <v>100</v>
      </c>
      <c r="K13" s="618"/>
      <c r="L13" s="2717"/>
      <c r="M13" s="2711"/>
      <c r="N13" s="2711"/>
      <c r="O13" s="2769"/>
      <c r="P13" s="4068"/>
      <c r="Q13" s="1338">
        <f t="shared" si="6"/>
        <v>111</v>
      </c>
      <c r="R13" s="699" t="s">
        <v>14</v>
      </c>
      <c r="S13" s="700">
        <f t="shared" si="0"/>
        <v>100</v>
      </c>
      <c r="T13" s="699" t="s">
        <v>14</v>
      </c>
      <c r="U13" s="700">
        <f t="shared" si="1"/>
        <v>100</v>
      </c>
      <c r="V13" s="699" t="s">
        <v>14</v>
      </c>
      <c r="W13" s="700">
        <f t="shared" si="2"/>
        <v>100</v>
      </c>
      <c r="X13" s="701"/>
      <c r="Y13" s="3943"/>
      <c r="Z13" s="50">
        <f t="shared" si="7"/>
        <v>111</v>
      </c>
      <c r="AA13" s="702">
        <f t="shared" si="3"/>
        <v>1</v>
      </c>
      <c r="AB13" s="702">
        <f t="shared" si="4"/>
        <v>1</v>
      </c>
      <c r="AC13" s="702">
        <f t="shared" si="5"/>
        <v>1</v>
      </c>
    </row>
    <row r="14" spans="1:29" ht="15.75" thickBot="1">
      <c r="A14" s="385"/>
      <c r="B14" s="1890">
        <v>111</v>
      </c>
      <c r="C14" s="386"/>
      <c r="D14" s="387">
        <v>100</v>
      </c>
      <c r="E14" s="496"/>
      <c r="F14" s="387">
        <f>SUMIF(81:81,E14,82:82)-SUMIF(81:81,C14,82:82)+100</f>
        <v>100</v>
      </c>
      <c r="G14" s="620"/>
      <c r="H14" s="387">
        <f>SUMIF(81:81,G14,82:82)-SUMIF(81:81,C14,82:82)+100</f>
        <v>100</v>
      </c>
      <c r="I14" s="496"/>
      <c r="J14" s="387">
        <f>SUMIF(81:81,I14,82:82)-SUMIF(81:81,C14,82:82)+100</f>
        <v>100</v>
      </c>
      <c r="K14" s="618"/>
      <c r="L14" s="2717"/>
      <c r="M14" s="2711"/>
      <c r="N14" s="2711"/>
      <c r="O14" s="2769"/>
      <c r="P14" s="4068"/>
      <c r="Q14" s="1338">
        <f t="shared" si="6"/>
        <v>111</v>
      </c>
      <c r="R14" s="699" t="s">
        <v>14</v>
      </c>
      <c r="S14" s="700">
        <f t="shared" si="0"/>
        <v>100</v>
      </c>
      <c r="T14" s="699" t="s">
        <v>14</v>
      </c>
      <c r="U14" s="700">
        <f t="shared" si="1"/>
        <v>100</v>
      </c>
      <c r="V14" s="699" t="s">
        <v>14</v>
      </c>
      <c r="W14" s="700">
        <f t="shared" si="2"/>
        <v>100</v>
      </c>
      <c r="X14" s="701"/>
      <c r="Y14" s="3943"/>
      <c r="Z14" s="50">
        <f t="shared" si="7"/>
        <v>111</v>
      </c>
      <c r="AA14" s="702">
        <f t="shared" si="3"/>
        <v>1</v>
      </c>
      <c r="AB14" s="702">
        <f t="shared" si="4"/>
        <v>1</v>
      </c>
      <c r="AC14" s="702">
        <f t="shared" si="5"/>
        <v>1</v>
      </c>
    </row>
    <row r="15" spans="1:29" ht="15">
      <c r="A15" s="389" t="s">
        <v>1690</v>
      </c>
      <c r="B15" s="575" t="s">
        <v>1920</v>
      </c>
      <c r="C15" s="1966">
        <f>估价对象房地状况!G15</f>
        <v>0</v>
      </c>
      <c r="D15" s="390">
        <v>100</v>
      </c>
      <c r="E15" s="391"/>
      <c r="F15" s="390">
        <f>SUMIF(83:83,E16,84:84)-SUMIF(83:83,C16,84:84)+100</f>
        <v>100</v>
      </c>
      <c r="G15" s="391"/>
      <c r="H15" s="390">
        <f>SUMIF(83:83,G16,84:84)-SUMIF(83:83,C16,84:84)+100</f>
        <v>100</v>
      </c>
      <c r="I15" s="393"/>
      <c r="J15" s="390">
        <f>SUMIF(83:83,I16,84:84)-SUMIF(83:83,C16,84:84)+100</f>
        <v>100</v>
      </c>
      <c r="K15" s="619"/>
      <c r="L15" s="2717"/>
      <c r="M15" s="2711"/>
      <c r="N15" s="2711"/>
      <c r="O15" s="2769"/>
      <c r="P15" s="4070" t="s">
        <v>1691</v>
      </c>
      <c r="Q15" s="1347" t="str">
        <f t="shared" si="6"/>
        <v>产业集聚程度</v>
      </c>
      <c r="R15" s="703" t="s">
        <v>14</v>
      </c>
      <c r="S15" s="704">
        <f t="shared" si="0"/>
        <v>100</v>
      </c>
      <c r="T15" s="703" t="s">
        <v>14</v>
      </c>
      <c r="U15" s="704">
        <f t="shared" si="1"/>
        <v>100</v>
      </c>
      <c r="V15" s="703" t="s">
        <v>14</v>
      </c>
      <c r="W15" s="704">
        <f t="shared" si="2"/>
        <v>100</v>
      </c>
      <c r="X15" s="1350"/>
      <c r="Y15" s="4070" t="s">
        <v>1691</v>
      </c>
      <c r="Z15" s="1351" t="str">
        <f t="shared" si="7"/>
        <v>产业集聚程度</v>
      </c>
      <c r="AA15" s="1348">
        <f t="shared" si="3"/>
        <v>1</v>
      </c>
      <c r="AB15" s="1348">
        <f t="shared" si="4"/>
        <v>1</v>
      </c>
      <c r="AC15" s="1348">
        <f t="shared" si="5"/>
        <v>1</v>
      </c>
    </row>
    <row r="16" spans="1:29" ht="15">
      <c r="A16" s="377"/>
      <c r="B16" s="576"/>
      <c r="C16" s="396"/>
      <c r="D16" s="397"/>
      <c r="E16" s="1899"/>
      <c r="F16" s="397"/>
      <c r="G16" s="1899"/>
      <c r="H16" s="399"/>
      <c r="I16" s="1899"/>
      <c r="J16" s="397"/>
      <c r="K16" s="618"/>
      <c r="L16" s="2717"/>
      <c r="M16" s="2711"/>
      <c r="N16" s="2711"/>
      <c r="O16" s="2769"/>
      <c r="P16" s="4071"/>
      <c r="Q16" s="1347"/>
      <c r="R16" s="703"/>
      <c r="S16" s="704"/>
      <c r="T16" s="703"/>
      <c r="U16" s="704"/>
      <c r="V16" s="703"/>
      <c r="W16" s="704"/>
      <c r="X16" s="1350"/>
      <c r="Y16" s="4071"/>
      <c r="Z16" s="1351"/>
      <c r="AA16" s="1348">
        <v>1</v>
      </c>
      <c r="AB16" s="1348">
        <v>1</v>
      </c>
      <c r="AC16" s="1348">
        <v>1</v>
      </c>
    </row>
    <row r="17" spans="1:29" ht="15">
      <c r="A17" s="377"/>
      <c r="B17" s="577" t="s">
        <v>1833</v>
      </c>
      <c r="C17" s="1895">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7"/>
      <c r="M17" s="2711"/>
      <c r="N17" s="2711"/>
      <c r="O17" s="2769"/>
      <c r="P17" s="4071"/>
      <c r="Q17" s="1347" t="str">
        <f>B17</f>
        <v>交通便捷度</v>
      </c>
      <c r="R17" s="703" t="s">
        <v>14</v>
      </c>
      <c r="S17" s="704">
        <f>F17</f>
        <v>100</v>
      </c>
      <c r="T17" s="703" t="s">
        <v>14</v>
      </c>
      <c r="U17" s="704">
        <f>H17</f>
        <v>100</v>
      </c>
      <c r="V17" s="703" t="s">
        <v>14</v>
      </c>
      <c r="W17" s="704">
        <f>J17</f>
        <v>100</v>
      </c>
      <c r="X17" s="1350"/>
      <c r="Y17" s="4071"/>
      <c r="Z17" s="1351" t="str">
        <f>Q17</f>
        <v>交通便捷度</v>
      </c>
      <c r="AA17" s="1348">
        <f t="shared" si="3"/>
        <v>1</v>
      </c>
      <c r="AB17" s="1348">
        <f t="shared" si="4"/>
        <v>1</v>
      </c>
      <c r="AC17" s="1348">
        <f t="shared" si="5"/>
        <v>1</v>
      </c>
    </row>
    <row r="18" spans="1:29" ht="15">
      <c r="A18" s="377"/>
      <c r="B18" s="578"/>
      <c r="C18" s="396"/>
      <c r="D18" s="397"/>
      <c r="E18" s="1893"/>
      <c r="F18" s="397"/>
      <c r="G18" s="1893"/>
      <c r="H18" s="397"/>
      <c r="I18" s="1892"/>
      <c r="J18" s="397"/>
      <c r="K18" s="618"/>
      <c r="L18" s="2717"/>
      <c r="M18" s="2711"/>
      <c r="N18" s="2711"/>
      <c r="O18" s="2769"/>
      <c r="P18" s="4071"/>
      <c r="Q18" s="1347"/>
      <c r="R18" s="703"/>
      <c r="S18" s="704"/>
      <c r="T18" s="703"/>
      <c r="U18" s="704"/>
      <c r="V18" s="703"/>
      <c r="W18" s="704"/>
      <c r="X18" s="1350"/>
      <c r="Y18" s="4071"/>
      <c r="Z18" s="1351"/>
      <c r="AA18" s="1348">
        <v>1</v>
      </c>
      <c r="AB18" s="1348">
        <v>1</v>
      </c>
      <c r="AC18" s="1348">
        <v>1</v>
      </c>
    </row>
    <row r="19" spans="1:29" ht="15">
      <c r="A19" s="377"/>
      <c r="B19" s="577" t="s">
        <v>1871</v>
      </c>
      <c r="C19" s="1895">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7"/>
      <c r="M19" s="2711"/>
      <c r="N19" s="2711"/>
      <c r="O19" s="2769"/>
      <c r="P19" s="4071"/>
      <c r="Q19" s="1347" t="str">
        <f t="shared" ref="Q19:Q33" si="8">B19</f>
        <v>区域土地利用方向</v>
      </c>
      <c r="R19" s="703" t="s">
        <v>14</v>
      </c>
      <c r="S19" s="704">
        <f>F19</f>
        <v>100</v>
      </c>
      <c r="T19" s="703" t="s">
        <v>14</v>
      </c>
      <c r="U19" s="704">
        <f>H19</f>
        <v>100</v>
      </c>
      <c r="V19" s="703" t="s">
        <v>14</v>
      </c>
      <c r="W19" s="704">
        <f>J19</f>
        <v>100</v>
      </c>
      <c r="X19" s="1350"/>
      <c r="Y19" s="4071"/>
      <c r="Z19" s="1351" t="str">
        <f>Q19</f>
        <v>区域土地利用方向</v>
      </c>
      <c r="AA19" s="1348">
        <f t="shared" si="3"/>
        <v>1</v>
      </c>
      <c r="AB19" s="1348">
        <f t="shared" si="4"/>
        <v>1</v>
      </c>
      <c r="AC19" s="1348">
        <f t="shared" si="5"/>
        <v>1</v>
      </c>
    </row>
    <row r="20" spans="1:29" ht="15">
      <c r="A20" s="356"/>
      <c r="B20" s="578"/>
      <c r="C20" s="396"/>
      <c r="D20" s="397"/>
      <c r="E20" s="1893"/>
      <c r="F20" s="397"/>
      <c r="G20" s="1893"/>
      <c r="H20" s="397"/>
      <c r="I20" s="1893"/>
      <c r="J20" s="397"/>
      <c r="K20" s="735"/>
      <c r="L20" s="2717"/>
      <c r="M20" s="2711"/>
      <c r="N20" s="2711"/>
      <c r="O20" s="2769"/>
      <c r="P20" s="4071"/>
      <c r="Q20" s="1347"/>
      <c r="R20" s="703"/>
      <c r="S20" s="704"/>
      <c r="T20" s="703"/>
      <c r="U20" s="704"/>
      <c r="V20" s="703"/>
      <c r="W20" s="704"/>
      <c r="X20" s="1350"/>
      <c r="Y20" s="4071"/>
      <c r="Z20" s="1351"/>
      <c r="AA20" s="1348"/>
      <c r="AB20" s="1348"/>
      <c r="AC20" s="1348"/>
    </row>
    <row r="21" spans="1:29" ht="15">
      <c r="A21" s="356"/>
      <c r="B21" s="577" t="s">
        <v>1921</v>
      </c>
      <c r="C21" s="1895">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7"/>
      <c r="M21" s="2711"/>
      <c r="N21" s="2711"/>
      <c r="O21" s="2769"/>
      <c r="P21" s="4071"/>
      <c r="Q21" s="1347" t="str">
        <f t="shared" si="8"/>
        <v>环境状况</v>
      </c>
      <c r="R21" s="703" t="s">
        <v>14</v>
      </c>
      <c r="S21" s="704">
        <f>F21</f>
        <v>100</v>
      </c>
      <c r="T21" s="703" t="s">
        <v>14</v>
      </c>
      <c r="U21" s="704">
        <f>H21</f>
        <v>100</v>
      </c>
      <c r="V21" s="703" t="s">
        <v>14</v>
      </c>
      <c r="W21" s="704">
        <f>J21</f>
        <v>100</v>
      </c>
      <c r="X21" s="1350"/>
      <c r="Y21" s="4071"/>
      <c r="Z21" s="1351" t="str">
        <f>Q21</f>
        <v>环境状况</v>
      </c>
      <c r="AA21" s="1348">
        <f t="shared" si="3"/>
        <v>1</v>
      </c>
      <c r="AB21" s="1348">
        <f t="shared" si="4"/>
        <v>1</v>
      </c>
      <c r="AC21" s="1348">
        <f t="shared" si="5"/>
        <v>1</v>
      </c>
    </row>
    <row r="22" spans="1:29" ht="15">
      <c r="A22" s="356"/>
      <c r="B22" s="578"/>
      <c r="C22" s="396"/>
      <c r="D22" s="397"/>
      <c r="E22" s="1899"/>
      <c r="F22" s="397"/>
      <c r="G22" s="1899"/>
      <c r="H22" s="397"/>
      <c r="I22" s="396"/>
      <c r="J22" s="397"/>
      <c r="K22" s="618"/>
      <c r="L22" s="2717"/>
      <c r="M22" s="2711"/>
      <c r="N22" s="2711"/>
      <c r="O22" s="2769"/>
      <c r="P22" s="4071"/>
      <c r="Q22" s="1347"/>
      <c r="R22" s="703"/>
      <c r="S22" s="704"/>
      <c r="T22" s="703"/>
      <c r="U22" s="704"/>
      <c r="V22" s="703"/>
      <c r="W22" s="704"/>
      <c r="X22" s="1350"/>
      <c r="Y22" s="4071"/>
      <c r="Z22" s="1351"/>
      <c r="AA22" s="1348">
        <v>1</v>
      </c>
      <c r="AB22" s="1348">
        <v>1</v>
      </c>
      <c r="AC22" s="1348">
        <v>1</v>
      </c>
    </row>
    <row r="23" spans="1:29" s="106" customFormat="1" ht="15">
      <c r="A23" s="595"/>
      <c r="B23" s="579" t="s">
        <v>1778</v>
      </c>
      <c r="C23" s="1895">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2"/>
      <c r="M23" s="2713"/>
      <c r="N23" s="2713"/>
      <c r="O23" s="2767"/>
      <c r="P23" s="4071"/>
      <c r="Q23" s="1338" t="str">
        <f t="shared" si="8"/>
        <v>公共配套设施</v>
      </c>
      <c r="R23" s="699" t="s">
        <v>14</v>
      </c>
      <c r="S23" s="700">
        <f>F23</f>
        <v>100</v>
      </c>
      <c r="T23" s="699" t="s">
        <v>14</v>
      </c>
      <c r="U23" s="700">
        <f>H23</f>
        <v>100</v>
      </c>
      <c r="V23" s="699" t="s">
        <v>14</v>
      </c>
      <c r="W23" s="700">
        <f>J23</f>
        <v>100</v>
      </c>
      <c r="X23" s="701"/>
      <c r="Y23" s="4071"/>
      <c r="Z23" s="50" t="str">
        <f>Q23</f>
        <v>公共配套设施</v>
      </c>
      <c r="AA23" s="1348">
        <f>D23/F23</f>
        <v>1</v>
      </c>
      <c r="AB23" s="1348">
        <f>D23/H23</f>
        <v>1</v>
      </c>
      <c r="AC23" s="1348">
        <f>D23/J23</f>
        <v>1</v>
      </c>
    </row>
    <row r="24" spans="1:29" s="106" customFormat="1" ht="15">
      <c r="A24" s="595"/>
      <c r="B24" s="578"/>
      <c r="C24" s="1973"/>
      <c r="D24" s="397"/>
      <c r="E24" s="1899"/>
      <c r="F24" s="397"/>
      <c r="G24" s="1899"/>
      <c r="H24" s="397"/>
      <c r="I24" s="396"/>
      <c r="J24" s="397"/>
      <c r="K24" s="618"/>
      <c r="L24" s="2712"/>
      <c r="M24" s="2713"/>
      <c r="N24" s="2713"/>
      <c r="O24" s="2767"/>
      <c r="P24" s="4071"/>
      <c r="Q24" s="1338"/>
      <c r="R24" s="699"/>
      <c r="S24" s="700"/>
      <c r="T24" s="699"/>
      <c r="U24" s="700"/>
      <c r="V24" s="699"/>
      <c r="W24" s="700"/>
      <c r="X24" s="701"/>
      <c r="Y24" s="4071"/>
      <c r="Z24" s="50"/>
      <c r="AA24" s="702">
        <v>1</v>
      </c>
      <c r="AB24" s="702">
        <v>1</v>
      </c>
      <c r="AC24" s="702">
        <v>1</v>
      </c>
    </row>
    <row r="25" spans="1:29" s="106" customFormat="1" ht="15">
      <c r="A25" s="595"/>
      <c r="B25" s="579" t="s">
        <v>1779</v>
      </c>
      <c r="C25" s="1895">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2"/>
      <c r="M25" s="2713"/>
      <c r="N25" s="2713"/>
      <c r="O25" s="2767"/>
      <c r="P25" s="4071"/>
      <c r="Q25" s="1338" t="str">
        <f t="shared" ref="Q25" si="9">B25</f>
        <v>基础设施水平</v>
      </c>
      <c r="R25" s="699" t="s">
        <v>14</v>
      </c>
      <c r="S25" s="700">
        <f>F25</f>
        <v>100</v>
      </c>
      <c r="T25" s="699" t="s">
        <v>14</v>
      </c>
      <c r="U25" s="700">
        <f>H25</f>
        <v>100</v>
      </c>
      <c r="V25" s="699" t="s">
        <v>14</v>
      </c>
      <c r="W25" s="700">
        <f>J25</f>
        <v>100</v>
      </c>
      <c r="X25" s="701"/>
      <c r="Y25" s="4071"/>
      <c r="Z25" s="50" t="str">
        <f>Q25</f>
        <v>基础设施水平</v>
      </c>
      <c r="AA25" s="1348">
        <f>D25/F25</f>
        <v>1</v>
      </c>
      <c r="AB25" s="1348">
        <f>D25/H25</f>
        <v>1</v>
      </c>
      <c r="AC25" s="1348">
        <f>D25/J25</f>
        <v>1</v>
      </c>
    </row>
    <row r="26" spans="1:29" s="106" customFormat="1" ht="15">
      <c r="A26" s="595"/>
      <c r="B26" s="578"/>
      <c r="C26" s="1973"/>
      <c r="D26" s="397"/>
      <c r="E26" s="1974"/>
      <c r="F26" s="397"/>
      <c r="G26" s="1974"/>
      <c r="H26" s="397"/>
      <c r="I26" s="1974"/>
      <c r="J26" s="397"/>
      <c r="K26" s="618"/>
      <c r="L26" s="2712"/>
      <c r="M26" s="2713"/>
      <c r="N26" s="2713"/>
      <c r="O26" s="2767"/>
      <c r="P26" s="4071"/>
      <c r="Q26" s="1338"/>
      <c r="R26" s="699"/>
      <c r="S26" s="700"/>
      <c r="T26" s="699"/>
      <c r="U26" s="700"/>
      <c r="V26" s="699"/>
      <c r="W26" s="700"/>
      <c r="X26" s="701"/>
      <c r="Y26" s="4071"/>
      <c r="Z26" s="50"/>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7"/>
      <c r="M27" s="2711"/>
      <c r="N27" s="2711"/>
      <c r="O27" s="2769"/>
      <c r="P27" s="4071"/>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4071"/>
      <c r="Z27" s="1351" t="str">
        <f t="shared" ref="Z27:Z40" si="13">Q27</f>
        <v>临街状况</v>
      </c>
      <c r="AA27" s="1348">
        <f t="shared" si="3"/>
        <v>1</v>
      </c>
      <c r="AB27" s="1348">
        <f t="shared" si="4"/>
        <v>1</v>
      </c>
      <c r="AC27" s="1348">
        <f t="shared" si="5"/>
        <v>1</v>
      </c>
    </row>
    <row r="28" spans="1:29" ht="27">
      <c r="A28" s="377"/>
      <c r="B28" s="579" t="s">
        <v>1815</v>
      </c>
      <c r="C28" s="1986">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7"/>
      <c r="M28" s="2711"/>
      <c r="N28" s="2711"/>
      <c r="O28" s="2769"/>
      <c r="P28" s="4071"/>
      <c r="Q28" s="1347" t="str">
        <f t="shared" si="8"/>
        <v>毗邻道路的类型与等级</v>
      </c>
      <c r="R28" s="703" t="s">
        <v>14</v>
      </c>
      <c r="S28" s="704">
        <f t="shared" si="10"/>
        <v>100</v>
      </c>
      <c r="T28" s="703" t="s">
        <v>14</v>
      </c>
      <c r="U28" s="704">
        <f t="shared" si="11"/>
        <v>100</v>
      </c>
      <c r="V28" s="703" t="s">
        <v>14</v>
      </c>
      <c r="W28" s="704">
        <f t="shared" si="12"/>
        <v>100</v>
      </c>
      <c r="X28" s="1350"/>
      <c r="Y28" s="4071"/>
      <c r="Z28" s="1351" t="str">
        <f t="shared" si="13"/>
        <v>毗邻道路的类型与等级</v>
      </c>
      <c r="AA28" s="1348">
        <f t="shared" si="3"/>
        <v>1</v>
      </c>
      <c r="AB28" s="1348">
        <f t="shared" si="4"/>
        <v>1</v>
      </c>
      <c r="AC28" s="1348">
        <f t="shared" si="5"/>
        <v>1</v>
      </c>
    </row>
    <row r="29" spans="1:29" ht="15">
      <c r="A29" s="377"/>
      <c r="B29" s="578"/>
      <c r="C29" s="396"/>
      <c r="D29" s="397"/>
      <c r="E29" s="1899"/>
      <c r="F29" s="397"/>
      <c r="G29" s="1899"/>
      <c r="H29" s="397"/>
      <c r="I29" s="1899"/>
      <c r="J29" s="397"/>
      <c r="K29" s="560"/>
      <c r="L29" s="2717"/>
      <c r="M29" s="2711"/>
      <c r="N29" s="2711"/>
      <c r="O29" s="2769"/>
      <c r="P29" s="4071"/>
      <c r="Q29" s="1347"/>
      <c r="R29" s="703"/>
      <c r="S29" s="704"/>
      <c r="T29" s="703"/>
      <c r="U29" s="704"/>
      <c r="V29" s="703"/>
      <c r="W29" s="704"/>
      <c r="X29" s="1350"/>
      <c r="Y29" s="4071"/>
      <c r="Z29" s="1351"/>
      <c r="AA29" s="1348">
        <v>1</v>
      </c>
      <c r="AB29" s="1348">
        <v>1</v>
      </c>
      <c r="AC29" s="1348">
        <v>1</v>
      </c>
    </row>
    <row r="30" spans="1:29" ht="15">
      <c r="A30" s="377"/>
      <c r="B30" s="600" t="s">
        <v>1873</v>
      </c>
      <c r="C30" s="1131">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7"/>
      <c r="M30" s="2711"/>
      <c r="N30" s="2711"/>
      <c r="O30" s="2769"/>
      <c r="P30" s="4071"/>
      <c r="Q30" s="1347" t="str">
        <f t="shared" si="8"/>
        <v>土地级别</v>
      </c>
      <c r="R30" s="703" t="s">
        <v>14</v>
      </c>
      <c r="S30" s="704">
        <f t="shared" si="10"/>
        <v>100</v>
      </c>
      <c r="T30" s="703" t="s">
        <v>14</v>
      </c>
      <c r="U30" s="704">
        <f t="shared" si="11"/>
        <v>100</v>
      </c>
      <c r="V30" s="703" t="s">
        <v>14</v>
      </c>
      <c r="W30" s="704">
        <f t="shared" si="12"/>
        <v>100</v>
      </c>
      <c r="X30" s="1350"/>
      <c r="Y30" s="4071"/>
      <c r="Z30" s="1351" t="str">
        <f t="shared" si="13"/>
        <v>土地级别</v>
      </c>
      <c r="AA30" s="1348">
        <f t="shared" si="3"/>
        <v>1</v>
      </c>
      <c r="AB30" s="1348">
        <f t="shared" si="4"/>
        <v>1</v>
      </c>
      <c r="AC30" s="1348">
        <f t="shared" si="5"/>
        <v>1</v>
      </c>
    </row>
    <row r="31" spans="1:29" ht="15">
      <c r="A31" s="356"/>
      <c r="B31" s="1961">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7"/>
      <c r="M31" s="2711"/>
      <c r="N31" s="2711"/>
      <c r="O31" s="2769"/>
      <c r="P31" s="4071"/>
      <c r="Q31" s="1347">
        <f t="shared" si="8"/>
        <v>111</v>
      </c>
      <c r="R31" s="703" t="s">
        <v>14</v>
      </c>
      <c r="S31" s="704">
        <f t="shared" si="10"/>
        <v>100</v>
      </c>
      <c r="T31" s="703" t="s">
        <v>14</v>
      </c>
      <c r="U31" s="704">
        <f t="shared" si="11"/>
        <v>100</v>
      </c>
      <c r="V31" s="703" t="s">
        <v>14</v>
      </c>
      <c r="W31" s="704">
        <f t="shared" si="12"/>
        <v>100</v>
      </c>
      <c r="X31" s="1350"/>
      <c r="Y31" s="4071"/>
      <c r="Z31" s="1351">
        <f t="shared" si="13"/>
        <v>111</v>
      </c>
      <c r="AA31" s="1348">
        <f t="shared" si="3"/>
        <v>1</v>
      </c>
      <c r="AB31" s="1348">
        <f t="shared" si="4"/>
        <v>1</v>
      </c>
      <c r="AC31" s="1348">
        <f t="shared" si="5"/>
        <v>1</v>
      </c>
    </row>
    <row r="32" spans="1:29" ht="15">
      <c r="A32" s="621"/>
      <c r="B32" s="1987">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7"/>
      <c r="M32" s="2711"/>
      <c r="N32" s="2711"/>
      <c r="O32" s="2769"/>
      <c r="P32" s="4126" t="s">
        <v>1696</v>
      </c>
      <c r="Q32" s="1347">
        <f t="shared" si="8"/>
        <v>111</v>
      </c>
      <c r="R32" s="703" t="s">
        <v>14</v>
      </c>
      <c r="S32" s="704">
        <f t="shared" si="10"/>
        <v>100</v>
      </c>
      <c r="T32" s="703" t="s">
        <v>14</v>
      </c>
      <c r="U32" s="704">
        <f t="shared" si="11"/>
        <v>100</v>
      </c>
      <c r="V32" s="703" t="s">
        <v>14</v>
      </c>
      <c r="W32" s="704">
        <f t="shared" si="12"/>
        <v>100</v>
      </c>
      <c r="X32" s="1350"/>
      <c r="Y32" s="4075" t="s">
        <v>1696</v>
      </c>
      <c r="Z32" s="1351">
        <f t="shared" si="13"/>
        <v>111</v>
      </c>
      <c r="AA32" s="1348">
        <f t="shared" si="3"/>
        <v>1</v>
      </c>
      <c r="AB32" s="1348">
        <f t="shared" si="4"/>
        <v>1</v>
      </c>
      <c r="AC32" s="1348">
        <f t="shared" si="5"/>
        <v>1</v>
      </c>
    </row>
    <row r="33" spans="1:31" s="420" customFormat="1" ht="15.75" thickBot="1">
      <c r="A33" s="622"/>
      <c r="B33" s="1988">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6"/>
      <c r="M33" s="2718"/>
      <c r="N33" s="2718"/>
      <c r="O33" s="2770"/>
      <c r="P33" s="4075"/>
      <c r="Q33" s="1347">
        <f t="shared" si="8"/>
        <v>111</v>
      </c>
      <c r="R33" s="706" t="s">
        <v>14</v>
      </c>
      <c r="S33" s="707">
        <f t="shared" si="10"/>
        <v>100</v>
      </c>
      <c r="T33" s="706" t="s">
        <v>14</v>
      </c>
      <c r="U33" s="707">
        <f t="shared" si="11"/>
        <v>100</v>
      </c>
      <c r="V33" s="706" t="s">
        <v>14</v>
      </c>
      <c r="W33" s="707">
        <f t="shared" si="12"/>
        <v>100</v>
      </c>
      <c r="X33" s="708"/>
      <c r="Y33" s="4075"/>
      <c r="Z33" s="709">
        <f t="shared" si="13"/>
        <v>111</v>
      </c>
      <c r="AA33" s="1348">
        <f t="shared" si="3"/>
        <v>1</v>
      </c>
      <c r="AB33" s="1348">
        <f t="shared" si="4"/>
        <v>1</v>
      </c>
      <c r="AC33" s="1348">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7"/>
      <c r="M34" s="2711"/>
      <c r="N34" s="2711"/>
      <c r="O34" s="2769"/>
      <c r="P34" s="4075"/>
      <c r="Q34" s="1347" t="str">
        <f>B34</f>
        <v>宗地面积</v>
      </c>
      <c r="R34" s="703" t="s">
        <v>14</v>
      </c>
      <c r="S34" s="704" t="e">
        <f t="shared" si="10"/>
        <v>#N/A</v>
      </c>
      <c r="T34" s="703" t="s">
        <v>14</v>
      </c>
      <c r="U34" s="704" t="e">
        <f t="shared" si="11"/>
        <v>#N/A</v>
      </c>
      <c r="V34" s="703" t="s">
        <v>14</v>
      </c>
      <c r="W34" s="704" t="e">
        <f t="shared" si="12"/>
        <v>#N/A</v>
      </c>
      <c r="X34" s="1350"/>
      <c r="Y34" s="4075"/>
      <c r="Z34" s="1351" t="str">
        <f t="shared" si="13"/>
        <v>宗地面积</v>
      </c>
      <c r="AA34" s="1348" t="e">
        <f t="shared" si="3"/>
        <v>#N/A</v>
      </c>
      <c r="AB34" s="1348" t="e">
        <f t="shared" si="4"/>
        <v>#N/A</v>
      </c>
      <c r="AC34" s="1348" t="e">
        <f t="shared" si="5"/>
        <v>#N/A</v>
      </c>
    </row>
    <row r="35" spans="1:31" ht="15">
      <c r="A35" s="421"/>
      <c r="B35" s="373" t="s">
        <v>1875</v>
      </c>
      <c r="C35" s="1901"/>
      <c r="D35" s="384">
        <v>100</v>
      </c>
      <c r="E35" s="1901"/>
      <c r="F35" s="384">
        <f>SUMIF(110:110,E35,111:111)-SUMIF(110:110,C35,111:111)+100</f>
        <v>100</v>
      </c>
      <c r="G35" s="1901"/>
      <c r="H35" s="384">
        <f>SUMIF(110:110,G35,111:111)-SUMIF(110:110,C35,111:111)+100</f>
        <v>100</v>
      </c>
      <c r="I35" s="1901"/>
      <c r="J35" s="384">
        <f>SUMIF(110:110,I35,111:111)-SUMIF(110:110,C35,111:111)+100</f>
        <v>100</v>
      </c>
      <c r="K35" s="559"/>
      <c r="L35" s="2717"/>
      <c r="M35" s="2711"/>
      <c r="N35" s="2711"/>
      <c r="O35" s="2769"/>
      <c r="P35" s="4075"/>
      <c r="Q35" s="1347" t="str">
        <f t="shared" ref="Q35:Q40" si="14">B35</f>
        <v>宗地形状</v>
      </c>
      <c r="R35" s="703" t="s">
        <v>14</v>
      </c>
      <c r="S35" s="704">
        <f t="shared" si="10"/>
        <v>100</v>
      </c>
      <c r="T35" s="703" t="s">
        <v>14</v>
      </c>
      <c r="U35" s="704">
        <f t="shared" si="11"/>
        <v>100</v>
      </c>
      <c r="V35" s="703" t="s">
        <v>14</v>
      </c>
      <c r="W35" s="704">
        <f t="shared" si="12"/>
        <v>100</v>
      </c>
      <c r="X35" s="1350"/>
      <c r="Y35" s="4075"/>
      <c r="Z35" s="1351" t="str">
        <f t="shared" si="13"/>
        <v>宗地形状</v>
      </c>
      <c r="AA35" s="1348">
        <f t="shared" si="3"/>
        <v>1</v>
      </c>
      <c r="AB35" s="1348">
        <f t="shared" si="4"/>
        <v>1</v>
      </c>
      <c r="AC35" s="1348">
        <f t="shared" si="5"/>
        <v>1</v>
      </c>
    </row>
    <row r="36" spans="1:31" s="106" customFormat="1" ht="15">
      <c r="A36" s="422"/>
      <c r="B36" s="373" t="s">
        <v>1877</v>
      </c>
      <c r="C36" s="1975"/>
      <c r="D36" s="125">
        <v>100</v>
      </c>
      <c r="E36" s="1975"/>
      <c r="F36" s="384">
        <f>SUMIF(112:112,E36,113:113)-SUMIF(112:112,C36,113:113)+100</f>
        <v>100</v>
      </c>
      <c r="G36" s="1975"/>
      <c r="H36" s="384">
        <f>SUMIF(112:112,G36,113:113)-SUMIF(112:112,C36,113:113)+100</f>
        <v>100</v>
      </c>
      <c r="I36" s="1975"/>
      <c r="J36" s="384">
        <f>SUMIF(112:112,I36,113:113)-SUMIF(112:112,C36,113:113)+100</f>
        <v>100</v>
      </c>
      <c r="K36" s="559"/>
      <c r="L36" s="2712"/>
      <c r="M36" s="2713"/>
      <c r="N36" s="2713"/>
      <c r="O36" s="2767"/>
      <c r="P36" s="4075"/>
      <c r="Q36" s="1347" t="str">
        <f t="shared" si="14"/>
        <v>宗地开发程度</v>
      </c>
      <c r="R36" s="699" t="s">
        <v>14</v>
      </c>
      <c r="S36" s="700">
        <f t="shared" si="10"/>
        <v>100</v>
      </c>
      <c r="T36" s="699" t="s">
        <v>14</v>
      </c>
      <c r="U36" s="700">
        <f t="shared" si="11"/>
        <v>100</v>
      </c>
      <c r="V36" s="699" t="s">
        <v>14</v>
      </c>
      <c r="W36" s="700">
        <f t="shared" si="12"/>
        <v>100</v>
      </c>
      <c r="X36" s="701"/>
      <c r="Y36" s="4075"/>
      <c r="Z36" s="50" t="str">
        <f t="shared" si="13"/>
        <v>宗地开发程度</v>
      </c>
      <c r="AA36" s="702">
        <f t="shared" si="3"/>
        <v>1</v>
      </c>
      <c r="AB36" s="702">
        <f t="shared" si="4"/>
        <v>1</v>
      </c>
      <c r="AC36" s="702">
        <f t="shared" si="5"/>
        <v>1</v>
      </c>
    </row>
    <row r="37" spans="1:31" ht="15">
      <c r="A37" s="421"/>
      <c r="B37" s="373" t="s">
        <v>1878</v>
      </c>
      <c r="C37" s="1901"/>
      <c r="D37" s="384">
        <v>100</v>
      </c>
      <c r="E37" s="1901"/>
      <c r="F37" s="384">
        <f>SUMIF(114:114,E37,115:115)-SUMIF(114:114,C37,115:115)+100</f>
        <v>100</v>
      </c>
      <c r="G37" s="1901"/>
      <c r="H37" s="384">
        <f>SUMIF(114:114,G37,115:115)-SUMIF(114:114,C37,115:115)+100</f>
        <v>100</v>
      </c>
      <c r="I37" s="1901"/>
      <c r="J37" s="384">
        <f>SUMIF(114:114,I37,115:115)-SUMIF(114:114,C37,115:115)+100</f>
        <v>100</v>
      </c>
      <c r="K37" s="559"/>
      <c r="L37" s="2717"/>
      <c r="M37" s="2711"/>
      <c r="N37" s="2711"/>
      <c r="O37" s="2769"/>
      <c r="P37" s="4075" t="s">
        <v>1696</v>
      </c>
      <c r="Q37" s="1347" t="str">
        <f t="shared" si="14"/>
        <v>工程地质条件</v>
      </c>
      <c r="R37" s="703" t="s">
        <v>14</v>
      </c>
      <c r="S37" s="704">
        <f t="shared" si="10"/>
        <v>100</v>
      </c>
      <c r="T37" s="703" t="s">
        <v>14</v>
      </c>
      <c r="U37" s="704">
        <f t="shared" si="11"/>
        <v>100</v>
      </c>
      <c r="V37" s="703" t="s">
        <v>14</v>
      </c>
      <c r="W37" s="704">
        <f t="shared" si="12"/>
        <v>100</v>
      </c>
      <c r="X37" s="1350"/>
      <c r="Y37" s="4075" t="s">
        <v>1696</v>
      </c>
      <c r="Z37" s="1351" t="str">
        <f t="shared" si="13"/>
        <v>工程地质条件</v>
      </c>
      <c r="AA37" s="1348">
        <f t="shared" si="3"/>
        <v>1</v>
      </c>
      <c r="AB37" s="1348">
        <f t="shared" si="4"/>
        <v>1</v>
      </c>
      <c r="AC37" s="1348">
        <f t="shared" si="5"/>
        <v>1</v>
      </c>
    </row>
    <row r="38" spans="1:31" ht="15">
      <c r="A38" s="421"/>
      <c r="B38" s="1129">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7"/>
      <c r="M38" s="2711"/>
      <c r="N38" s="2711"/>
      <c r="O38" s="2769"/>
      <c r="P38" s="4075"/>
      <c r="Q38" s="1347">
        <f t="shared" si="14"/>
        <v>111</v>
      </c>
      <c r="R38" s="703" t="s">
        <v>14</v>
      </c>
      <c r="S38" s="704">
        <f t="shared" si="10"/>
        <v>100</v>
      </c>
      <c r="T38" s="703" t="s">
        <v>14</v>
      </c>
      <c r="U38" s="704">
        <f t="shared" si="11"/>
        <v>100</v>
      </c>
      <c r="V38" s="703" t="s">
        <v>14</v>
      </c>
      <c r="W38" s="704">
        <f t="shared" si="12"/>
        <v>100</v>
      </c>
      <c r="X38" s="1350"/>
      <c r="Y38" s="4075"/>
      <c r="Z38" s="1351">
        <f t="shared" si="13"/>
        <v>111</v>
      </c>
      <c r="AA38" s="1348">
        <f t="shared" si="3"/>
        <v>1</v>
      </c>
      <c r="AB38" s="1348">
        <f t="shared" si="4"/>
        <v>1</v>
      </c>
      <c r="AC38" s="1348">
        <f t="shared" si="5"/>
        <v>1</v>
      </c>
    </row>
    <row r="39" spans="1:31" ht="15">
      <c r="A39" s="421"/>
      <c r="B39" s="1129">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7"/>
      <c r="M39" s="2711"/>
      <c r="N39" s="2711"/>
      <c r="O39" s="2769"/>
      <c r="P39" s="4075"/>
      <c r="Q39" s="1347">
        <f t="shared" si="14"/>
        <v>111</v>
      </c>
      <c r="R39" s="703" t="s">
        <v>14</v>
      </c>
      <c r="S39" s="704">
        <f t="shared" si="10"/>
        <v>100</v>
      </c>
      <c r="T39" s="703" t="s">
        <v>14</v>
      </c>
      <c r="U39" s="704">
        <f t="shared" si="11"/>
        <v>100</v>
      </c>
      <c r="V39" s="703" t="s">
        <v>14</v>
      </c>
      <c r="W39" s="704">
        <f t="shared" si="12"/>
        <v>100</v>
      </c>
      <c r="X39" s="1350"/>
      <c r="Y39" s="4075"/>
      <c r="Z39" s="1351">
        <f t="shared" si="13"/>
        <v>111</v>
      </c>
      <c r="AA39" s="1348">
        <f t="shared" si="3"/>
        <v>1</v>
      </c>
      <c r="AB39" s="1348">
        <f t="shared" si="4"/>
        <v>1</v>
      </c>
      <c r="AC39" s="1348">
        <f t="shared" si="5"/>
        <v>1</v>
      </c>
    </row>
    <row r="40" spans="1:31" s="420" customFormat="1" ht="15.75" thickBot="1">
      <c r="A40" s="417"/>
      <c r="B40" s="1129">
        <v>111</v>
      </c>
      <c r="C40" s="1976"/>
      <c r="D40" s="126">
        <v>100</v>
      </c>
      <c r="E40" s="620"/>
      <c r="F40" s="387">
        <f>SUMIF(120:120,E40,121:121)-SUMIF(120:120,C40,121:121)+100</f>
        <v>100</v>
      </c>
      <c r="G40" s="620"/>
      <c r="H40" s="387">
        <f>SUMIF(120:120,G40,121:121)-SUMIF(120:120,C40,121:121)+100</f>
        <v>100</v>
      </c>
      <c r="I40" s="496"/>
      <c r="J40" s="387">
        <f>SUMIF(120:120,I40,121:121)-SUMIF(120:120,C40,121:121)+100</f>
        <v>100</v>
      </c>
      <c r="K40" s="627"/>
      <c r="L40" s="2716"/>
      <c r="M40" s="2718"/>
      <c r="N40" s="2718"/>
      <c r="O40" s="2770"/>
      <c r="P40" s="4075"/>
      <c r="Q40" s="1347">
        <f t="shared" si="14"/>
        <v>111</v>
      </c>
      <c r="R40" s="706" t="s">
        <v>14</v>
      </c>
      <c r="S40" s="707">
        <f t="shared" si="10"/>
        <v>100</v>
      </c>
      <c r="T40" s="706" t="s">
        <v>14</v>
      </c>
      <c r="U40" s="707">
        <f t="shared" si="11"/>
        <v>100</v>
      </c>
      <c r="V40" s="706" t="s">
        <v>14</v>
      </c>
      <c r="W40" s="707">
        <f t="shared" si="12"/>
        <v>100</v>
      </c>
      <c r="X40" s="708"/>
      <c r="Y40" s="4075"/>
      <c r="Z40" s="709">
        <f t="shared" si="13"/>
        <v>111</v>
      </c>
      <c r="AA40" s="1348">
        <f t="shared" si="3"/>
        <v>1</v>
      </c>
      <c r="AB40" s="1348">
        <f t="shared" si="4"/>
        <v>1</v>
      </c>
      <c r="AC40" s="1348">
        <f t="shared" si="5"/>
        <v>1</v>
      </c>
    </row>
    <row r="41" spans="1:31" ht="15">
      <c r="A41" s="428" t="s">
        <v>1844</v>
      </c>
      <c r="B41" s="1977" t="s">
        <v>1922</v>
      </c>
      <c r="C41" s="628" t="s">
        <v>0</v>
      </c>
      <c r="D41" s="430"/>
      <c r="E41" s="431"/>
      <c r="F41" s="432"/>
      <c r="G41" s="433"/>
      <c r="H41" s="434"/>
      <c r="I41" s="431"/>
      <c r="J41" s="434"/>
      <c r="K41" s="712"/>
      <c r="L41" s="2719"/>
      <c r="M41" s="2711"/>
      <c r="N41" s="2711"/>
      <c r="O41" s="2720"/>
      <c r="P41" s="4068" t="str">
        <f>A41</f>
        <v>成交单价</v>
      </c>
      <c r="Q41" s="4068"/>
      <c r="R41" s="4099">
        <f>E41</f>
        <v>0</v>
      </c>
      <c r="S41" s="4099"/>
      <c r="T41" s="4099">
        <f>G41</f>
        <v>0</v>
      </c>
      <c r="U41" s="4099"/>
      <c r="V41" s="4099">
        <f>I41</f>
        <v>0</v>
      </c>
      <c r="W41" s="4099"/>
      <c r="X41" s="688"/>
      <c r="Y41" s="710"/>
      <c r="Z41" s="688"/>
      <c r="AA41" s="688"/>
      <c r="AB41" s="688"/>
      <c r="AC41" s="688"/>
    </row>
    <row r="42" spans="1:31" ht="15.75" thickBot="1">
      <c r="A42" s="435" t="s">
        <v>1793</v>
      </c>
      <c r="B42" s="629"/>
      <c r="C42" s="438" t="e">
        <f>R43</f>
        <v>#DIV/0!</v>
      </c>
      <c r="D42" s="2312" t="s">
        <v>2138</v>
      </c>
      <c r="E42" s="438" t="e">
        <f>R42</f>
        <v>#DIV/0!</v>
      </c>
      <c r="F42" s="2313"/>
      <c r="G42" s="437" t="e">
        <f>T42</f>
        <v>#DIV/0!</v>
      </c>
      <c r="H42" s="2313"/>
      <c r="I42" s="438" t="e">
        <f>V42</f>
        <v>#DIV/0!</v>
      </c>
      <c r="J42" s="2313"/>
      <c r="K42" s="2315">
        <f>F42+H42+J42</f>
        <v>0</v>
      </c>
      <c r="L42" s="2719"/>
      <c r="M42" s="2711"/>
      <c r="N42" s="2711"/>
      <c r="O42" s="2720"/>
      <c r="P42" s="4068" t="str">
        <f>A42</f>
        <v>比较价值（元/平方米）</v>
      </c>
      <c r="Q42" s="4068"/>
      <c r="R42" s="4128" t="e">
        <f>ROUND(PRODUCT(R41,AA7:AA40),0)</f>
        <v>#DIV/0!</v>
      </c>
      <c r="S42" s="4128"/>
      <c r="T42" s="4128" t="e">
        <f>ROUND(PRODUCT(T41,AB7:AB40),0)</f>
        <v>#DIV/0!</v>
      </c>
      <c r="U42" s="4128"/>
      <c r="V42" s="4128" t="e">
        <f>ROUND(PRODUCT(V41,AC7:AC40),0)</f>
        <v>#DIV/0!</v>
      </c>
      <c r="W42" s="4128"/>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19"/>
      <c r="M43" s="2711"/>
      <c r="N43" s="2711"/>
      <c r="O43" s="2720"/>
      <c r="P43" s="4065" t="str">
        <f>A43</f>
        <v>估价对象XX用房的比较价值（楼面单价，元/平方米）</v>
      </c>
      <c r="Q43" s="4066"/>
      <c r="R43" s="4129" t="e">
        <f>ROUND(IF(D42="简单平均",AVERAGE(R42:W42),R42*F42+T42*H42+V42*J42),0)</f>
        <v>#DIV/0!</v>
      </c>
      <c r="S43" s="4129"/>
      <c r="T43" s="4129"/>
      <c r="U43" s="4129"/>
      <c r="V43" s="4129"/>
      <c r="W43" s="4129"/>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9"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0" t="s">
        <v>1881</v>
      </c>
      <c r="B50" s="631" t="s">
        <v>1882</v>
      </c>
      <c r="C50" s="1978" t="s">
        <v>1883</v>
      </c>
      <c r="D50" s="1979" t="s">
        <v>1884</v>
      </c>
      <c r="E50" s="632" t="s">
        <v>1885</v>
      </c>
      <c r="F50" s="633" t="s">
        <v>1886</v>
      </c>
      <c r="G50" s="4083" t="s">
        <v>1887</v>
      </c>
      <c r="H50" s="4130"/>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8" customFormat="1">
      <c r="A51" s="634" t="s">
        <v>1890</v>
      </c>
      <c r="B51" s="635" t="e">
        <f>C43</f>
        <v>#DIV/0!</v>
      </c>
      <c r="C51" s="636">
        <v>1</v>
      </c>
      <c r="D51" s="939">
        <v>1</v>
      </c>
      <c r="E51" s="636">
        <f>'数据-汇总表'!E8+'数据-汇总表'!E9</f>
        <v>49913.509999999995</v>
      </c>
      <c r="F51" s="637" t="e">
        <f t="shared" ref="F51:F60" si="15">ROUND(B51*E51/10000,0)</f>
        <v>#DIV/0!</v>
      </c>
      <c r="G51" s="4079"/>
      <c r="H51" s="4068"/>
      <c r="I51" s="768">
        <v>1</v>
      </c>
      <c r="J51" s="768">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8" customFormat="1">
      <c r="A52" s="639" t="s">
        <v>1891</v>
      </c>
      <c r="B52" s="216" t="e">
        <f>ROUND($C$43*C52*D52,0)</f>
        <v>#DIV/0!</v>
      </c>
      <c r="C52" s="169">
        <f t="shared" ref="C52:C60" si="16">IF($C$50="北京市系数",I52,J52)</f>
        <v>0.7</v>
      </c>
      <c r="D52" s="940">
        <v>0.25</v>
      </c>
      <c r="E52" s="640"/>
      <c r="F52" s="637" t="e">
        <f t="shared" si="15"/>
        <v>#DIV/0!</v>
      </c>
      <c r="G52" s="2997" t="s">
        <v>1892</v>
      </c>
      <c r="H52" s="882" t="str">
        <f>项目基本情况!B37</f>
        <v>一级</v>
      </c>
      <c r="I52" s="768">
        <f>SUMIF(修正!A57:A68,H52,修正!B57:B68)</f>
        <v>0.7</v>
      </c>
      <c r="J52" s="769"/>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8" customFormat="1">
      <c r="A53" s="639" t="s">
        <v>1893</v>
      </c>
      <c r="B53" s="216" t="e">
        <f t="shared" ref="B53:B60" si="17">ROUND($C$43*C53*D53,0)</f>
        <v>#DIV/0!</v>
      </c>
      <c r="C53" s="169">
        <f t="shared" si="16"/>
        <v>0.4</v>
      </c>
      <c r="D53" s="940">
        <v>0.25</v>
      </c>
      <c r="E53" s="640"/>
      <c r="F53" s="637" t="e">
        <f t="shared" si="15"/>
        <v>#DIV/0!</v>
      </c>
      <c r="G53" s="2998"/>
      <c r="H53" s="882" t="str">
        <f>项目基本情况!B37</f>
        <v>一级</v>
      </c>
      <c r="I53" s="768">
        <f>SUMIF(修正!A57:A68,H53,修正!C57:C68)</f>
        <v>0.4</v>
      </c>
      <c r="J53" s="769"/>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8" customFormat="1">
      <c r="A54" s="639" t="s">
        <v>1894</v>
      </c>
      <c r="B54" s="216" t="e">
        <f t="shared" si="17"/>
        <v>#DIV/0!</v>
      </c>
      <c r="C54" s="169">
        <f t="shared" si="16"/>
        <v>0.3</v>
      </c>
      <c r="D54" s="940">
        <v>0.25</v>
      </c>
      <c r="E54" s="640"/>
      <c r="F54" s="637" t="e">
        <f t="shared" si="15"/>
        <v>#DIV/0!</v>
      </c>
      <c r="G54" s="2998"/>
      <c r="H54" s="882" t="str">
        <f>项目基本情况!B37</f>
        <v>一级</v>
      </c>
      <c r="I54" s="768">
        <f>SUMIF(修正!A57:A68,H54,修正!D57:D68)</f>
        <v>0.3</v>
      </c>
      <c r="J54" s="769"/>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8" customFormat="1" hidden="1">
      <c r="A55" s="639"/>
      <c r="B55" s="216"/>
      <c r="C55" s="169"/>
      <c r="D55" s="940"/>
      <c r="E55" s="640"/>
      <c r="F55" s="637"/>
      <c r="G55" s="2999"/>
      <c r="H55" s="882"/>
      <c r="I55" s="768"/>
      <c r="J55" s="769"/>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8" customFormat="1">
      <c r="A56" s="639" t="s">
        <v>1895</v>
      </c>
      <c r="B56" s="216" t="e">
        <f t="shared" si="17"/>
        <v>#DIV/0!</v>
      </c>
      <c r="C56" s="169">
        <f t="shared" si="16"/>
        <v>0</v>
      </c>
      <c r="D56" s="940">
        <v>0.25</v>
      </c>
      <c r="E56" s="215">
        <f>'数据-汇总表'!E11</f>
        <v>0</v>
      </c>
      <c r="F56" s="637" t="e">
        <f t="shared" si="15"/>
        <v>#DIV/0!</v>
      </c>
      <c r="G56" s="1982" t="s">
        <v>1896</v>
      </c>
      <c r="H56" s="882">
        <f>项目基本情况!C37</f>
        <v>0</v>
      </c>
      <c r="I56" s="768">
        <f>SUMIF(修正!A57:A68,H56,修正!E57:E68)</f>
        <v>0</v>
      </c>
      <c r="J56" s="769"/>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8" customFormat="1">
      <c r="A57" s="639" t="s">
        <v>1897</v>
      </c>
      <c r="B57" s="216" t="e">
        <f t="shared" si="17"/>
        <v>#DIV/0!</v>
      </c>
      <c r="C57" s="169">
        <f t="shared" si="16"/>
        <v>0</v>
      </c>
      <c r="D57" s="940">
        <v>0.25</v>
      </c>
      <c r="E57" s="215">
        <f>'数据-汇总表'!E12</f>
        <v>0</v>
      </c>
      <c r="F57" s="637" t="e">
        <f t="shared" si="15"/>
        <v>#DIV/0!</v>
      </c>
      <c r="G57" s="887" t="s">
        <v>1898</v>
      </c>
      <c r="H57" s="882">
        <f>IF(G57="商业",项目基本情况!B37,IF(G57="办公",项目基本情况!C37,IF(G57="住宅",项目基本情况!D37,项目基本情况!E37)))</f>
        <v>0</v>
      </c>
      <c r="I57" s="768">
        <f>SUMIF(修正!A57:A68,H57,修正!F57:F68)</f>
        <v>0</v>
      </c>
      <c r="J57" s="769"/>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8" customFormat="1">
      <c r="A58" s="639" t="s">
        <v>1899</v>
      </c>
      <c r="B58" s="216" t="e">
        <f t="shared" si="17"/>
        <v>#DIV/0!</v>
      </c>
      <c r="C58" s="169">
        <f t="shared" si="16"/>
        <v>0.2</v>
      </c>
      <c r="D58" s="940">
        <v>0.25</v>
      </c>
      <c r="E58" s="215">
        <f>'数据-汇总表'!E13</f>
        <v>4264.3</v>
      </c>
      <c r="F58" s="637" t="e">
        <f t="shared" si="15"/>
        <v>#DIV/0!</v>
      </c>
      <c r="G58" s="887" t="s">
        <v>1900</v>
      </c>
      <c r="H58" s="882" t="str">
        <f>IF(G58="商业",项目基本情况!B37,IF(G58="办公",项目基本情况!C37,IF(G58="住宅",项目基本情况!D37,项目基本情况!E37)))</f>
        <v>一级</v>
      </c>
      <c r="I58" s="768">
        <f>SUMIF(修正!A57:A68,H58,修正!G57:G68)</f>
        <v>0.2</v>
      </c>
      <c r="J58" s="769"/>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8" customFormat="1">
      <c r="A59" s="639" t="s">
        <v>1901</v>
      </c>
      <c r="B59" s="216" t="e">
        <f t="shared" si="17"/>
        <v>#DIV/0!</v>
      </c>
      <c r="C59" s="169">
        <f t="shared" si="16"/>
        <v>0.2</v>
      </c>
      <c r="D59" s="940">
        <v>0.25</v>
      </c>
      <c r="E59" s="215">
        <f>'数据-汇总表'!E14</f>
        <v>0</v>
      </c>
      <c r="F59" s="637" t="e">
        <f t="shared" si="15"/>
        <v>#DIV/0!</v>
      </c>
      <c r="G59" s="1982" t="s">
        <v>1892</v>
      </c>
      <c r="H59" s="882" t="str">
        <f>项目基本情况!B37</f>
        <v>一级</v>
      </c>
      <c r="I59" s="768">
        <f>SUMIF(修正!A57:A68,H59,修正!G57:G68)</f>
        <v>0.2</v>
      </c>
      <c r="J59" s="769"/>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8" customFormat="1" ht="15" thickBot="1">
      <c r="A60" s="639" t="s">
        <v>1902</v>
      </c>
      <c r="B60" s="216" t="e">
        <f t="shared" si="17"/>
        <v>#DIV/0!</v>
      </c>
      <c r="C60" s="169">
        <f t="shared" si="16"/>
        <v>0</v>
      </c>
      <c r="D60" s="940">
        <v>0.25</v>
      </c>
      <c r="E60" s="215">
        <f>'数据-汇总表'!E15</f>
        <v>0</v>
      </c>
      <c r="F60" s="637" t="e">
        <f t="shared" si="15"/>
        <v>#DIV/0!</v>
      </c>
      <c r="G60" s="1983" t="s">
        <v>1896</v>
      </c>
      <c r="H60" s="892">
        <f>项目基本情况!C37</f>
        <v>0</v>
      </c>
      <c r="I60" s="768">
        <f>SUMIF(修正!A57:A68,H60,修正!G57:G68)</f>
        <v>0</v>
      </c>
      <c r="J60" s="769"/>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8" customFormat="1" ht="15" thickBot="1">
      <c r="A61" s="641" t="s">
        <v>1903</v>
      </c>
      <c r="B61" s="642" t="s">
        <v>22</v>
      </c>
      <c r="C61" s="642" t="s">
        <v>23</v>
      </c>
      <c r="D61" s="642" t="s">
        <v>392</v>
      </c>
      <c r="E61" s="642">
        <f>IF(B41="楼面地价",SUM(E51:E60),'数据-汇总表'!D3)</f>
        <v>6245.0829999999996</v>
      </c>
      <c r="F61" s="643" t="e">
        <f>IF(B41="楼面地价",SUM(F51:F60),ROUND(C43*E61/10000,0))</f>
        <v>#DIV/0!</v>
      </c>
      <c r="G61" s="934"/>
      <c r="H61" s="934"/>
      <c r="I61" s="934"/>
      <c r="J61" s="934"/>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2"/>
      <c r="B62" s="924"/>
      <c r="C62" s="926"/>
      <c r="D62" s="922"/>
      <c r="E62" s="922"/>
      <c r="F62" s="922"/>
      <c r="G62" s="922"/>
      <c r="H62" s="922"/>
      <c r="I62" s="922"/>
      <c r="J62" s="922"/>
      <c r="K62" s="883"/>
      <c r="L62" s="884"/>
      <c r="M62" s="922"/>
      <c r="N62" s="922"/>
      <c r="O62" s="922"/>
      <c r="P62" s="2720"/>
      <c r="Q62" s="2720"/>
      <c r="R62" s="2720"/>
      <c r="S62" s="2720"/>
      <c r="T62" s="2720"/>
      <c r="U62" s="2720"/>
      <c r="V62" s="2720"/>
      <c r="W62" s="2720"/>
      <c r="X62" s="2720"/>
      <c r="Y62" s="2720"/>
      <c r="Z62" s="2720"/>
      <c r="AA62" s="2720"/>
      <c r="AB62" s="2720"/>
      <c r="AC62" s="2720"/>
      <c r="AD62" s="2720"/>
      <c r="AE62" s="2720"/>
    </row>
    <row r="63" spans="1:31">
      <c r="A63" s="922"/>
      <c r="B63" s="924"/>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2" t="s">
        <v>1798</v>
      </c>
      <c r="B64" s="688"/>
      <c r="C64" s="693"/>
      <c r="D64" s="693"/>
      <c r="E64" s="693"/>
      <c r="F64" s="694"/>
      <c r="G64" s="694"/>
      <c r="H64" s="693"/>
      <c r="I64" s="693"/>
      <c r="J64" s="693"/>
      <c r="K64" s="695"/>
      <c r="L64" s="696"/>
      <c r="M64" s="693"/>
      <c r="N64" s="693"/>
      <c r="O64" s="935"/>
      <c r="P64" s="2764"/>
      <c r="Q64" s="2734"/>
      <c r="R64" s="2720"/>
      <c r="S64" s="2720"/>
      <c r="T64" s="2720"/>
      <c r="U64" s="2720"/>
      <c r="V64" s="2720"/>
      <c r="W64" s="2720"/>
      <c r="X64" s="2720"/>
      <c r="Y64" s="2720"/>
      <c r="Z64" s="2720"/>
      <c r="AA64" s="2720"/>
      <c r="AB64" s="2720"/>
      <c r="AC64" s="2720"/>
      <c r="AD64" s="2720"/>
      <c r="AE64" s="2720"/>
    </row>
    <row r="65" spans="1:31" s="455" customFormat="1" ht="15">
      <c r="A65" s="1984" t="s">
        <v>1904</v>
      </c>
      <c r="B65" s="1104"/>
      <c r="C65" s="1177" t="str">
        <f>YEAR(C63)&amp;"-"&amp;ROUNDUP(MONTH(C63)/3,0)</f>
        <v>2023-4</v>
      </c>
      <c r="D65" s="1177" t="str">
        <f t="shared" ref="D65:O65" si="19">YEAR(D63)&amp;"-"&amp;ROUNDUP(MONTH(D63)/3,0)</f>
        <v>2023-3</v>
      </c>
      <c r="E65" s="1177" t="str">
        <f t="shared" si="19"/>
        <v>2023-2</v>
      </c>
      <c r="F65" s="1177" t="str">
        <f t="shared" si="19"/>
        <v>2023-1</v>
      </c>
      <c r="G65" s="1177" t="str">
        <f t="shared" si="19"/>
        <v>2022-4</v>
      </c>
      <c r="H65" s="1177" t="str">
        <f t="shared" si="19"/>
        <v>2022-3</v>
      </c>
      <c r="I65" s="1177" t="str">
        <f t="shared" si="19"/>
        <v>2022-2</v>
      </c>
      <c r="J65" s="1177" t="str">
        <f t="shared" si="19"/>
        <v>2022-1</v>
      </c>
      <c r="K65" s="1177" t="str">
        <f t="shared" si="19"/>
        <v>2021-4</v>
      </c>
      <c r="L65" s="1177" t="str">
        <f t="shared" si="19"/>
        <v>2021-3</v>
      </c>
      <c r="M65" s="1177" t="str">
        <f t="shared" si="19"/>
        <v>2021-2</v>
      </c>
      <c r="N65" s="1177" t="str">
        <f t="shared" si="19"/>
        <v>2021-1</v>
      </c>
      <c r="O65" s="1177" t="str">
        <f t="shared" si="19"/>
        <v>2020-4</v>
      </c>
      <c r="P65" s="2771"/>
      <c r="Q65" s="2736"/>
      <c r="R65" s="2736"/>
      <c r="S65" s="2736"/>
      <c r="T65" s="2736"/>
      <c r="U65" s="2736"/>
      <c r="V65" s="2736"/>
      <c r="W65" s="2736"/>
      <c r="X65" s="2736"/>
      <c r="Y65" s="2736"/>
      <c r="Z65" s="2736"/>
      <c r="AA65" s="2736"/>
      <c r="AB65" s="2736"/>
      <c r="AC65" s="2736"/>
      <c r="AD65" s="2736"/>
      <c r="AE65" s="2736"/>
    </row>
    <row r="66" spans="1:31" s="106" customFormat="1" ht="30.75" customHeight="1">
      <c r="A66" s="1989" t="s">
        <v>1924</v>
      </c>
      <c r="B66" s="286" t="str">
        <f>"北京市平均增长率"&amp;TEXT('基准地价修正-商业'!P28,"0.00%")</f>
        <v>北京市平均增长率0.00%</v>
      </c>
      <c r="C66" s="550">
        <v>100</v>
      </c>
      <c r="D66" s="542"/>
      <c r="E66" s="542"/>
      <c r="F66" s="542"/>
      <c r="G66" s="542"/>
      <c r="H66" s="542"/>
      <c r="I66" s="542"/>
      <c r="J66" s="542"/>
      <c r="K66" s="542"/>
      <c r="L66" s="542"/>
      <c r="M66" s="1173"/>
      <c r="N66" s="1173"/>
      <c r="O66" s="1175"/>
      <c r="P66" s="2734"/>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4"/>
      <c r="Q67" s="2734"/>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7"/>
      <c r="O68" s="2747"/>
      <c r="P68" s="2772"/>
      <c r="Q68" s="2734"/>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7"/>
      <c r="O69" s="2747"/>
      <c r="P69" s="2734"/>
      <c r="Q69" s="2734"/>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1"/>
      <c r="B71" s="482"/>
      <c r="C71" s="483"/>
      <c r="D71" s="483"/>
      <c r="E71" s="483"/>
      <c r="F71" s="483"/>
      <c r="G71" s="483"/>
      <c r="H71" s="483"/>
      <c r="I71" s="483"/>
      <c r="J71" s="483"/>
      <c r="K71" s="483"/>
      <c r="L71" s="483"/>
      <c r="M71" s="484"/>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1"/>
      <c r="B72" s="485" t="s">
        <v>1688</v>
      </c>
      <c r="C72" s="486"/>
      <c r="D72" s="486"/>
      <c r="E72" s="486"/>
      <c r="F72" s="486"/>
      <c r="G72" s="486"/>
      <c r="H72" s="486"/>
      <c r="I72" s="486"/>
      <c r="J72" s="486"/>
      <c r="K72" s="487"/>
      <c r="L72" s="488"/>
      <c r="M72" s="489"/>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1"/>
      <c r="B73" s="490"/>
      <c r="C73" s="491"/>
      <c r="D73" s="491"/>
      <c r="E73" s="491"/>
      <c r="F73" s="491"/>
      <c r="G73" s="491"/>
      <c r="H73" s="491"/>
      <c r="I73" s="491"/>
      <c r="J73" s="491"/>
      <c r="K73" s="491"/>
      <c r="L73" s="491"/>
      <c r="M73" s="492"/>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1"/>
      <c r="B75" s="495"/>
      <c r="C75" s="496"/>
      <c r="D75" s="496"/>
      <c r="E75" s="496"/>
      <c r="F75" s="496"/>
      <c r="G75" s="496"/>
      <c r="H75" s="496"/>
      <c r="I75" s="496"/>
      <c r="J75" s="496"/>
      <c r="K75" s="497"/>
      <c r="L75" s="498"/>
      <c r="M75" s="499"/>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0" customFormat="1" ht="15.75" thickTop="1">
      <c r="A77" s="500"/>
      <c r="B77" s="485">
        <f>B12</f>
        <v>111</v>
      </c>
      <c r="C77" s="501"/>
      <c r="D77" s="501"/>
      <c r="E77" s="501"/>
      <c r="F77" s="501"/>
      <c r="G77" s="501"/>
      <c r="H77" s="502"/>
      <c r="I77" s="502"/>
      <c r="J77" s="502"/>
      <c r="K77" s="502"/>
      <c r="L77" s="503"/>
      <c r="M77" s="504"/>
      <c r="N77" s="2750"/>
      <c r="O77" s="2750"/>
      <c r="P77" s="2774"/>
      <c r="Q77" s="2741"/>
      <c r="R77" s="2742"/>
      <c r="S77" s="2742"/>
      <c r="T77" s="2742"/>
      <c r="U77" s="2742"/>
      <c r="V77" s="2742"/>
      <c r="W77" s="2742"/>
      <c r="X77" s="2742"/>
      <c r="Y77" s="2742"/>
      <c r="Z77" s="2742"/>
      <c r="AA77" s="2742"/>
      <c r="AB77" s="2742"/>
      <c r="AC77" s="2742"/>
      <c r="AD77" s="2742"/>
      <c r="AE77" s="2742"/>
    </row>
    <row r="78" spans="1:31" s="420" customFormat="1" ht="15.75" thickBot="1">
      <c r="A78" s="500"/>
      <c r="B78" s="490"/>
      <c r="C78" s="507"/>
      <c r="D78" s="483"/>
      <c r="E78" s="483"/>
      <c r="F78" s="483"/>
      <c r="G78" s="483"/>
      <c r="H78" s="483"/>
      <c r="I78" s="483"/>
      <c r="J78" s="483"/>
      <c r="K78" s="483"/>
      <c r="L78" s="483"/>
      <c r="M78" s="484"/>
      <c r="N78" s="2749"/>
      <c r="O78" s="2749"/>
      <c r="P78" s="2774"/>
      <c r="Q78" s="2741"/>
      <c r="R78" s="2742"/>
      <c r="S78" s="2742"/>
      <c r="T78" s="2742"/>
      <c r="U78" s="2742"/>
      <c r="V78" s="2742"/>
      <c r="W78" s="2742"/>
      <c r="X78" s="2742"/>
      <c r="Y78" s="2742"/>
      <c r="Z78" s="2742"/>
      <c r="AA78" s="2742"/>
      <c r="AB78" s="2742"/>
      <c r="AC78" s="2742"/>
      <c r="AD78" s="2742"/>
      <c r="AE78" s="2742"/>
    </row>
    <row r="79" spans="1:31" s="420" customFormat="1" ht="15.75" thickTop="1">
      <c r="A79" s="500"/>
      <c r="B79" s="485">
        <f>B13</f>
        <v>111</v>
      </c>
      <c r="C79" s="501"/>
      <c r="D79" s="501"/>
      <c r="E79" s="501"/>
      <c r="F79" s="501"/>
      <c r="G79" s="501"/>
      <c r="H79" s="502"/>
      <c r="I79" s="502"/>
      <c r="J79" s="502"/>
      <c r="K79" s="502"/>
      <c r="L79" s="503"/>
      <c r="M79" s="504"/>
      <c r="N79" s="2750"/>
      <c r="O79" s="2750"/>
      <c r="P79" s="2718"/>
      <c r="Q79" s="2744"/>
      <c r="R79" s="2742"/>
      <c r="S79" s="2742"/>
      <c r="T79" s="2742"/>
      <c r="U79" s="2742"/>
      <c r="V79" s="2742"/>
      <c r="W79" s="2742"/>
      <c r="X79" s="2742"/>
      <c r="Y79" s="2742"/>
      <c r="Z79" s="2742"/>
      <c r="AA79" s="2742"/>
      <c r="AB79" s="2742"/>
      <c r="AC79" s="2742"/>
      <c r="AD79" s="2742"/>
      <c r="AE79" s="2742"/>
    </row>
    <row r="80" spans="1:31" s="420" customFormat="1" ht="15.75" thickBot="1">
      <c r="A80" s="500"/>
      <c r="B80" s="490"/>
      <c r="C80" s="507"/>
      <c r="D80" s="507"/>
      <c r="E80" s="507"/>
      <c r="F80" s="507"/>
      <c r="G80" s="507"/>
      <c r="H80" s="509"/>
      <c r="I80" s="509"/>
      <c r="J80" s="509"/>
      <c r="K80" s="509"/>
      <c r="L80" s="509"/>
      <c r="M80" s="510"/>
      <c r="N80" s="2750"/>
      <c r="O80" s="2750"/>
      <c r="P80" s="2774"/>
      <c r="Q80" s="2741"/>
      <c r="R80" s="2742"/>
      <c r="S80" s="2742"/>
      <c r="T80" s="2742"/>
      <c r="U80" s="2742"/>
      <c r="V80" s="2742"/>
      <c r="W80" s="2742"/>
      <c r="X80" s="2742"/>
      <c r="Y80" s="2742"/>
      <c r="Z80" s="2742"/>
      <c r="AA80" s="2742"/>
      <c r="AB80" s="2742"/>
      <c r="AC80" s="2742"/>
      <c r="AD80" s="2742"/>
      <c r="AE80" s="2742"/>
    </row>
    <row r="81" spans="1:31" s="420" customFormat="1" ht="15.75" thickTop="1">
      <c r="A81" s="500"/>
      <c r="B81" s="493">
        <f>B14</f>
        <v>111</v>
      </c>
      <c r="C81" s="470"/>
      <c r="D81" s="470"/>
      <c r="E81" s="470"/>
      <c r="F81" s="470"/>
      <c r="G81" s="470"/>
      <c r="H81" s="511"/>
      <c r="I81" s="511"/>
      <c r="J81" s="511"/>
      <c r="K81" s="511"/>
      <c r="L81" s="512"/>
      <c r="M81" s="513"/>
      <c r="N81" s="2750"/>
      <c r="O81" s="2750"/>
      <c r="P81" s="2779"/>
      <c r="Q81" s="2741"/>
      <c r="R81" s="2742"/>
      <c r="S81" s="2742"/>
      <c r="T81" s="2742"/>
      <c r="U81" s="2742"/>
      <c r="V81" s="2742"/>
      <c r="W81" s="2742"/>
      <c r="X81" s="2742"/>
      <c r="Y81" s="2742"/>
      <c r="Z81" s="2742"/>
      <c r="AA81" s="2742"/>
      <c r="AB81" s="2742"/>
      <c r="AC81" s="2742"/>
      <c r="AD81" s="2742"/>
      <c r="AE81" s="2742"/>
    </row>
    <row r="82" spans="1:31" s="420" customFormat="1" ht="15.75" thickBot="1">
      <c r="A82" s="515"/>
      <c r="B82" s="516"/>
      <c r="C82" s="517"/>
      <c r="D82" s="517"/>
      <c r="E82" s="517"/>
      <c r="F82" s="517"/>
      <c r="G82" s="517"/>
      <c r="H82" s="518"/>
      <c r="I82" s="518"/>
      <c r="J82" s="518"/>
      <c r="K82" s="518"/>
      <c r="L82" s="518"/>
      <c r="M82" s="519"/>
      <c r="N82" s="2750"/>
      <c r="O82" s="2750"/>
      <c r="P82" s="2774"/>
      <c r="Q82" s="2741"/>
      <c r="R82" s="2742"/>
      <c r="S82" s="2742"/>
      <c r="T82" s="2742"/>
      <c r="U82" s="2742"/>
      <c r="V82" s="2742"/>
      <c r="W82" s="2742"/>
      <c r="X82" s="2742"/>
      <c r="Y82" s="2742"/>
      <c r="Z82" s="2742"/>
      <c r="AA82" s="2742"/>
      <c r="AB82" s="2742"/>
      <c r="AC82" s="2742"/>
      <c r="AD82" s="2742"/>
      <c r="AE82" s="2742"/>
    </row>
    <row r="83" spans="1:31">
      <c r="A83" s="474" t="s">
        <v>1690</v>
      </c>
      <c r="B83" s="475" t="s">
        <v>1829</v>
      </c>
      <c r="C83" s="520" t="s">
        <v>1721</v>
      </c>
      <c r="D83" s="520" t="s">
        <v>1722</v>
      </c>
      <c r="E83" s="520" t="s">
        <v>1723</v>
      </c>
      <c r="F83" s="520" t="s">
        <v>1724</v>
      </c>
      <c r="G83" s="520" t="s">
        <v>1725</v>
      </c>
      <c r="H83" s="476"/>
      <c r="I83" s="476"/>
      <c r="J83" s="476"/>
      <c r="K83" s="521"/>
      <c r="L83" s="522"/>
      <c r="M83" s="523"/>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1"/>
      <c r="B85" s="485" t="s">
        <v>1726</v>
      </c>
      <c r="C85" s="525" t="s">
        <v>1721</v>
      </c>
      <c r="D85" s="525" t="s">
        <v>1722</v>
      </c>
      <c r="E85" s="525" t="s">
        <v>1723</v>
      </c>
      <c r="F85" s="525" t="s">
        <v>1724</v>
      </c>
      <c r="G85" s="525" t="s">
        <v>1725</v>
      </c>
      <c r="H85" s="486"/>
      <c r="I85" s="486"/>
      <c r="J85" s="486"/>
      <c r="K85" s="487"/>
      <c r="L85" s="488"/>
      <c r="M85" s="489"/>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9"/>
      <c r="O86" s="2749"/>
      <c r="P86" s="2773"/>
      <c r="Q86" s="2734"/>
      <c r="R86" s="2720"/>
      <c r="S86" s="2720"/>
      <c r="T86" s="2720"/>
      <c r="U86" s="2720"/>
      <c r="V86" s="2720"/>
      <c r="W86" s="2720"/>
      <c r="X86" s="2720"/>
      <c r="Y86" s="2720"/>
      <c r="Z86" s="2720"/>
      <c r="AA86" s="2720"/>
      <c r="AB86" s="2720"/>
      <c r="AC86" s="2720"/>
      <c r="AD86" s="2720"/>
      <c r="AE86" s="2720"/>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7"/>
      <c r="O87" s="2747"/>
      <c r="P87" s="2773"/>
      <c r="Q87" s="2734"/>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9"/>
      <c r="O88" s="2749"/>
      <c r="P88" s="2773"/>
      <c r="Q88" s="2734"/>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7"/>
      <c r="O89" s="2747"/>
      <c r="P89" s="2773"/>
      <c r="Q89" s="2734"/>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9"/>
      <c r="O90" s="2749"/>
      <c r="P90" s="2773"/>
      <c r="Q90" s="2734"/>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0"/>
      <c r="O91" s="2750"/>
      <c r="P91" s="2774"/>
      <c r="Q91" s="2741"/>
      <c r="R91" s="2742"/>
      <c r="S91" s="2742"/>
      <c r="T91" s="2742"/>
      <c r="U91" s="2742"/>
      <c r="V91" s="2742"/>
      <c r="W91" s="2742"/>
      <c r="X91" s="2742"/>
      <c r="Y91" s="2742"/>
      <c r="Z91" s="2742"/>
      <c r="AA91" s="2742"/>
      <c r="AB91" s="2742"/>
      <c r="AC91" s="2742"/>
      <c r="AD91" s="2742"/>
      <c r="AE91" s="2742"/>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0"/>
      <c r="O92" s="2750"/>
      <c r="P92" s="2774"/>
      <c r="Q92" s="2741"/>
      <c r="R92" s="2742"/>
      <c r="S92" s="2742"/>
      <c r="T92" s="2742"/>
      <c r="U92" s="2742"/>
      <c r="V92" s="2742"/>
      <c r="W92" s="2742"/>
      <c r="X92" s="2742"/>
      <c r="Y92" s="2742"/>
      <c r="Z92" s="2742"/>
      <c r="AA92" s="2742"/>
      <c r="AB92" s="2742"/>
      <c r="AC92" s="2742"/>
      <c r="AD92" s="2742"/>
      <c r="AE92" s="2742"/>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0"/>
      <c r="O93" s="2750"/>
      <c r="P93" s="2774"/>
      <c r="Q93" s="2741"/>
      <c r="R93" s="2742"/>
      <c r="S93" s="2742"/>
      <c r="T93" s="2742"/>
      <c r="U93" s="2742"/>
      <c r="V93" s="2742"/>
      <c r="W93" s="2742"/>
      <c r="X93" s="2742"/>
      <c r="Y93" s="2742"/>
      <c r="Z93" s="2742"/>
      <c r="AA93" s="2742"/>
      <c r="AB93" s="2742"/>
      <c r="AC93" s="2742"/>
      <c r="AD93" s="2742"/>
      <c r="AE93" s="2742"/>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1"/>
      <c r="B97" s="485" t="s">
        <v>1815</v>
      </c>
      <c r="C97" s="501"/>
      <c r="D97" s="501"/>
      <c r="E97" s="501"/>
      <c r="F97" s="501"/>
      <c r="G97" s="501"/>
      <c r="H97" s="530"/>
      <c r="I97" s="530"/>
      <c r="J97" s="530"/>
      <c r="K97" s="531"/>
      <c r="L97" s="532"/>
      <c r="M97" s="533"/>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1"/>
      <c r="B99" s="485" t="s">
        <v>1873</v>
      </c>
      <c r="C99" s="530"/>
      <c r="D99" s="530"/>
      <c r="E99" s="530"/>
      <c r="F99" s="530"/>
      <c r="G99" s="530"/>
      <c r="H99" s="530"/>
      <c r="I99" s="530"/>
      <c r="J99" s="530"/>
      <c r="K99" s="531"/>
      <c r="L99" s="532"/>
      <c r="M99" s="533"/>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1"/>
      <c r="B101" s="493">
        <f>B31</f>
        <v>111</v>
      </c>
      <c r="C101" s="501"/>
      <c r="D101" s="501"/>
      <c r="E101" s="501"/>
      <c r="F101" s="501"/>
      <c r="G101" s="534"/>
      <c r="H101" s="534"/>
      <c r="I101" s="534"/>
      <c r="J101" s="534"/>
      <c r="K101" s="535"/>
      <c r="L101" s="536"/>
      <c r="M101" s="537"/>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1"/>
      <c r="B102" s="516"/>
      <c r="C102" s="507"/>
      <c r="D102" s="483"/>
      <c r="E102" s="483"/>
      <c r="F102" s="483"/>
      <c r="G102" s="538"/>
      <c r="H102" s="538"/>
      <c r="I102" s="538"/>
      <c r="J102" s="538"/>
      <c r="K102" s="538"/>
      <c r="L102" s="538"/>
      <c r="M102" s="539"/>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1"/>
      <c r="B103" s="485">
        <f>B32</f>
        <v>111</v>
      </c>
      <c r="C103" s="501"/>
      <c r="D103" s="501"/>
      <c r="E103" s="501"/>
      <c r="F103" s="501"/>
      <c r="G103" s="530"/>
      <c r="H103" s="530"/>
      <c r="I103" s="530"/>
      <c r="J103" s="530"/>
      <c r="K103" s="531"/>
      <c r="L103" s="532"/>
      <c r="M103" s="533"/>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1"/>
      <c r="B104" s="490"/>
      <c r="C104" s="507"/>
      <c r="D104" s="507"/>
      <c r="E104" s="507"/>
      <c r="F104" s="507"/>
      <c r="G104" s="483"/>
      <c r="H104" s="483"/>
      <c r="I104" s="483"/>
      <c r="J104" s="483"/>
      <c r="K104" s="483"/>
      <c r="L104" s="483"/>
      <c r="M104" s="484"/>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0" customFormat="1" ht="15" thickTop="1">
      <c r="A105" s="540"/>
      <c r="B105" s="541">
        <f>B33</f>
        <v>111</v>
      </c>
      <c r="C105" s="470"/>
      <c r="D105" s="470"/>
      <c r="E105" s="470"/>
      <c r="F105" s="470"/>
      <c r="G105" s="542"/>
      <c r="H105" s="542"/>
      <c r="I105" s="542"/>
      <c r="J105" s="543"/>
      <c r="K105" s="543"/>
      <c r="L105" s="544"/>
      <c r="M105" s="545"/>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0" customFormat="1" ht="15.75" thickBot="1">
      <c r="A106" s="500"/>
      <c r="B106" s="493"/>
      <c r="C106" s="517"/>
      <c r="D106" s="517"/>
      <c r="E106" s="517"/>
      <c r="F106" s="517"/>
      <c r="G106" s="623"/>
      <c r="H106" s="623"/>
      <c r="I106" s="623"/>
      <c r="J106" s="623"/>
      <c r="K106" s="623"/>
      <c r="L106" s="623"/>
      <c r="M106" s="645"/>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1"/>
      <c r="B108" s="493"/>
      <c r="C108" s="542"/>
      <c r="D108" s="542"/>
      <c r="E108" s="542"/>
      <c r="F108" s="542"/>
      <c r="G108" s="542"/>
      <c r="H108" s="542"/>
      <c r="I108" s="542"/>
      <c r="J108" s="543"/>
      <c r="K108" s="543"/>
      <c r="L108" s="544"/>
      <c r="M108" s="545"/>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1"/>
      <c r="B109" s="490"/>
      <c r="C109" s="517"/>
      <c r="D109" s="538"/>
      <c r="E109" s="538"/>
      <c r="F109" s="538"/>
      <c r="G109" s="538"/>
      <c r="H109" s="538"/>
      <c r="I109" s="538"/>
      <c r="J109" s="538"/>
      <c r="K109" s="538"/>
      <c r="L109" s="538"/>
      <c r="M109" s="539"/>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6"/>
      <c r="B110" s="485" t="s">
        <v>1914</v>
      </c>
      <c r="C110" s="530"/>
      <c r="D110" s="530"/>
      <c r="E110" s="530"/>
      <c r="F110" s="530"/>
      <c r="G110" s="530"/>
      <c r="H110" s="530"/>
      <c r="I110" s="530"/>
      <c r="J110" s="530"/>
      <c r="K110" s="531"/>
      <c r="L110" s="532"/>
      <c r="M110" s="533"/>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0" customFormat="1" ht="15" thickTop="1">
      <c r="A112" s="540"/>
      <c r="B112" s="485" t="s">
        <v>1916</v>
      </c>
      <c r="C112" s="501"/>
      <c r="D112" s="501"/>
      <c r="E112" s="501"/>
      <c r="F112" s="501"/>
      <c r="G112" s="501"/>
      <c r="H112" s="530"/>
      <c r="I112" s="530"/>
      <c r="J112" s="530"/>
      <c r="K112" s="531"/>
      <c r="L112" s="532"/>
      <c r="M112" s="533"/>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6"/>
      <c r="B114" s="485" t="s">
        <v>1917</v>
      </c>
      <c r="C114" s="501"/>
      <c r="D114" s="501"/>
      <c r="E114" s="530"/>
      <c r="F114" s="530"/>
      <c r="G114" s="530"/>
      <c r="H114" s="530"/>
      <c r="I114" s="530"/>
      <c r="J114" s="530"/>
      <c r="K114" s="531"/>
      <c r="L114" s="532"/>
      <c r="M114" s="533"/>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6"/>
      <c r="B116" s="485">
        <f>B38</f>
        <v>111</v>
      </c>
      <c r="C116" s="501"/>
      <c r="D116" s="501"/>
      <c r="E116" s="501"/>
      <c r="F116" s="501"/>
      <c r="G116" s="501"/>
      <c r="H116" s="530"/>
      <c r="I116" s="530"/>
      <c r="J116" s="530"/>
      <c r="K116" s="531"/>
      <c r="L116" s="532"/>
      <c r="M116" s="533"/>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1"/>
      <c r="B117" s="490"/>
      <c r="C117" s="507"/>
      <c r="D117" s="483"/>
      <c r="E117" s="483"/>
      <c r="F117" s="483"/>
      <c r="G117" s="483"/>
      <c r="H117" s="483"/>
      <c r="I117" s="483"/>
      <c r="J117" s="483"/>
      <c r="K117" s="483"/>
      <c r="L117" s="483"/>
      <c r="M117" s="484"/>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6"/>
      <c r="B118" s="485">
        <f>B39</f>
        <v>111</v>
      </c>
      <c r="C118" s="501"/>
      <c r="D118" s="501"/>
      <c r="E118" s="501"/>
      <c r="F118" s="501"/>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1"/>
      <c r="B119" s="490"/>
      <c r="C119" s="507"/>
      <c r="D119" s="507"/>
      <c r="E119" s="507"/>
      <c r="F119" s="507"/>
      <c r="G119" s="483"/>
      <c r="H119" s="483"/>
      <c r="I119" s="483"/>
      <c r="J119" s="483"/>
      <c r="K119" s="483"/>
      <c r="L119" s="483"/>
      <c r="M119" s="484"/>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0" customFormat="1" ht="15" thickTop="1">
      <c r="A120" s="540"/>
      <c r="B120" s="485">
        <f>B40</f>
        <v>111</v>
      </c>
      <c r="C120" s="470"/>
      <c r="D120" s="470"/>
      <c r="E120" s="470"/>
      <c r="F120" s="470"/>
      <c r="G120" s="502"/>
      <c r="H120" s="502"/>
      <c r="I120" s="502"/>
      <c r="J120" s="502"/>
      <c r="K120" s="502"/>
      <c r="L120" s="503"/>
      <c r="M120" s="504"/>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0" customFormat="1" ht="15.75" thickBot="1">
      <c r="A121" s="515"/>
      <c r="B121" s="646"/>
      <c r="C121" s="517"/>
      <c r="D121" s="517"/>
      <c r="E121" s="517"/>
      <c r="F121" s="517"/>
      <c r="G121" s="538"/>
      <c r="H121" s="538"/>
      <c r="I121" s="538"/>
      <c r="J121" s="538"/>
      <c r="K121" s="538"/>
      <c r="L121" s="538"/>
      <c r="M121" s="539"/>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648"/>
    <col min="19" max="19" width="9" style="128"/>
    <col min="20" max="45" width="9" style="723"/>
    <col min="46" max="16384" width="9" style="128"/>
  </cols>
  <sheetData>
    <row r="1" spans="1:45" ht="14.25" customHeight="1" thickBot="1">
      <c r="A1" s="144"/>
      <c r="B1" s="978" t="s">
        <v>2083</v>
      </c>
      <c r="C1" s="4138" t="s">
        <v>2084</v>
      </c>
      <c r="D1" s="4139"/>
      <c r="E1" s="4139"/>
      <c r="F1" s="4139"/>
      <c r="G1" s="4139"/>
      <c r="H1" s="4139"/>
      <c r="I1" s="4139"/>
      <c r="J1" s="4139"/>
      <c r="K1" s="4139"/>
      <c r="L1" s="4139"/>
      <c r="M1" s="4139"/>
      <c r="N1" s="4139"/>
      <c r="O1" s="4139"/>
      <c r="P1" s="4139"/>
      <c r="Q1" s="4139"/>
      <c r="R1" s="4139"/>
      <c r="S1" s="4140"/>
      <c r="T1" s="978" t="s">
        <v>2085</v>
      </c>
    </row>
    <row r="2" spans="1:45" s="653" customFormat="1">
      <c r="A2" s="979"/>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0"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4"/>
      <c r="C3" s="655"/>
      <c r="D3" s="656"/>
      <c r="E3" s="656"/>
      <c r="F3" s="1300"/>
      <c r="G3" s="1300"/>
      <c r="H3" s="1300"/>
      <c r="I3" s="1300"/>
      <c r="J3" s="1300"/>
      <c r="K3" s="1300"/>
      <c r="L3" s="1301"/>
      <c r="M3" s="1302"/>
      <c r="N3" s="1302"/>
      <c r="O3" s="1300"/>
      <c r="P3" s="1300"/>
      <c r="Q3" s="1300"/>
      <c r="R3" s="1300"/>
      <c r="S3" s="1303"/>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984"/>
      <c r="D4" s="985"/>
      <c r="E4" s="985"/>
      <c r="F4" s="1304"/>
      <c r="G4" s="1304"/>
      <c r="H4" s="1304"/>
      <c r="I4" s="1304"/>
      <c r="J4" s="1304"/>
      <c r="K4" s="1304"/>
      <c r="L4" s="1304"/>
      <c r="M4" s="1305"/>
      <c r="N4" s="1305"/>
      <c r="O4" s="1304"/>
      <c r="P4" s="1304"/>
      <c r="Q4" s="1304"/>
      <c r="R4" s="1304"/>
      <c r="S4" s="1306"/>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89"/>
      <c r="B5" s="1331" t="s">
        <v>2087</v>
      </c>
      <c r="C5" s="990"/>
      <c r="D5" s="991"/>
      <c r="E5" s="991"/>
      <c r="F5" s="1307"/>
      <c r="G5" s="1307"/>
      <c r="H5" s="1307"/>
      <c r="I5" s="1307"/>
      <c r="J5" s="1307"/>
      <c r="K5" s="1307"/>
      <c r="L5" s="1308"/>
      <c r="M5" s="1309"/>
      <c r="N5" s="1309"/>
      <c r="O5" s="1307"/>
      <c r="P5" s="1307"/>
      <c r="Q5" s="1307"/>
      <c r="R5" s="1307"/>
      <c r="S5" s="1310"/>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89"/>
      <c r="B7" s="1332" t="s">
        <v>2088</v>
      </c>
      <c r="C7" s="899"/>
      <c r="D7" s="893"/>
      <c r="E7" s="893"/>
      <c r="F7" s="1312"/>
      <c r="G7" s="1312"/>
      <c r="H7" s="1312"/>
      <c r="I7" s="1312"/>
      <c r="J7" s="1312"/>
      <c r="K7" s="1312"/>
      <c r="L7" s="1312"/>
      <c r="M7" s="1313"/>
      <c r="N7" s="1314"/>
      <c r="O7" s="1315"/>
      <c r="P7" s="1316"/>
      <c r="Q7" s="1317"/>
      <c r="R7" s="1318"/>
      <c r="S7" s="1319"/>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89"/>
      <c r="B9" s="1332" t="s">
        <v>2089</v>
      </c>
      <c r="C9" s="899"/>
      <c r="D9" s="893"/>
      <c r="E9" s="893"/>
      <c r="F9" s="1312"/>
      <c r="G9" s="1312"/>
      <c r="H9" s="1312"/>
      <c r="I9" s="1312"/>
      <c r="J9" s="1312"/>
      <c r="K9" s="1312"/>
      <c r="L9" s="1320"/>
      <c r="M9" s="1313"/>
      <c r="N9" s="1314"/>
      <c r="O9" s="1315"/>
      <c r="P9" s="1316"/>
      <c r="Q9" s="1317"/>
      <c r="R9" s="1318"/>
      <c r="S9" s="1319"/>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3"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7"/>
      <c r="B19" s="157"/>
      <c r="C19" s="157"/>
      <c r="D19" s="2145" t="s">
        <v>2095</v>
      </c>
      <c r="E19" s="1335"/>
      <c r="F19" s="1335"/>
      <c r="G19" s="1335"/>
      <c r="H19" s="1054"/>
      <c r="I19" s="157"/>
      <c r="J19" s="157"/>
      <c r="K19" s="157"/>
      <c r="L19" s="157"/>
      <c r="M19" s="157"/>
      <c r="N19" s="157"/>
      <c r="O19" s="157"/>
      <c r="P19" s="157"/>
      <c r="Q19" s="157"/>
      <c r="R19" s="716"/>
      <c r="S19" s="127"/>
    </row>
    <row r="20" spans="1:45" ht="16.5" thickBot="1">
      <c r="A20" s="660" t="s">
        <v>2096</v>
      </c>
      <c r="B20" s="292" t="e">
        <f ca="1">IF(D20="——",S22,S22-F20)</f>
        <v>#REF!</v>
      </c>
      <c r="C20" s="157"/>
      <c r="D20" s="2146"/>
      <c r="E20" s="1336"/>
      <c r="F20" s="978" t="e">
        <f ca="1">SUMIF(INDIRECT("'"&amp;H20&amp;"'"&amp;"!A:A"),"承租人权益价值",INDIRECT("'"&amp;H20&amp;"'"&amp;"!c:c"))</f>
        <v>#REF!</v>
      </c>
      <c r="G20" s="978" t="s">
        <v>2097</v>
      </c>
      <c r="H20" s="2147"/>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19">
        <f>SUM(B24:B10000)</f>
        <v>0</v>
      </c>
      <c r="C22" s="4135" t="s">
        <v>27</v>
      </c>
      <c r="D22" s="4136"/>
      <c r="E22" s="4136"/>
      <c r="F22" s="4136"/>
      <c r="G22" s="4136"/>
      <c r="H22" s="4136"/>
      <c r="I22" s="4136"/>
      <c r="J22" s="4136"/>
      <c r="K22" s="4136"/>
      <c r="L22" s="4136"/>
      <c r="M22" s="4136"/>
      <c r="N22" s="4136"/>
      <c r="O22" s="4136"/>
      <c r="P22" s="4136"/>
      <c r="Q22" s="4137"/>
      <c r="R22" s="661" t="e">
        <f>ROUND(S22*10000/B22,0)</f>
        <v>#DIV/0!</v>
      </c>
      <c r="S22" s="19">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5">
        <v>1</v>
      </c>
      <c r="D24" s="2806"/>
      <c r="E24" s="2805">
        <v>1</v>
      </c>
      <c r="F24" s="2806"/>
      <c r="G24" s="2805">
        <v>1</v>
      </c>
      <c r="H24" s="2806"/>
      <c r="I24" s="2805">
        <v>1</v>
      </c>
      <c r="J24" s="2806"/>
      <c r="K24" s="2805">
        <v>1</v>
      </c>
      <c r="L24" s="2806"/>
      <c r="M24" s="2805">
        <v>1</v>
      </c>
      <c r="N24" s="2806"/>
      <c r="O24" s="2805">
        <v>1</v>
      </c>
      <c r="P24" s="2806"/>
      <c r="Q24" s="2805">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2"/>
      <c r="C25" s="19">
        <f>IF(B25="",1,(LOOKUP(B25,$3:$3,$4:$4)-LOOKUP($B$24,$3:$3,$4:$4)+100)/100)</f>
        <v>1</v>
      </c>
      <c r="D25" s="665"/>
      <c r="E25" s="19">
        <f>(SUMIF($5:$5,D25,$6:$6)-SUMIF($5:$5,$D$24,$6:$6)+100)/100</f>
        <v>1</v>
      </c>
      <c r="F25" s="665"/>
      <c r="G25" s="19">
        <f>(SUMIF($7:$7,F25,$8:$8)-SUMIF($7:$7,$F$24,$8:$8)+100)/100</f>
        <v>1</v>
      </c>
      <c r="H25" s="665"/>
      <c r="I25" s="19">
        <f>(SUMIF($9:$9,H25,$10:$10)-SUMIF($9:$9,$H$24,$10:$10)+100)/100</f>
        <v>1</v>
      </c>
      <c r="J25" s="665"/>
      <c r="K25" s="19">
        <f>(SUMIF($11:$11,J25,$12:$12)-SUMIF($11:$11,$J$24,$12:$12)+100)/100</f>
        <v>1</v>
      </c>
      <c r="L25" s="665"/>
      <c r="M25" s="19">
        <f>(SUMIF($13:$13,L25,$14:$14)-SUMIF($13:$13,$L$24,$14:$14)+100)/100</f>
        <v>1</v>
      </c>
      <c r="N25" s="665"/>
      <c r="O25" s="19">
        <f>(SUMIF($15:$15,N25,$16:$16)-SUMIF($15:$15,$N$24,$16:$16)+100)/100</f>
        <v>1</v>
      </c>
      <c r="P25" s="665"/>
      <c r="Q25" s="19">
        <f>(SUMIF($17:$17,P25,$18:$18)-SUMIF($17:$17,$P$24,$18:$18)+100)/100</f>
        <v>1</v>
      </c>
      <c r="R25" s="661">
        <f>IF(B25="",0,ROUND($R$24*C25*E25*G25*I25*K25*M25*O25*Q25,0))</f>
        <v>0</v>
      </c>
      <c r="S25" s="314">
        <f t="shared" si="11"/>
        <v>0</v>
      </c>
    </row>
    <row r="26" spans="1:45">
      <c r="A26" s="148"/>
      <c r="B26" s="52"/>
      <c r="C26" s="19">
        <f t="shared" ref="C26:C89" si="12">IF(B26="",1,(LOOKUP(B26,$3:$3,$4:$4)-LOOKUP($B$24,$3:$3,$4:$4)+100)/100)</f>
        <v>1</v>
      </c>
      <c r="D26" s="665"/>
      <c r="E26" s="19">
        <f t="shared" ref="E26:E89" si="13">(SUMIF($5:$5,D26,$6:$6)-SUMIF($5:$5,$D$24,$6:$6)+100)/100</f>
        <v>1</v>
      </c>
      <c r="F26" s="665"/>
      <c r="G26" s="19">
        <f t="shared" ref="G26:G89" si="14">(SUMIF($7:$7,F26,$8:$8)-SUMIF($7:$7,$F$24,$8:$8)+100)/100</f>
        <v>1</v>
      </c>
      <c r="H26" s="665"/>
      <c r="I26" s="19">
        <f t="shared" ref="I26:I89" si="15">(SUMIF($9:$9,H26,$10:$10)-SUMIF($9:$9,$H$24,$10:$10)+100)/100</f>
        <v>1</v>
      </c>
      <c r="J26" s="665"/>
      <c r="K26" s="19">
        <f t="shared" ref="K26:K89" si="16">(SUMIF($11:$11,J26,$12:$12)-SUMIF($11:$11,$J$24,$12:$12)+100)/100</f>
        <v>1</v>
      </c>
      <c r="L26" s="665"/>
      <c r="M26" s="19">
        <f t="shared" ref="M26:M89" si="17">(SUMIF($13:$13,L26,$14:$14)-SUMIF($13:$13,$L$24,$14:$14)+100)/100</f>
        <v>1</v>
      </c>
      <c r="N26" s="665"/>
      <c r="O26" s="19">
        <f t="shared" ref="O26:O89" si="18">(SUMIF($15:$15,N26,$16:$16)-SUMIF($15:$15,$N$24,$16:$16)+100)/100</f>
        <v>1</v>
      </c>
      <c r="P26" s="665"/>
      <c r="Q26" s="19">
        <f t="shared" ref="Q26:Q89" si="19">(SUMIF($17:$17,P26,$18:$18)-SUMIF($17:$17,$P$24,$18:$18)+100)/100</f>
        <v>1</v>
      </c>
      <c r="R26" s="661">
        <f t="shared" ref="R26:R89" si="20">IF(B26="",0,ROUND($R$24*C26*E26*G26*I26*K26*M26*O26*Q26,0))</f>
        <v>0</v>
      </c>
      <c r="S26" s="314">
        <f t="shared" si="11"/>
        <v>0</v>
      </c>
    </row>
    <row r="27" spans="1:45">
      <c r="A27" s="148"/>
      <c r="B27" s="52"/>
      <c r="C27" s="19">
        <f t="shared" si="12"/>
        <v>1</v>
      </c>
      <c r="D27" s="665"/>
      <c r="E27" s="19">
        <f t="shared" si="13"/>
        <v>1</v>
      </c>
      <c r="F27" s="665"/>
      <c r="G27" s="19">
        <f t="shared" si="14"/>
        <v>1</v>
      </c>
      <c r="H27" s="665"/>
      <c r="I27" s="19">
        <f t="shared" si="15"/>
        <v>1</v>
      </c>
      <c r="J27" s="665"/>
      <c r="K27" s="19">
        <f t="shared" si="16"/>
        <v>1</v>
      </c>
      <c r="L27" s="665"/>
      <c r="M27" s="19">
        <f t="shared" si="17"/>
        <v>1</v>
      </c>
      <c r="N27" s="665"/>
      <c r="O27" s="19">
        <f t="shared" si="18"/>
        <v>1</v>
      </c>
      <c r="P27" s="665"/>
      <c r="Q27" s="19">
        <f t="shared" si="19"/>
        <v>1</v>
      </c>
      <c r="R27" s="661">
        <f t="shared" si="20"/>
        <v>0</v>
      </c>
      <c r="S27" s="314">
        <f t="shared" si="11"/>
        <v>0</v>
      </c>
    </row>
    <row r="28" spans="1:45">
      <c r="A28" s="148"/>
      <c r="B28" s="52"/>
      <c r="C28" s="19">
        <f t="shared" si="12"/>
        <v>1</v>
      </c>
      <c r="D28" s="665"/>
      <c r="E28" s="19">
        <f t="shared" si="13"/>
        <v>1</v>
      </c>
      <c r="F28" s="665"/>
      <c r="G28" s="19">
        <f t="shared" si="14"/>
        <v>1</v>
      </c>
      <c r="H28" s="665"/>
      <c r="I28" s="19">
        <f t="shared" si="15"/>
        <v>1</v>
      </c>
      <c r="J28" s="665"/>
      <c r="K28" s="19">
        <f t="shared" si="16"/>
        <v>1</v>
      </c>
      <c r="L28" s="665"/>
      <c r="M28" s="19">
        <f t="shared" si="17"/>
        <v>1</v>
      </c>
      <c r="N28" s="665"/>
      <c r="O28" s="19">
        <f t="shared" si="18"/>
        <v>1</v>
      </c>
      <c r="P28" s="665"/>
      <c r="Q28" s="19">
        <f t="shared" si="19"/>
        <v>1</v>
      </c>
      <c r="R28" s="661">
        <f t="shared" si="20"/>
        <v>0</v>
      </c>
      <c r="S28" s="314">
        <f t="shared" si="11"/>
        <v>0</v>
      </c>
    </row>
    <row r="29" spans="1:45">
      <c r="A29" s="148"/>
      <c r="B29" s="52"/>
      <c r="C29" s="19">
        <f t="shared" si="12"/>
        <v>1</v>
      </c>
      <c r="D29" s="665"/>
      <c r="E29" s="19">
        <f t="shared" si="13"/>
        <v>1</v>
      </c>
      <c r="F29" s="665"/>
      <c r="G29" s="19">
        <f t="shared" si="14"/>
        <v>1</v>
      </c>
      <c r="H29" s="665"/>
      <c r="I29" s="19">
        <f t="shared" si="15"/>
        <v>1</v>
      </c>
      <c r="J29" s="665"/>
      <c r="K29" s="19">
        <f t="shared" si="16"/>
        <v>1</v>
      </c>
      <c r="L29" s="665"/>
      <c r="M29" s="19">
        <f t="shared" si="17"/>
        <v>1</v>
      </c>
      <c r="N29" s="665"/>
      <c r="O29" s="19">
        <f t="shared" si="18"/>
        <v>1</v>
      </c>
      <c r="P29" s="665"/>
      <c r="Q29" s="19">
        <f t="shared" si="19"/>
        <v>1</v>
      </c>
      <c r="R29" s="661">
        <f t="shared" si="20"/>
        <v>0</v>
      </c>
      <c r="S29" s="314">
        <f t="shared" si="11"/>
        <v>0</v>
      </c>
    </row>
    <row r="30" spans="1:45">
      <c r="A30" s="148"/>
      <c r="B30" s="52"/>
      <c r="C30" s="19">
        <f t="shared" si="12"/>
        <v>1</v>
      </c>
      <c r="D30" s="665"/>
      <c r="E30" s="19">
        <f t="shared" si="13"/>
        <v>1</v>
      </c>
      <c r="F30" s="665"/>
      <c r="G30" s="19">
        <f t="shared" si="14"/>
        <v>1</v>
      </c>
      <c r="H30" s="665"/>
      <c r="I30" s="19">
        <f t="shared" si="15"/>
        <v>1</v>
      </c>
      <c r="J30" s="665"/>
      <c r="K30" s="19">
        <f t="shared" si="16"/>
        <v>1</v>
      </c>
      <c r="L30" s="665"/>
      <c r="M30" s="19">
        <f t="shared" si="17"/>
        <v>1</v>
      </c>
      <c r="N30" s="665"/>
      <c r="O30" s="19">
        <f t="shared" si="18"/>
        <v>1</v>
      </c>
      <c r="P30" s="665"/>
      <c r="Q30" s="19">
        <f t="shared" si="19"/>
        <v>1</v>
      </c>
      <c r="R30" s="661">
        <f t="shared" si="20"/>
        <v>0</v>
      </c>
      <c r="S30" s="314">
        <f t="shared" si="11"/>
        <v>0</v>
      </c>
    </row>
    <row r="31" spans="1:45">
      <c r="A31" s="148"/>
      <c r="B31" s="52"/>
      <c r="C31" s="19">
        <f t="shared" si="12"/>
        <v>1</v>
      </c>
      <c r="D31" s="665"/>
      <c r="E31" s="19">
        <f t="shared" si="13"/>
        <v>1</v>
      </c>
      <c r="F31" s="665"/>
      <c r="G31" s="19">
        <f t="shared" si="14"/>
        <v>1</v>
      </c>
      <c r="H31" s="665"/>
      <c r="I31" s="19">
        <f t="shared" si="15"/>
        <v>1</v>
      </c>
      <c r="J31" s="665"/>
      <c r="K31" s="19">
        <f t="shared" si="16"/>
        <v>1</v>
      </c>
      <c r="L31" s="665"/>
      <c r="M31" s="19">
        <f t="shared" si="17"/>
        <v>1</v>
      </c>
      <c r="N31" s="665"/>
      <c r="O31" s="19">
        <f t="shared" si="18"/>
        <v>1</v>
      </c>
      <c r="P31" s="665"/>
      <c r="Q31" s="19">
        <f t="shared" si="19"/>
        <v>1</v>
      </c>
      <c r="R31" s="661">
        <f t="shared" si="20"/>
        <v>0</v>
      </c>
      <c r="S31" s="314">
        <f t="shared" si="11"/>
        <v>0</v>
      </c>
    </row>
    <row r="32" spans="1:45">
      <c r="A32" s="148"/>
      <c r="B32" s="52"/>
      <c r="C32" s="19">
        <f t="shared" si="12"/>
        <v>1</v>
      </c>
      <c r="D32" s="665"/>
      <c r="E32" s="19">
        <f t="shared" si="13"/>
        <v>1</v>
      </c>
      <c r="F32" s="665"/>
      <c r="G32" s="19">
        <f t="shared" si="14"/>
        <v>1</v>
      </c>
      <c r="H32" s="665"/>
      <c r="I32" s="19">
        <f t="shared" si="15"/>
        <v>1</v>
      </c>
      <c r="J32" s="665"/>
      <c r="K32" s="19">
        <f t="shared" si="16"/>
        <v>1</v>
      </c>
      <c r="L32" s="665"/>
      <c r="M32" s="19">
        <f t="shared" si="17"/>
        <v>1</v>
      </c>
      <c r="N32" s="665"/>
      <c r="O32" s="19">
        <f t="shared" si="18"/>
        <v>1</v>
      </c>
      <c r="P32" s="665"/>
      <c r="Q32" s="19">
        <f t="shared" si="19"/>
        <v>1</v>
      </c>
      <c r="R32" s="661">
        <f t="shared" si="20"/>
        <v>0</v>
      </c>
      <c r="S32" s="314">
        <f t="shared" si="11"/>
        <v>0</v>
      </c>
    </row>
    <row r="33" spans="1:19">
      <c r="A33" s="148"/>
      <c r="B33" s="52"/>
      <c r="C33" s="19">
        <f t="shared" si="12"/>
        <v>1</v>
      </c>
      <c r="D33" s="665"/>
      <c r="E33" s="19">
        <f t="shared" si="13"/>
        <v>1</v>
      </c>
      <c r="F33" s="665"/>
      <c r="G33" s="19">
        <f t="shared" si="14"/>
        <v>1</v>
      </c>
      <c r="H33" s="665"/>
      <c r="I33" s="19">
        <f t="shared" si="15"/>
        <v>1</v>
      </c>
      <c r="J33" s="665"/>
      <c r="K33" s="19">
        <f t="shared" si="16"/>
        <v>1</v>
      </c>
      <c r="L33" s="665"/>
      <c r="M33" s="19">
        <f t="shared" si="17"/>
        <v>1</v>
      </c>
      <c r="N33" s="665"/>
      <c r="O33" s="19">
        <f t="shared" si="18"/>
        <v>1</v>
      </c>
      <c r="P33" s="665"/>
      <c r="Q33" s="19">
        <f t="shared" si="19"/>
        <v>1</v>
      </c>
      <c r="R33" s="661">
        <f t="shared" si="20"/>
        <v>0</v>
      </c>
      <c r="S33" s="314">
        <f t="shared" si="11"/>
        <v>0</v>
      </c>
    </row>
    <row r="34" spans="1:19">
      <c r="A34" s="148"/>
      <c r="B34" s="52"/>
      <c r="C34" s="19">
        <f t="shared" si="12"/>
        <v>1</v>
      </c>
      <c r="D34" s="665"/>
      <c r="E34" s="19">
        <f t="shared" si="13"/>
        <v>1</v>
      </c>
      <c r="F34" s="665"/>
      <c r="G34" s="19">
        <f t="shared" si="14"/>
        <v>1</v>
      </c>
      <c r="H34" s="665"/>
      <c r="I34" s="19">
        <f t="shared" si="15"/>
        <v>1</v>
      </c>
      <c r="J34" s="665"/>
      <c r="K34" s="19">
        <f t="shared" si="16"/>
        <v>1</v>
      </c>
      <c r="L34" s="665"/>
      <c r="M34" s="19">
        <f t="shared" si="17"/>
        <v>1</v>
      </c>
      <c r="N34" s="665"/>
      <c r="O34" s="19">
        <f t="shared" si="18"/>
        <v>1</v>
      </c>
      <c r="P34" s="665"/>
      <c r="Q34" s="19">
        <f t="shared" si="19"/>
        <v>1</v>
      </c>
      <c r="R34" s="661">
        <f t="shared" si="20"/>
        <v>0</v>
      </c>
      <c r="S34" s="314">
        <f t="shared" si="11"/>
        <v>0</v>
      </c>
    </row>
    <row r="35" spans="1:19">
      <c r="A35" s="148"/>
      <c r="B35" s="52"/>
      <c r="C35" s="19">
        <f t="shared" si="12"/>
        <v>1</v>
      </c>
      <c r="D35" s="665"/>
      <c r="E35" s="19">
        <f t="shared" si="13"/>
        <v>1</v>
      </c>
      <c r="F35" s="665"/>
      <c r="G35" s="19">
        <f t="shared" si="14"/>
        <v>1</v>
      </c>
      <c r="H35" s="665"/>
      <c r="I35" s="19">
        <f t="shared" si="15"/>
        <v>1</v>
      </c>
      <c r="J35" s="665"/>
      <c r="K35" s="19">
        <f t="shared" si="16"/>
        <v>1</v>
      </c>
      <c r="L35" s="665"/>
      <c r="M35" s="19">
        <f t="shared" si="17"/>
        <v>1</v>
      </c>
      <c r="N35" s="665"/>
      <c r="O35" s="19">
        <f t="shared" si="18"/>
        <v>1</v>
      </c>
      <c r="P35" s="665"/>
      <c r="Q35" s="19">
        <f t="shared" si="19"/>
        <v>1</v>
      </c>
      <c r="R35" s="661">
        <f t="shared" si="20"/>
        <v>0</v>
      </c>
      <c r="S35" s="314">
        <f t="shared" si="11"/>
        <v>0</v>
      </c>
    </row>
    <row r="36" spans="1:19">
      <c r="A36" s="148"/>
      <c r="B36" s="52"/>
      <c r="C36" s="19">
        <f t="shared" si="12"/>
        <v>1</v>
      </c>
      <c r="D36" s="665"/>
      <c r="E36" s="19">
        <f t="shared" si="13"/>
        <v>1</v>
      </c>
      <c r="F36" s="665"/>
      <c r="G36" s="19">
        <f t="shared" si="14"/>
        <v>1</v>
      </c>
      <c r="H36" s="665"/>
      <c r="I36" s="19">
        <f t="shared" si="15"/>
        <v>1</v>
      </c>
      <c r="J36" s="665"/>
      <c r="K36" s="19">
        <f t="shared" si="16"/>
        <v>1</v>
      </c>
      <c r="L36" s="665"/>
      <c r="M36" s="19">
        <f t="shared" si="17"/>
        <v>1</v>
      </c>
      <c r="N36" s="665"/>
      <c r="O36" s="19">
        <f t="shared" si="18"/>
        <v>1</v>
      </c>
      <c r="P36" s="665"/>
      <c r="Q36" s="19">
        <f t="shared" si="19"/>
        <v>1</v>
      </c>
      <c r="R36" s="661">
        <f t="shared" si="20"/>
        <v>0</v>
      </c>
      <c r="S36" s="314">
        <f t="shared" si="11"/>
        <v>0</v>
      </c>
    </row>
    <row r="37" spans="1:19">
      <c r="A37" s="148"/>
      <c r="B37" s="52"/>
      <c r="C37" s="19">
        <f t="shared" si="12"/>
        <v>1</v>
      </c>
      <c r="D37" s="665"/>
      <c r="E37" s="19">
        <f t="shared" si="13"/>
        <v>1</v>
      </c>
      <c r="F37" s="665"/>
      <c r="G37" s="19">
        <f t="shared" si="14"/>
        <v>1</v>
      </c>
      <c r="H37" s="665"/>
      <c r="I37" s="19">
        <f t="shared" si="15"/>
        <v>1</v>
      </c>
      <c r="J37" s="665"/>
      <c r="K37" s="19">
        <f t="shared" si="16"/>
        <v>1</v>
      </c>
      <c r="L37" s="665"/>
      <c r="M37" s="19">
        <f t="shared" si="17"/>
        <v>1</v>
      </c>
      <c r="N37" s="665"/>
      <c r="O37" s="19">
        <f t="shared" si="18"/>
        <v>1</v>
      </c>
      <c r="P37" s="665"/>
      <c r="Q37" s="19">
        <f t="shared" si="19"/>
        <v>1</v>
      </c>
      <c r="R37" s="661">
        <f t="shared" si="20"/>
        <v>0</v>
      </c>
      <c r="S37" s="314">
        <f t="shared" si="11"/>
        <v>0</v>
      </c>
    </row>
    <row r="38" spans="1:19">
      <c r="A38" s="148"/>
      <c r="B38" s="52"/>
      <c r="C38" s="19">
        <f t="shared" si="12"/>
        <v>1</v>
      </c>
      <c r="D38" s="665"/>
      <c r="E38" s="19">
        <f t="shared" si="13"/>
        <v>1</v>
      </c>
      <c r="F38" s="665"/>
      <c r="G38" s="19">
        <f t="shared" si="14"/>
        <v>1</v>
      </c>
      <c r="H38" s="665"/>
      <c r="I38" s="19">
        <f t="shared" si="15"/>
        <v>1</v>
      </c>
      <c r="J38" s="665"/>
      <c r="K38" s="19">
        <f t="shared" si="16"/>
        <v>1</v>
      </c>
      <c r="L38" s="665"/>
      <c r="M38" s="19">
        <f t="shared" si="17"/>
        <v>1</v>
      </c>
      <c r="N38" s="665"/>
      <c r="O38" s="19">
        <f t="shared" si="18"/>
        <v>1</v>
      </c>
      <c r="P38" s="665"/>
      <c r="Q38" s="19">
        <f t="shared" si="19"/>
        <v>1</v>
      </c>
      <c r="R38" s="661">
        <f t="shared" si="20"/>
        <v>0</v>
      </c>
      <c r="S38" s="314">
        <f t="shared" si="11"/>
        <v>0</v>
      </c>
    </row>
    <row r="39" spans="1:19">
      <c r="A39" s="148"/>
      <c r="B39" s="52"/>
      <c r="C39" s="19">
        <f t="shared" si="12"/>
        <v>1</v>
      </c>
      <c r="D39" s="665"/>
      <c r="E39" s="19">
        <f t="shared" si="13"/>
        <v>1</v>
      </c>
      <c r="F39" s="665"/>
      <c r="G39" s="19">
        <f t="shared" si="14"/>
        <v>1</v>
      </c>
      <c r="H39" s="665"/>
      <c r="I39" s="19">
        <f t="shared" si="15"/>
        <v>1</v>
      </c>
      <c r="J39" s="665"/>
      <c r="K39" s="19">
        <f t="shared" si="16"/>
        <v>1</v>
      </c>
      <c r="L39" s="665"/>
      <c r="M39" s="19">
        <f t="shared" si="17"/>
        <v>1</v>
      </c>
      <c r="N39" s="665"/>
      <c r="O39" s="19">
        <f t="shared" si="18"/>
        <v>1</v>
      </c>
      <c r="P39" s="665"/>
      <c r="Q39" s="19">
        <f t="shared" si="19"/>
        <v>1</v>
      </c>
      <c r="R39" s="661">
        <f t="shared" si="20"/>
        <v>0</v>
      </c>
      <c r="S39" s="314">
        <f t="shared" si="11"/>
        <v>0</v>
      </c>
    </row>
    <row r="40" spans="1:19">
      <c r="A40" s="148"/>
      <c r="B40" s="52"/>
      <c r="C40" s="19">
        <f t="shared" si="12"/>
        <v>1</v>
      </c>
      <c r="D40" s="665"/>
      <c r="E40" s="19">
        <f t="shared" si="13"/>
        <v>1</v>
      </c>
      <c r="F40" s="665"/>
      <c r="G40" s="19">
        <f t="shared" si="14"/>
        <v>1</v>
      </c>
      <c r="H40" s="665"/>
      <c r="I40" s="19">
        <f t="shared" si="15"/>
        <v>1</v>
      </c>
      <c r="J40" s="665"/>
      <c r="K40" s="19">
        <f t="shared" si="16"/>
        <v>1</v>
      </c>
      <c r="L40" s="665"/>
      <c r="M40" s="19">
        <f t="shared" si="17"/>
        <v>1</v>
      </c>
      <c r="N40" s="665"/>
      <c r="O40" s="19">
        <f t="shared" si="18"/>
        <v>1</v>
      </c>
      <c r="P40" s="665"/>
      <c r="Q40" s="19">
        <f t="shared" si="19"/>
        <v>1</v>
      </c>
      <c r="R40" s="661">
        <f t="shared" si="20"/>
        <v>0</v>
      </c>
      <c r="S40" s="314">
        <f t="shared" si="11"/>
        <v>0</v>
      </c>
    </row>
    <row r="41" spans="1:19">
      <c r="A41" s="148"/>
      <c r="B41" s="52"/>
      <c r="C41" s="19">
        <f t="shared" si="12"/>
        <v>1</v>
      </c>
      <c r="D41" s="665"/>
      <c r="E41" s="19">
        <f t="shared" si="13"/>
        <v>1</v>
      </c>
      <c r="F41" s="665"/>
      <c r="G41" s="19">
        <f t="shared" si="14"/>
        <v>1</v>
      </c>
      <c r="H41" s="665"/>
      <c r="I41" s="19">
        <f t="shared" si="15"/>
        <v>1</v>
      </c>
      <c r="J41" s="665"/>
      <c r="K41" s="19">
        <f t="shared" si="16"/>
        <v>1</v>
      </c>
      <c r="L41" s="665"/>
      <c r="M41" s="19">
        <f t="shared" si="17"/>
        <v>1</v>
      </c>
      <c r="N41" s="665"/>
      <c r="O41" s="19">
        <f t="shared" si="18"/>
        <v>1</v>
      </c>
      <c r="P41" s="665"/>
      <c r="Q41" s="19">
        <f t="shared" si="19"/>
        <v>1</v>
      </c>
      <c r="R41" s="661">
        <f t="shared" si="20"/>
        <v>0</v>
      </c>
      <c r="S41" s="314">
        <f t="shared" si="11"/>
        <v>0</v>
      </c>
    </row>
    <row r="42" spans="1:19">
      <c r="A42" s="148"/>
      <c r="B42" s="52"/>
      <c r="C42" s="19">
        <f t="shared" si="12"/>
        <v>1</v>
      </c>
      <c r="D42" s="665"/>
      <c r="E42" s="19">
        <f t="shared" si="13"/>
        <v>1</v>
      </c>
      <c r="F42" s="665"/>
      <c r="G42" s="19">
        <f t="shared" si="14"/>
        <v>1</v>
      </c>
      <c r="H42" s="665"/>
      <c r="I42" s="19">
        <f t="shared" si="15"/>
        <v>1</v>
      </c>
      <c r="J42" s="665"/>
      <c r="K42" s="19">
        <f t="shared" si="16"/>
        <v>1</v>
      </c>
      <c r="L42" s="665"/>
      <c r="M42" s="19">
        <f t="shared" si="17"/>
        <v>1</v>
      </c>
      <c r="N42" s="665"/>
      <c r="O42" s="19">
        <f t="shared" si="18"/>
        <v>1</v>
      </c>
      <c r="P42" s="665"/>
      <c r="Q42" s="19">
        <f t="shared" si="19"/>
        <v>1</v>
      </c>
      <c r="R42" s="661">
        <f t="shared" si="20"/>
        <v>0</v>
      </c>
      <c r="S42" s="314">
        <f t="shared" si="11"/>
        <v>0</v>
      </c>
    </row>
    <row r="43" spans="1:19">
      <c r="A43" s="148"/>
      <c r="B43" s="52"/>
      <c r="C43" s="19">
        <f t="shared" si="12"/>
        <v>1</v>
      </c>
      <c r="D43" s="665"/>
      <c r="E43" s="19">
        <f t="shared" si="13"/>
        <v>1</v>
      </c>
      <c r="F43" s="665"/>
      <c r="G43" s="19">
        <f t="shared" si="14"/>
        <v>1</v>
      </c>
      <c r="H43" s="665"/>
      <c r="I43" s="19">
        <f t="shared" si="15"/>
        <v>1</v>
      </c>
      <c r="J43" s="665"/>
      <c r="K43" s="19">
        <f t="shared" si="16"/>
        <v>1</v>
      </c>
      <c r="L43" s="665"/>
      <c r="M43" s="19">
        <f t="shared" si="17"/>
        <v>1</v>
      </c>
      <c r="N43" s="665"/>
      <c r="O43" s="19">
        <f t="shared" si="18"/>
        <v>1</v>
      </c>
      <c r="P43" s="665"/>
      <c r="Q43" s="19">
        <f t="shared" si="19"/>
        <v>1</v>
      </c>
      <c r="R43" s="661">
        <f t="shared" si="20"/>
        <v>0</v>
      </c>
      <c r="S43" s="314">
        <f t="shared" si="11"/>
        <v>0</v>
      </c>
    </row>
    <row r="44" spans="1:19">
      <c r="A44" s="148"/>
      <c r="B44" s="52"/>
      <c r="C44" s="19">
        <f t="shared" si="12"/>
        <v>1</v>
      </c>
      <c r="D44" s="665"/>
      <c r="E44" s="19">
        <f t="shared" si="13"/>
        <v>1</v>
      </c>
      <c r="F44" s="665"/>
      <c r="G44" s="19">
        <f t="shared" si="14"/>
        <v>1</v>
      </c>
      <c r="H44" s="665"/>
      <c r="I44" s="19">
        <f t="shared" si="15"/>
        <v>1</v>
      </c>
      <c r="J44" s="665"/>
      <c r="K44" s="19">
        <f t="shared" si="16"/>
        <v>1</v>
      </c>
      <c r="L44" s="665"/>
      <c r="M44" s="19">
        <f t="shared" si="17"/>
        <v>1</v>
      </c>
      <c r="N44" s="665"/>
      <c r="O44" s="19">
        <f t="shared" si="18"/>
        <v>1</v>
      </c>
      <c r="P44" s="665"/>
      <c r="Q44" s="19">
        <f t="shared" si="19"/>
        <v>1</v>
      </c>
      <c r="R44" s="661">
        <f t="shared" si="20"/>
        <v>0</v>
      </c>
      <c r="S44" s="314">
        <f t="shared" si="11"/>
        <v>0</v>
      </c>
    </row>
    <row r="45" spans="1:19">
      <c r="A45" s="148"/>
      <c r="B45" s="52"/>
      <c r="C45" s="19">
        <f t="shared" si="12"/>
        <v>1</v>
      </c>
      <c r="D45" s="665"/>
      <c r="E45" s="19">
        <f t="shared" si="13"/>
        <v>1</v>
      </c>
      <c r="F45" s="665"/>
      <c r="G45" s="19">
        <f t="shared" si="14"/>
        <v>1</v>
      </c>
      <c r="H45" s="665"/>
      <c r="I45" s="19">
        <f t="shared" si="15"/>
        <v>1</v>
      </c>
      <c r="J45" s="665"/>
      <c r="K45" s="19">
        <f t="shared" si="16"/>
        <v>1</v>
      </c>
      <c r="L45" s="665"/>
      <c r="M45" s="19">
        <f t="shared" si="17"/>
        <v>1</v>
      </c>
      <c r="N45" s="665"/>
      <c r="O45" s="19">
        <f t="shared" si="18"/>
        <v>1</v>
      </c>
      <c r="P45" s="665"/>
      <c r="Q45" s="19">
        <f t="shared" si="19"/>
        <v>1</v>
      </c>
      <c r="R45" s="661">
        <f t="shared" si="20"/>
        <v>0</v>
      </c>
      <c r="S45" s="314">
        <f t="shared" si="11"/>
        <v>0</v>
      </c>
    </row>
    <row r="46" spans="1:19">
      <c r="A46" s="148"/>
      <c r="B46" s="52"/>
      <c r="C46" s="19">
        <f t="shared" si="12"/>
        <v>1</v>
      </c>
      <c r="D46" s="665"/>
      <c r="E46" s="19">
        <f t="shared" si="13"/>
        <v>1</v>
      </c>
      <c r="F46" s="665"/>
      <c r="G46" s="19">
        <f t="shared" si="14"/>
        <v>1</v>
      </c>
      <c r="H46" s="665"/>
      <c r="I46" s="19">
        <f t="shared" si="15"/>
        <v>1</v>
      </c>
      <c r="J46" s="665"/>
      <c r="K46" s="19">
        <f t="shared" si="16"/>
        <v>1</v>
      </c>
      <c r="L46" s="665"/>
      <c r="M46" s="19">
        <f t="shared" si="17"/>
        <v>1</v>
      </c>
      <c r="N46" s="665"/>
      <c r="O46" s="19">
        <f t="shared" si="18"/>
        <v>1</v>
      </c>
      <c r="P46" s="665"/>
      <c r="Q46" s="19">
        <f t="shared" si="19"/>
        <v>1</v>
      </c>
      <c r="R46" s="661">
        <f t="shared" si="20"/>
        <v>0</v>
      </c>
      <c r="S46" s="314">
        <f t="shared" si="11"/>
        <v>0</v>
      </c>
    </row>
    <row r="47" spans="1:19">
      <c r="A47" s="148"/>
      <c r="B47" s="52"/>
      <c r="C47" s="19">
        <f t="shared" si="12"/>
        <v>1</v>
      </c>
      <c r="D47" s="665"/>
      <c r="E47" s="19">
        <f t="shared" si="13"/>
        <v>1</v>
      </c>
      <c r="F47" s="665"/>
      <c r="G47" s="19">
        <f t="shared" si="14"/>
        <v>1</v>
      </c>
      <c r="H47" s="665"/>
      <c r="I47" s="19">
        <f t="shared" si="15"/>
        <v>1</v>
      </c>
      <c r="J47" s="665"/>
      <c r="K47" s="19">
        <f t="shared" si="16"/>
        <v>1</v>
      </c>
      <c r="L47" s="665"/>
      <c r="M47" s="19">
        <f t="shared" si="17"/>
        <v>1</v>
      </c>
      <c r="N47" s="665"/>
      <c r="O47" s="19">
        <f t="shared" si="18"/>
        <v>1</v>
      </c>
      <c r="P47" s="665"/>
      <c r="Q47" s="19">
        <f t="shared" si="19"/>
        <v>1</v>
      </c>
      <c r="R47" s="661">
        <f t="shared" si="20"/>
        <v>0</v>
      </c>
      <c r="S47" s="314">
        <f t="shared" si="11"/>
        <v>0</v>
      </c>
    </row>
    <row r="48" spans="1:19">
      <c r="A48" s="148"/>
      <c r="B48" s="52"/>
      <c r="C48" s="19">
        <f t="shared" si="12"/>
        <v>1</v>
      </c>
      <c r="D48" s="665"/>
      <c r="E48" s="19">
        <f t="shared" si="13"/>
        <v>1</v>
      </c>
      <c r="F48" s="665"/>
      <c r="G48" s="19">
        <f t="shared" si="14"/>
        <v>1</v>
      </c>
      <c r="H48" s="665"/>
      <c r="I48" s="19">
        <f t="shared" si="15"/>
        <v>1</v>
      </c>
      <c r="J48" s="665"/>
      <c r="K48" s="19">
        <f t="shared" si="16"/>
        <v>1</v>
      </c>
      <c r="L48" s="665"/>
      <c r="M48" s="19">
        <f t="shared" si="17"/>
        <v>1</v>
      </c>
      <c r="N48" s="665"/>
      <c r="O48" s="19">
        <f t="shared" si="18"/>
        <v>1</v>
      </c>
      <c r="P48" s="665"/>
      <c r="Q48" s="19">
        <f t="shared" si="19"/>
        <v>1</v>
      </c>
      <c r="R48" s="661">
        <f t="shared" si="20"/>
        <v>0</v>
      </c>
      <c r="S48" s="314">
        <f t="shared" si="11"/>
        <v>0</v>
      </c>
    </row>
    <row r="49" spans="1:19">
      <c r="A49" s="148"/>
      <c r="B49" s="52"/>
      <c r="C49" s="19">
        <f t="shared" si="12"/>
        <v>1</v>
      </c>
      <c r="D49" s="665"/>
      <c r="E49" s="19">
        <f t="shared" si="13"/>
        <v>1</v>
      </c>
      <c r="F49" s="665"/>
      <c r="G49" s="19">
        <f t="shared" si="14"/>
        <v>1</v>
      </c>
      <c r="H49" s="665"/>
      <c r="I49" s="19">
        <f t="shared" si="15"/>
        <v>1</v>
      </c>
      <c r="J49" s="665"/>
      <c r="K49" s="19">
        <f t="shared" si="16"/>
        <v>1</v>
      </c>
      <c r="L49" s="665"/>
      <c r="M49" s="19">
        <f t="shared" si="17"/>
        <v>1</v>
      </c>
      <c r="N49" s="665"/>
      <c r="O49" s="19">
        <f t="shared" si="18"/>
        <v>1</v>
      </c>
      <c r="P49" s="665"/>
      <c r="Q49" s="19">
        <f t="shared" si="19"/>
        <v>1</v>
      </c>
      <c r="R49" s="661">
        <f t="shared" si="20"/>
        <v>0</v>
      </c>
      <c r="S49" s="314">
        <f t="shared" si="11"/>
        <v>0</v>
      </c>
    </row>
    <row r="50" spans="1:19">
      <c r="A50" s="148"/>
      <c r="B50" s="52"/>
      <c r="C50" s="19">
        <f t="shared" si="12"/>
        <v>1</v>
      </c>
      <c r="D50" s="665"/>
      <c r="E50" s="19">
        <f t="shared" si="13"/>
        <v>1</v>
      </c>
      <c r="F50" s="665"/>
      <c r="G50" s="19">
        <f t="shared" si="14"/>
        <v>1</v>
      </c>
      <c r="H50" s="665"/>
      <c r="I50" s="19">
        <f t="shared" si="15"/>
        <v>1</v>
      </c>
      <c r="J50" s="665"/>
      <c r="K50" s="19">
        <f t="shared" si="16"/>
        <v>1</v>
      </c>
      <c r="L50" s="665"/>
      <c r="M50" s="19">
        <f t="shared" si="17"/>
        <v>1</v>
      </c>
      <c r="N50" s="665"/>
      <c r="O50" s="19">
        <f t="shared" si="18"/>
        <v>1</v>
      </c>
      <c r="P50" s="665"/>
      <c r="Q50" s="19">
        <f t="shared" si="19"/>
        <v>1</v>
      </c>
      <c r="R50" s="661">
        <f t="shared" si="20"/>
        <v>0</v>
      </c>
      <c r="S50" s="314">
        <f t="shared" si="11"/>
        <v>0</v>
      </c>
    </row>
    <row r="51" spans="1:19">
      <c r="A51" s="148"/>
      <c r="B51" s="52"/>
      <c r="C51" s="19">
        <f t="shared" si="12"/>
        <v>1</v>
      </c>
      <c r="D51" s="665"/>
      <c r="E51" s="19">
        <f t="shared" si="13"/>
        <v>1</v>
      </c>
      <c r="F51" s="665"/>
      <c r="G51" s="19">
        <f t="shared" si="14"/>
        <v>1</v>
      </c>
      <c r="H51" s="665"/>
      <c r="I51" s="19">
        <f t="shared" si="15"/>
        <v>1</v>
      </c>
      <c r="J51" s="665"/>
      <c r="K51" s="19">
        <f t="shared" si="16"/>
        <v>1</v>
      </c>
      <c r="L51" s="665"/>
      <c r="M51" s="19">
        <f t="shared" si="17"/>
        <v>1</v>
      </c>
      <c r="N51" s="665"/>
      <c r="O51" s="19">
        <f t="shared" si="18"/>
        <v>1</v>
      </c>
      <c r="P51" s="665"/>
      <c r="Q51" s="19">
        <f t="shared" si="19"/>
        <v>1</v>
      </c>
      <c r="R51" s="661">
        <f t="shared" si="20"/>
        <v>0</v>
      </c>
      <c r="S51" s="314">
        <f t="shared" si="11"/>
        <v>0</v>
      </c>
    </row>
    <row r="52" spans="1:19">
      <c r="A52" s="148"/>
      <c r="B52" s="52"/>
      <c r="C52" s="19">
        <f t="shared" si="12"/>
        <v>1</v>
      </c>
      <c r="D52" s="665"/>
      <c r="E52" s="19">
        <f t="shared" si="13"/>
        <v>1</v>
      </c>
      <c r="F52" s="665"/>
      <c r="G52" s="19">
        <f t="shared" si="14"/>
        <v>1</v>
      </c>
      <c r="H52" s="665"/>
      <c r="I52" s="19">
        <f t="shared" si="15"/>
        <v>1</v>
      </c>
      <c r="J52" s="665"/>
      <c r="K52" s="19">
        <f t="shared" si="16"/>
        <v>1</v>
      </c>
      <c r="L52" s="665"/>
      <c r="M52" s="19">
        <f t="shared" si="17"/>
        <v>1</v>
      </c>
      <c r="N52" s="665"/>
      <c r="O52" s="19">
        <f t="shared" si="18"/>
        <v>1</v>
      </c>
      <c r="P52" s="665"/>
      <c r="Q52" s="19">
        <f t="shared" si="19"/>
        <v>1</v>
      </c>
      <c r="R52" s="661">
        <f t="shared" si="20"/>
        <v>0</v>
      </c>
      <c r="S52" s="314">
        <f t="shared" si="11"/>
        <v>0</v>
      </c>
    </row>
    <row r="53" spans="1:19">
      <c r="A53" s="148"/>
      <c r="B53" s="52"/>
      <c r="C53" s="19">
        <f t="shared" si="12"/>
        <v>1</v>
      </c>
      <c r="D53" s="665"/>
      <c r="E53" s="19">
        <f t="shared" si="13"/>
        <v>1</v>
      </c>
      <c r="F53" s="665"/>
      <c r="G53" s="19">
        <f t="shared" si="14"/>
        <v>1</v>
      </c>
      <c r="H53" s="665"/>
      <c r="I53" s="19">
        <f t="shared" si="15"/>
        <v>1</v>
      </c>
      <c r="J53" s="665"/>
      <c r="K53" s="19">
        <f t="shared" si="16"/>
        <v>1</v>
      </c>
      <c r="L53" s="665"/>
      <c r="M53" s="19">
        <f t="shared" si="17"/>
        <v>1</v>
      </c>
      <c r="N53" s="665"/>
      <c r="O53" s="19">
        <f t="shared" si="18"/>
        <v>1</v>
      </c>
      <c r="P53" s="665"/>
      <c r="Q53" s="19">
        <f t="shared" si="19"/>
        <v>1</v>
      </c>
      <c r="R53" s="661">
        <f t="shared" si="20"/>
        <v>0</v>
      </c>
      <c r="S53" s="314">
        <f t="shared" si="11"/>
        <v>0</v>
      </c>
    </row>
    <row r="54" spans="1:19">
      <c r="A54" s="148"/>
      <c r="B54" s="52"/>
      <c r="C54" s="19">
        <f t="shared" si="12"/>
        <v>1</v>
      </c>
      <c r="D54" s="665"/>
      <c r="E54" s="19">
        <f t="shared" si="13"/>
        <v>1</v>
      </c>
      <c r="F54" s="665"/>
      <c r="G54" s="19">
        <f t="shared" si="14"/>
        <v>1</v>
      </c>
      <c r="H54" s="665"/>
      <c r="I54" s="19">
        <f t="shared" si="15"/>
        <v>1</v>
      </c>
      <c r="J54" s="665"/>
      <c r="K54" s="19">
        <f t="shared" si="16"/>
        <v>1</v>
      </c>
      <c r="L54" s="665"/>
      <c r="M54" s="19">
        <f t="shared" si="17"/>
        <v>1</v>
      </c>
      <c r="N54" s="665"/>
      <c r="O54" s="19">
        <f t="shared" si="18"/>
        <v>1</v>
      </c>
      <c r="P54" s="665"/>
      <c r="Q54" s="19">
        <f t="shared" si="19"/>
        <v>1</v>
      </c>
      <c r="R54" s="661">
        <f t="shared" si="20"/>
        <v>0</v>
      </c>
      <c r="S54" s="314">
        <f t="shared" si="11"/>
        <v>0</v>
      </c>
    </row>
    <row r="55" spans="1:19">
      <c r="A55" s="148"/>
      <c r="B55" s="52"/>
      <c r="C55" s="19">
        <f t="shared" si="12"/>
        <v>1</v>
      </c>
      <c r="D55" s="665"/>
      <c r="E55" s="19">
        <f t="shared" si="13"/>
        <v>1</v>
      </c>
      <c r="F55" s="665"/>
      <c r="G55" s="19">
        <f t="shared" si="14"/>
        <v>1</v>
      </c>
      <c r="H55" s="665"/>
      <c r="I55" s="19">
        <f t="shared" si="15"/>
        <v>1</v>
      </c>
      <c r="J55" s="665"/>
      <c r="K55" s="19">
        <f t="shared" si="16"/>
        <v>1</v>
      </c>
      <c r="L55" s="665"/>
      <c r="M55" s="19">
        <f t="shared" si="17"/>
        <v>1</v>
      </c>
      <c r="N55" s="665"/>
      <c r="O55" s="19">
        <f t="shared" si="18"/>
        <v>1</v>
      </c>
      <c r="P55" s="665"/>
      <c r="Q55" s="19">
        <f t="shared" si="19"/>
        <v>1</v>
      </c>
      <c r="R55" s="661">
        <f t="shared" si="20"/>
        <v>0</v>
      </c>
      <c r="S55" s="314">
        <f t="shared" ref="S55:S77" si="21">ROUND(R55*B55/10000,0)</f>
        <v>0</v>
      </c>
    </row>
    <row r="56" spans="1:19">
      <c r="A56" s="148"/>
      <c r="B56" s="52"/>
      <c r="C56" s="19">
        <f t="shared" si="12"/>
        <v>1</v>
      </c>
      <c r="D56" s="665"/>
      <c r="E56" s="19">
        <f t="shared" si="13"/>
        <v>1</v>
      </c>
      <c r="F56" s="665"/>
      <c r="G56" s="19">
        <f t="shared" si="14"/>
        <v>1</v>
      </c>
      <c r="H56" s="665"/>
      <c r="I56" s="19">
        <f t="shared" si="15"/>
        <v>1</v>
      </c>
      <c r="J56" s="665"/>
      <c r="K56" s="19">
        <f t="shared" si="16"/>
        <v>1</v>
      </c>
      <c r="L56" s="665"/>
      <c r="M56" s="19">
        <f t="shared" si="17"/>
        <v>1</v>
      </c>
      <c r="N56" s="665"/>
      <c r="O56" s="19">
        <f t="shared" si="18"/>
        <v>1</v>
      </c>
      <c r="P56" s="665"/>
      <c r="Q56" s="19">
        <f t="shared" si="19"/>
        <v>1</v>
      </c>
      <c r="R56" s="661">
        <f t="shared" si="20"/>
        <v>0</v>
      </c>
      <c r="S56" s="314">
        <f t="shared" si="21"/>
        <v>0</v>
      </c>
    </row>
    <row r="57" spans="1:19">
      <c r="A57" s="148"/>
      <c r="B57" s="52"/>
      <c r="C57" s="19">
        <f t="shared" si="12"/>
        <v>1</v>
      </c>
      <c r="D57" s="665"/>
      <c r="E57" s="19">
        <f t="shared" si="13"/>
        <v>1</v>
      </c>
      <c r="F57" s="665"/>
      <c r="G57" s="19">
        <f t="shared" si="14"/>
        <v>1</v>
      </c>
      <c r="H57" s="665"/>
      <c r="I57" s="19">
        <f t="shared" si="15"/>
        <v>1</v>
      </c>
      <c r="J57" s="665"/>
      <c r="K57" s="19">
        <f t="shared" si="16"/>
        <v>1</v>
      </c>
      <c r="L57" s="665"/>
      <c r="M57" s="19">
        <f t="shared" si="17"/>
        <v>1</v>
      </c>
      <c r="N57" s="665"/>
      <c r="O57" s="19">
        <f t="shared" si="18"/>
        <v>1</v>
      </c>
      <c r="P57" s="665"/>
      <c r="Q57" s="19">
        <f t="shared" si="19"/>
        <v>1</v>
      </c>
      <c r="R57" s="661">
        <f t="shared" si="20"/>
        <v>0</v>
      </c>
      <c r="S57" s="314">
        <f t="shared" si="21"/>
        <v>0</v>
      </c>
    </row>
    <row r="58" spans="1:19">
      <c r="A58" s="148"/>
      <c r="B58" s="52"/>
      <c r="C58" s="19">
        <f t="shared" si="12"/>
        <v>1</v>
      </c>
      <c r="D58" s="665"/>
      <c r="E58" s="19">
        <f t="shared" si="13"/>
        <v>1</v>
      </c>
      <c r="F58" s="665"/>
      <c r="G58" s="19">
        <f t="shared" si="14"/>
        <v>1</v>
      </c>
      <c r="H58" s="665"/>
      <c r="I58" s="19">
        <f t="shared" si="15"/>
        <v>1</v>
      </c>
      <c r="J58" s="665"/>
      <c r="K58" s="19">
        <f t="shared" si="16"/>
        <v>1</v>
      </c>
      <c r="L58" s="665"/>
      <c r="M58" s="19">
        <f t="shared" si="17"/>
        <v>1</v>
      </c>
      <c r="N58" s="665"/>
      <c r="O58" s="19">
        <f t="shared" si="18"/>
        <v>1</v>
      </c>
      <c r="P58" s="665"/>
      <c r="Q58" s="19">
        <f t="shared" si="19"/>
        <v>1</v>
      </c>
      <c r="R58" s="661">
        <f t="shared" si="20"/>
        <v>0</v>
      </c>
      <c r="S58" s="314">
        <f t="shared" si="21"/>
        <v>0</v>
      </c>
    </row>
    <row r="59" spans="1:19">
      <c r="A59" s="148"/>
      <c r="B59" s="52"/>
      <c r="C59" s="19">
        <f t="shared" si="12"/>
        <v>1</v>
      </c>
      <c r="D59" s="665"/>
      <c r="E59" s="19">
        <f t="shared" si="13"/>
        <v>1</v>
      </c>
      <c r="F59" s="665"/>
      <c r="G59" s="19">
        <f t="shared" si="14"/>
        <v>1</v>
      </c>
      <c r="H59" s="665"/>
      <c r="I59" s="19">
        <f t="shared" si="15"/>
        <v>1</v>
      </c>
      <c r="J59" s="665"/>
      <c r="K59" s="19">
        <f t="shared" si="16"/>
        <v>1</v>
      </c>
      <c r="L59" s="665"/>
      <c r="M59" s="19">
        <f t="shared" si="17"/>
        <v>1</v>
      </c>
      <c r="N59" s="665"/>
      <c r="O59" s="19">
        <f t="shared" si="18"/>
        <v>1</v>
      </c>
      <c r="P59" s="665"/>
      <c r="Q59" s="19">
        <f t="shared" si="19"/>
        <v>1</v>
      </c>
      <c r="R59" s="661">
        <f t="shared" si="20"/>
        <v>0</v>
      </c>
      <c r="S59" s="314">
        <f t="shared" si="21"/>
        <v>0</v>
      </c>
    </row>
    <row r="60" spans="1:19">
      <c r="A60" s="148"/>
      <c r="B60" s="52"/>
      <c r="C60" s="19">
        <f t="shared" si="12"/>
        <v>1</v>
      </c>
      <c r="D60" s="665"/>
      <c r="E60" s="19">
        <f t="shared" si="13"/>
        <v>1</v>
      </c>
      <c r="F60" s="665"/>
      <c r="G60" s="19">
        <f t="shared" si="14"/>
        <v>1</v>
      </c>
      <c r="H60" s="665"/>
      <c r="I60" s="19">
        <f t="shared" si="15"/>
        <v>1</v>
      </c>
      <c r="J60" s="665"/>
      <c r="K60" s="19">
        <f t="shared" si="16"/>
        <v>1</v>
      </c>
      <c r="L60" s="665"/>
      <c r="M60" s="19">
        <f t="shared" si="17"/>
        <v>1</v>
      </c>
      <c r="N60" s="665"/>
      <c r="O60" s="19">
        <f t="shared" si="18"/>
        <v>1</v>
      </c>
      <c r="P60" s="665"/>
      <c r="Q60" s="19">
        <f t="shared" si="19"/>
        <v>1</v>
      </c>
      <c r="R60" s="661">
        <f t="shared" si="20"/>
        <v>0</v>
      </c>
      <c r="S60" s="314">
        <f t="shared" si="21"/>
        <v>0</v>
      </c>
    </row>
    <row r="61" spans="1:19">
      <c r="A61" s="148"/>
      <c r="B61" s="52"/>
      <c r="C61" s="19">
        <f t="shared" si="12"/>
        <v>1</v>
      </c>
      <c r="D61" s="665"/>
      <c r="E61" s="19">
        <f t="shared" si="13"/>
        <v>1</v>
      </c>
      <c r="F61" s="665"/>
      <c r="G61" s="19">
        <f t="shared" si="14"/>
        <v>1</v>
      </c>
      <c r="H61" s="665"/>
      <c r="I61" s="19">
        <f t="shared" si="15"/>
        <v>1</v>
      </c>
      <c r="J61" s="665"/>
      <c r="K61" s="19">
        <f t="shared" si="16"/>
        <v>1</v>
      </c>
      <c r="L61" s="665"/>
      <c r="M61" s="19">
        <f t="shared" si="17"/>
        <v>1</v>
      </c>
      <c r="N61" s="665"/>
      <c r="O61" s="19">
        <f t="shared" si="18"/>
        <v>1</v>
      </c>
      <c r="P61" s="665"/>
      <c r="Q61" s="19">
        <f t="shared" si="19"/>
        <v>1</v>
      </c>
      <c r="R61" s="661">
        <f t="shared" si="20"/>
        <v>0</v>
      </c>
      <c r="S61" s="314">
        <f t="shared" si="21"/>
        <v>0</v>
      </c>
    </row>
    <row r="62" spans="1:19">
      <c r="A62" s="148"/>
      <c r="B62" s="52"/>
      <c r="C62" s="19">
        <f t="shared" si="12"/>
        <v>1</v>
      </c>
      <c r="D62" s="665"/>
      <c r="E62" s="19">
        <f t="shared" si="13"/>
        <v>1</v>
      </c>
      <c r="F62" s="665"/>
      <c r="G62" s="19">
        <f t="shared" si="14"/>
        <v>1</v>
      </c>
      <c r="H62" s="665"/>
      <c r="I62" s="19">
        <f t="shared" si="15"/>
        <v>1</v>
      </c>
      <c r="J62" s="665"/>
      <c r="K62" s="19">
        <f t="shared" si="16"/>
        <v>1</v>
      </c>
      <c r="L62" s="665"/>
      <c r="M62" s="19">
        <f t="shared" si="17"/>
        <v>1</v>
      </c>
      <c r="N62" s="665"/>
      <c r="O62" s="19">
        <f t="shared" si="18"/>
        <v>1</v>
      </c>
      <c r="P62" s="665"/>
      <c r="Q62" s="19">
        <f t="shared" si="19"/>
        <v>1</v>
      </c>
      <c r="R62" s="661">
        <f t="shared" si="20"/>
        <v>0</v>
      </c>
      <c r="S62" s="314">
        <f t="shared" si="21"/>
        <v>0</v>
      </c>
    </row>
    <row r="63" spans="1:19">
      <c r="A63" s="148"/>
      <c r="B63" s="52"/>
      <c r="C63" s="19">
        <f t="shared" si="12"/>
        <v>1</v>
      </c>
      <c r="D63" s="665"/>
      <c r="E63" s="19">
        <f t="shared" si="13"/>
        <v>1</v>
      </c>
      <c r="F63" s="665"/>
      <c r="G63" s="19">
        <f t="shared" si="14"/>
        <v>1</v>
      </c>
      <c r="H63" s="665"/>
      <c r="I63" s="19">
        <f t="shared" si="15"/>
        <v>1</v>
      </c>
      <c r="J63" s="665"/>
      <c r="K63" s="19">
        <f t="shared" si="16"/>
        <v>1</v>
      </c>
      <c r="L63" s="665"/>
      <c r="M63" s="19">
        <f t="shared" si="17"/>
        <v>1</v>
      </c>
      <c r="N63" s="665"/>
      <c r="O63" s="19">
        <f t="shared" si="18"/>
        <v>1</v>
      </c>
      <c r="P63" s="665"/>
      <c r="Q63" s="19">
        <f t="shared" si="19"/>
        <v>1</v>
      </c>
      <c r="R63" s="661">
        <f t="shared" si="20"/>
        <v>0</v>
      </c>
      <c r="S63" s="314">
        <f t="shared" si="21"/>
        <v>0</v>
      </c>
    </row>
    <row r="64" spans="1:19">
      <c r="A64" s="148"/>
      <c r="B64" s="52"/>
      <c r="C64" s="19">
        <f t="shared" si="12"/>
        <v>1</v>
      </c>
      <c r="D64" s="665"/>
      <c r="E64" s="19">
        <f t="shared" si="13"/>
        <v>1</v>
      </c>
      <c r="F64" s="665"/>
      <c r="G64" s="19">
        <f t="shared" si="14"/>
        <v>1</v>
      </c>
      <c r="H64" s="665"/>
      <c r="I64" s="19">
        <f t="shared" si="15"/>
        <v>1</v>
      </c>
      <c r="J64" s="665"/>
      <c r="K64" s="19">
        <f t="shared" si="16"/>
        <v>1</v>
      </c>
      <c r="L64" s="665"/>
      <c r="M64" s="19">
        <f t="shared" si="17"/>
        <v>1</v>
      </c>
      <c r="N64" s="665"/>
      <c r="O64" s="19">
        <f t="shared" si="18"/>
        <v>1</v>
      </c>
      <c r="P64" s="665"/>
      <c r="Q64" s="19">
        <f t="shared" si="19"/>
        <v>1</v>
      </c>
      <c r="R64" s="661">
        <f t="shared" si="20"/>
        <v>0</v>
      </c>
      <c r="S64" s="314">
        <f t="shared" si="21"/>
        <v>0</v>
      </c>
    </row>
    <row r="65" spans="1:19">
      <c r="A65" s="148"/>
      <c r="B65" s="52"/>
      <c r="C65" s="19">
        <f t="shared" si="12"/>
        <v>1</v>
      </c>
      <c r="D65" s="665"/>
      <c r="E65" s="19">
        <f t="shared" si="13"/>
        <v>1</v>
      </c>
      <c r="F65" s="665"/>
      <c r="G65" s="19">
        <f t="shared" si="14"/>
        <v>1</v>
      </c>
      <c r="H65" s="665"/>
      <c r="I65" s="19">
        <f t="shared" si="15"/>
        <v>1</v>
      </c>
      <c r="J65" s="665"/>
      <c r="K65" s="19">
        <f t="shared" si="16"/>
        <v>1</v>
      </c>
      <c r="L65" s="665"/>
      <c r="M65" s="19">
        <f t="shared" si="17"/>
        <v>1</v>
      </c>
      <c r="N65" s="665"/>
      <c r="O65" s="19">
        <f t="shared" si="18"/>
        <v>1</v>
      </c>
      <c r="P65" s="665"/>
      <c r="Q65" s="19">
        <f t="shared" si="19"/>
        <v>1</v>
      </c>
      <c r="R65" s="661">
        <f t="shared" si="20"/>
        <v>0</v>
      </c>
      <c r="S65" s="314">
        <f t="shared" si="21"/>
        <v>0</v>
      </c>
    </row>
    <row r="66" spans="1:19">
      <c r="A66" s="148"/>
      <c r="B66" s="52"/>
      <c r="C66" s="19">
        <f t="shared" si="12"/>
        <v>1</v>
      </c>
      <c r="D66" s="665"/>
      <c r="E66" s="19">
        <f t="shared" si="13"/>
        <v>1</v>
      </c>
      <c r="F66" s="665"/>
      <c r="G66" s="19">
        <f t="shared" si="14"/>
        <v>1</v>
      </c>
      <c r="H66" s="665"/>
      <c r="I66" s="19">
        <f t="shared" si="15"/>
        <v>1</v>
      </c>
      <c r="J66" s="665"/>
      <c r="K66" s="19">
        <f t="shared" si="16"/>
        <v>1</v>
      </c>
      <c r="L66" s="665"/>
      <c r="M66" s="19">
        <f t="shared" si="17"/>
        <v>1</v>
      </c>
      <c r="N66" s="665"/>
      <c r="O66" s="19">
        <f t="shared" si="18"/>
        <v>1</v>
      </c>
      <c r="P66" s="665"/>
      <c r="Q66" s="19">
        <f t="shared" si="19"/>
        <v>1</v>
      </c>
      <c r="R66" s="661">
        <f t="shared" si="20"/>
        <v>0</v>
      </c>
      <c r="S66" s="314">
        <f t="shared" si="21"/>
        <v>0</v>
      </c>
    </row>
    <row r="67" spans="1:19">
      <c r="A67" s="148"/>
      <c r="B67" s="52"/>
      <c r="C67" s="19">
        <f t="shared" si="12"/>
        <v>1</v>
      </c>
      <c r="D67" s="665"/>
      <c r="E67" s="19">
        <f t="shared" si="13"/>
        <v>1</v>
      </c>
      <c r="F67" s="665"/>
      <c r="G67" s="19">
        <f t="shared" si="14"/>
        <v>1</v>
      </c>
      <c r="H67" s="665"/>
      <c r="I67" s="19">
        <f t="shared" si="15"/>
        <v>1</v>
      </c>
      <c r="J67" s="665"/>
      <c r="K67" s="19">
        <f t="shared" si="16"/>
        <v>1</v>
      </c>
      <c r="L67" s="665"/>
      <c r="M67" s="19">
        <f t="shared" si="17"/>
        <v>1</v>
      </c>
      <c r="N67" s="665"/>
      <c r="O67" s="19">
        <f t="shared" si="18"/>
        <v>1</v>
      </c>
      <c r="P67" s="665"/>
      <c r="Q67" s="19">
        <f t="shared" si="19"/>
        <v>1</v>
      </c>
      <c r="R67" s="661">
        <f t="shared" si="20"/>
        <v>0</v>
      </c>
      <c r="S67" s="314">
        <f t="shared" si="21"/>
        <v>0</v>
      </c>
    </row>
    <row r="68" spans="1:19">
      <c r="A68" s="148"/>
      <c r="B68" s="52"/>
      <c r="C68" s="19">
        <f t="shared" si="12"/>
        <v>1</v>
      </c>
      <c r="D68" s="665"/>
      <c r="E68" s="19">
        <f t="shared" si="13"/>
        <v>1</v>
      </c>
      <c r="F68" s="665"/>
      <c r="G68" s="19">
        <f t="shared" si="14"/>
        <v>1</v>
      </c>
      <c r="H68" s="665"/>
      <c r="I68" s="19">
        <f t="shared" si="15"/>
        <v>1</v>
      </c>
      <c r="J68" s="665"/>
      <c r="K68" s="19">
        <f t="shared" si="16"/>
        <v>1</v>
      </c>
      <c r="L68" s="665"/>
      <c r="M68" s="19">
        <f t="shared" si="17"/>
        <v>1</v>
      </c>
      <c r="N68" s="665"/>
      <c r="O68" s="19">
        <f t="shared" si="18"/>
        <v>1</v>
      </c>
      <c r="P68" s="665"/>
      <c r="Q68" s="19">
        <f t="shared" si="19"/>
        <v>1</v>
      </c>
      <c r="R68" s="661">
        <f t="shared" si="20"/>
        <v>0</v>
      </c>
      <c r="S68" s="314">
        <f t="shared" si="21"/>
        <v>0</v>
      </c>
    </row>
    <row r="69" spans="1:19">
      <c r="A69" s="148"/>
      <c r="B69" s="52"/>
      <c r="C69" s="19">
        <f t="shared" si="12"/>
        <v>1</v>
      </c>
      <c r="D69" s="665"/>
      <c r="E69" s="19">
        <f t="shared" si="13"/>
        <v>1</v>
      </c>
      <c r="F69" s="665"/>
      <c r="G69" s="19">
        <f t="shared" si="14"/>
        <v>1</v>
      </c>
      <c r="H69" s="665"/>
      <c r="I69" s="19">
        <f t="shared" si="15"/>
        <v>1</v>
      </c>
      <c r="J69" s="665"/>
      <c r="K69" s="19">
        <f t="shared" si="16"/>
        <v>1</v>
      </c>
      <c r="L69" s="665"/>
      <c r="M69" s="19">
        <f t="shared" si="17"/>
        <v>1</v>
      </c>
      <c r="N69" s="665"/>
      <c r="O69" s="19">
        <f t="shared" si="18"/>
        <v>1</v>
      </c>
      <c r="P69" s="665"/>
      <c r="Q69" s="19">
        <f t="shared" si="19"/>
        <v>1</v>
      </c>
      <c r="R69" s="661">
        <f t="shared" si="20"/>
        <v>0</v>
      </c>
      <c r="S69" s="314">
        <f t="shared" si="21"/>
        <v>0</v>
      </c>
    </row>
    <row r="70" spans="1:19">
      <c r="A70" s="148"/>
      <c r="B70" s="52"/>
      <c r="C70" s="19">
        <f t="shared" si="12"/>
        <v>1</v>
      </c>
      <c r="D70" s="665"/>
      <c r="E70" s="19">
        <f t="shared" si="13"/>
        <v>1</v>
      </c>
      <c r="F70" s="665"/>
      <c r="G70" s="19">
        <f t="shared" si="14"/>
        <v>1</v>
      </c>
      <c r="H70" s="665"/>
      <c r="I70" s="19">
        <f t="shared" si="15"/>
        <v>1</v>
      </c>
      <c r="J70" s="665"/>
      <c r="K70" s="19">
        <f t="shared" si="16"/>
        <v>1</v>
      </c>
      <c r="L70" s="665"/>
      <c r="M70" s="19">
        <f t="shared" si="17"/>
        <v>1</v>
      </c>
      <c r="N70" s="665"/>
      <c r="O70" s="19">
        <f t="shared" si="18"/>
        <v>1</v>
      </c>
      <c r="P70" s="665"/>
      <c r="Q70" s="19">
        <f t="shared" si="19"/>
        <v>1</v>
      </c>
      <c r="R70" s="661">
        <f t="shared" si="20"/>
        <v>0</v>
      </c>
      <c r="S70" s="314">
        <f t="shared" si="21"/>
        <v>0</v>
      </c>
    </row>
    <row r="71" spans="1:19">
      <c r="A71" s="148"/>
      <c r="B71" s="52"/>
      <c r="C71" s="19">
        <f t="shared" si="12"/>
        <v>1</v>
      </c>
      <c r="D71" s="665"/>
      <c r="E71" s="19">
        <f t="shared" si="13"/>
        <v>1</v>
      </c>
      <c r="F71" s="665"/>
      <c r="G71" s="19">
        <f t="shared" si="14"/>
        <v>1</v>
      </c>
      <c r="H71" s="665"/>
      <c r="I71" s="19">
        <f t="shared" si="15"/>
        <v>1</v>
      </c>
      <c r="J71" s="665"/>
      <c r="K71" s="19">
        <f t="shared" si="16"/>
        <v>1</v>
      </c>
      <c r="L71" s="665"/>
      <c r="M71" s="19">
        <f t="shared" si="17"/>
        <v>1</v>
      </c>
      <c r="N71" s="665"/>
      <c r="O71" s="19">
        <f t="shared" si="18"/>
        <v>1</v>
      </c>
      <c r="P71" s="665"/>
      <c r="Q71" s="19">
        <f t="shared" si="19"/>
        <v>1</v>
      </c>
      <c r="R71" s="661">
        <f t="shared" si="20"/>
        <v>0</v>
      </c>
      <c r="S71" s="314">
        <f t="shared" si="21"/>
        <v>0</v>
      </c>
    </row>
    <row r="72" spans="1:19">
      <c r="A72" s="148"/>
      <c r="B72" s="52"/>
      <c r="C72" s="19">
        <f t="shared" si="12"/>
        <v>1</v>
      </c>
      <c r="D72" s="665"/>
      <c r="E72" s="19">
        <f t="shared" si="13"/>
        <v>1</v>
      </c>
      <c r="F72" s="665"/>
      <c r="G72" s="19">
        <f t="shared" si="14"/>
        <v>1</v>
      </c>
      <c r="H72" s="665"/>
      <c r="I72" s="19">
        <f t="shared" si="15"/>
        <v>1</v>
      </c>
      <c r="J72" s="665"/>
      <c r="K72" s="19">
        <f t="shared" si="16"/>
        <v>1</v>
      </c>
      <c r="L72" s="665"/>
      <c r="M72" s="19">
        <f t="shared" si="17"/>
        <v>1</v>
      </c>
      <c r="N72" s="665"/>
      <c r="O72" s="19">
        <f t="shared" si="18"/>
        <v>1</v>
      </c>
      <c r="P72" s="665"/>
      <c r="Q72" s="19">
        <f t="shared" si="19"/>
        <v>1</v>
      </c>
      <c r="R72" s="661">
        <f t="shared" si="20"/>
        <v>0</v>
      </c>
      <c r="S72" s="314">
        <f t="shared" si="21"/>
        <v>0</v>
      </c>
    </row>
    <row r="73" spans="1:19">
      <c r="A73" s="148"/>
      <c r="B73" s="52"/>
      <c r="C73" s="19">
        <f t="shared" si="12"/>
        <v>1</v>
      </c>
      <c r="D73" s="665"/>
      <c r="E73" s="19">
        <f t="shared" si="13"/>
        <v>1</v>
      </c>
      <c r="F73" s="665"/>
      <c r="G73" s="19">
        <f t="shared" si="14"/>
        <v>1</v>
      </c>
      <c r="H73" s="665"/>
      <c r="I73" s="19">
        <f t="shared" si="15"/>
        <v>1</v>
      </c>
      <c r="J73" s="665"/>
      <c r="K73" s="19">
        <f t="shared" si="16"/>
        <v>1</v>
      </c>
      <c r="L73" s="665"/>
      <c r="M73" s="19">
        <f t="shared" si="17"/>
        <v>1</v>
      </c>
      <c r="N73" s="665"/>
      <c r="O73" s="19">
        <f t="shared" si="18"/>
        <v>1</v>
      </c>
      <c r="P73" s="665"/>
      <c r="Q73" s="19">
        <f t="shared" si="19"/>
        <v>1</v>
      </c>
      <c r="R73" s="661">
        <f t="shared" si="20"/>
        <v>0</v>
      </c>
      <c r="S73" s="314">
        <f t="shared" si="21"/>
        <v>0</v>
      </c>
    </row>
    <row r="74" spans="1:19">
      <c r="A74" s="148"/>
      <c r="B74" s="52"/>
      <c r="C74" s="19">
        <f t="shared" si="12"/>
        <v>1</v>
      </c>
      <c r="D74" s="665"/>
      <c r="E74" s="19">
        <f t="shared" si="13"/>
        <v>1</v>
      </c>
      <c r="F74" s="665"/>
      <c r="G74" s="19">
        <f t="shared" si="14"/>
        <v>1</v>
      </c>
      <c r="H74" s="665"/>
      <c r="I74" s="19">
        <f t="shared" si="15"/>
        <v>1</v>
      </c>
      <c r="J74" s="665"/>
      <c r="K74" s="19">
        <f t="shared" si="16"/>
        <v>1</v>
      </c>
      <c r="L74" s="665"/>
      <c r="M74" s="19">
        <f t="shared" si="17"/>
        <v>1</v>
      </c>
      <c r="N74" s="665"/>
      <c r="O74" s="19">
        <f t="shared" si="18"/>
        <v>1</v>
      </c>
      <c r="P74" s="665"/>
      <c r="Q74" s="19">
        <f t="shared" si="19"/>
        <v>1</v>
      </c>
      <c r="R74" s="661">
        <f t="shared" si="20"/>
        <v>0</v>
      </c>
      <c r="S74" s="314">
        <f t="shared" si="21"/>
        <v>0</v>
      </c>
    </row>
    <row r="75" spans="1:19">
      <c r="A75" s="148"/>
      <c r="B75" s="52"/>
      <c r="C75" s="19">
        <f t="shared" si="12"/>
        <v>1</v>
      </c>
      <c r="D75" s="665"/>
      <c r="E75" s="19">
        <f t="shared" si="13"/>
        <v>1</v>
      </c>
      <c r="F75" s="665"/>
      <c r="G75" s="19">
        <f t="shared" si="14"/>
        <v>1</v>
      </c>
      <c r="H75" s="665"/>
      <c r="I75" s="19">
        <f t="shared" si="15"/>
        <v>1</v>
      </c>
      <c r="J75" s="665"/>
      <c r="K75" s="19">
        <f t="shared" si="16"/>
        <v>1</v>
      </c>
      <c r="L75" s="665"/>
      <c r="M75" s="19">
        <f t="shared" si="17"/>
        <v>1</v>
      </c>
      <c r="N75" s="665"/>
      <c r="O75" s="19">
        <f t="shared" si="18"/>
        <v>1</v>
      </c>
      <c r="P75" s="665"/>
      <c r="Q75" s="19">
        <f t="shared" si="19"/>
        <v>1</v>
      </c>
      <c r="R75" s="661">
        <f t="shared" si="20"/>
        <v>0</v>
      </c>
      <c r="S75" s="314">
        <f t="shared" si="21"/>
        <v>0</v>
      </c>
    </row>
    <row r="76" spans="1:19">
      <c r="A76" s="148"/>
      <c r="B76" s="52"/>
      <c r="C76" s="19">
        <f t="shared" si="12"/>
        <v>1</v>
      </c>
      <c r="D76" s="665"/>
      <c r="E76" s="19">
        <f t="shared" si="13"/>
        <v>1</v>
      </c>
      <c r="F76" s="665"/>
      <c r="G76" s="19">
        <f t="shared" si="14"/>
        <v>1</v>
      </c>
      <c r="H76" s="665"/>
      <c r="I76" s="19">
        <f t="shared" si="15"/>
        <v>1</v>
      </c>
      <c r="J76" s="665"/>
      <c r="K76" s="19">
        <f t="shared" si="16"/>
        <v>1</v>
      </c>
      <c r="L76" s="665"/>
      <c r="M76" s="19">
        <f t="shared" si="17"/>
        <v>1</v>
      </c>
      <c r="N76" s="665"/>
      <c r="O76" s="19">
        <f t="shared" si="18"/>
        <v>1</v>
      </c>
      <c r="P76" s="665"/>
      <c r="Q76" s="19">
        <f t="shared" si="19"/>
        <v>1</v>
      </c>
      <c r="R76" s="661">
        <f t="shared" si="20"/>
        <v>0</v>
      </c>
      <c r="S76" s="314">
        <f t="shared" si="21"/>
        <v>0</v>
      </c>
    </row>
    <row r="77" spans="1:19">
      <c r="A77" s="148"/>
      <c r="B77" s="52"/>
      <c r="C77" s="19">
        <f t="shared" si="12"/>
        <v>1</v>
      </c>
      <c r="D77" s="665"/>
      <c r="E77" s="19">
        <f t="shared" si="13"/>
        <v>1</v>
      </c>
      <c r="F77" s="665"/>
      <c r="G77" s="19">
        <f t="shared" si="14"/>
        <v>1</v>
      </c>
      <c r="H77" s="665"/>
      <c r="I77" s="19">
        <f t="shared" si="15"/>
        <v>1</v>
      </c>
      <c r="J77" s="665"/>
      <c r="K77" s="19">
        <f t="shared" si="16"/>
        <v>1</v>
      </c>
      <c r="L77" s="665"/>
      <c r="M77" s="19">
        <f t="shared" si="17"/>
        <v>1</v>
      </c>
      <c r="N77" s="665"/>
      <c r="O77" s="19">
        <f t="shared" si="18"/>
        <v>1</v>
      </c>
      <c r="P77" s="665"/>
      <c r="Q77" s="19">
        <f t="shared" si="19"/>
        <v>1</v>
      </c>
      <c r="R77" s="661">
        <f t="shared" si="20"/>
        <v>0</v>
      </c>
      <c r="S77" s="314">
        <f t="shared" si="21"/>
        <v>0</v>
      </c>
    </row>
    <row r="78" spans="1:19">
      <c r="A78" s="148"/>
      <c r="B78" s="52"/>
      <c r="C78" s="19">
        <f t="shared" si="12"/>
        <v>1</v>
      </c>
      <c r="D78" s="665"/>
      <c r="E78" s="19">
        <f t="shared" si="13"/>
        <v>1</v>
      </c>
      <c r="F78" s="665"/>
      <c r="G78" s="19">
        <f t="shared" si="14"/>
        <v>1</v>
      </c>
      <c r="H78" s="665"/>
      <c r="I78" s="19">
        <f t="shared" si="15"/>
        <v>1</v>
      </c>
      <c r="J78" s="665"/>
      <c r="K78" s="19">
        <f t="shared" si="16"/>
        <v>1</v>
      </c>
      <c r="L78" s="665"/>
      <c r="M78" s="19">
        <f t="shared" si="17"/>
        <v>1</v>
      </c>
      <c r="N78" s="665"/>
      <c r="O78" s="19">
        <f t="shared" si="18"/>
        <v>1</v>
      </c>
      <c r="P78" s="665"/>
      <c r="Q78" s="19">
        <f t="shared" si="19"/>
        <v>1</v>
      </c>
      <c r="R78" s="661">
        <f t="shared" si="20"/>
        <v>0</v>
      </c>
      <c r="S78" s="314">
        <f t="shared" ref="S78:S122" si="22">ROUND(R78*B78/10000,0)</f>
        <v>0</v>
      </c>
    </row>
    <row r="79" spans="1:19">
      <c r="A79" s="148"/>
      <c r="B79" s="52"/>
      <c r="C79" s="19">
        <f t="shared" si="12"/>
        <v>1</v>
      </c>
      <c r="D79" s="665"/>
      <c r="E79" s="19">
        <f t="shared" si="13"/>
        <v>1</v>
      </c>
      <c r="F79" s="665"/>
      <c r="G79" s="19">
        <f t="shared" si="14"/>
        <v>1</v>
      </c>
      <c r="H79" s="665"/>
      <c r="I79" s="19">
        <f t="shared" si="15"/>
        <v>1</v>
      </c>
      <c r="J79" s="665"/>
      <c r="K79" s="19">
        <f t="shared" si="16"/>
        <v>1</v>
      </c>
      <c r="L79" s="665"/>
      <c r="M79" s="19">
        <f t="shared" si="17"/>
        <v>1</v>
      </c>
      <c r="N79" s="665"/>
      <c r="O79" s="19">
        <f t="shared" si="18"/>
        <v>1</v>
      </c>
      <c r="P79" s="665"/>
      <c r="Q79" s="19">
        <f t="shared" si="19"/>
        <v>1</v>
      </c>
      <c r="R79" s="661">
        <f t="shared" si="20"/>
        <v>0</v>
      </c>
      <c r="S79" s="314">
        <f t="shared" si="22"/>
        <v>0</v>
      </c>
    </row>
    <row r="80" spans="1:19">
      <c r="A80" s="148"/>
      <c r="B80" s="52"/>
      <c r="C80" s="19">
        <f t="shared" si="12"/>
        <v>1</v>
      </c>
      <c r="D80" s="665"/>
      <c r="E80" s="19">
        <f t="shared" si="13"/>
        <v>1</v>
      </c>
      <c r="F80" s="665"/>
      <c r="G80" s="19">
        <f t="shared" si="14"/>
        <v>1</v>
      </c>
      <c r="H80" s="665"/>
      <c r="I80" s="19">
        <f t="shared" si="15"/>
        <v>1</v>
      </c>
      <c r="J80" s="665"/>
      <c r="K80" s="19">
        <f t="shared" si="16"/>
        <v>1</v>
      </c>
      <c r="L80" s="665"/>
      <c r="M80" s="19">
        <f t="shared" si="17"/>
        <v>1</v>
      </c>
      <c r="N80" s="665"/>
      <c r="O80" s="19">
        <f t="shared" si="18"/>
        <v>1</v>
      </c>
      <c r="P80" s="665"/>
      <c r="Q80" s="19">
        <f t="shared" si="19"/>
        <v>1</v>
      </c>
      <c r="R80" s="661">
        <f t="shared" si="20"/>
        <v>0</v>
      </c>
      <c r="S80" s="314">
        <f t="shared" si="22"/>
        <v>0</v>
      </c>
    </row>
    <row r="81" spans="1:19">
      <c r="A81" s="148"/>
      <c r="B81" s="52"/>
      <c r="C81" s="19">
        <f t="shared" si="12"/>
        <v>1</v>
      </c>
      <c r="D81" s="665"/>
      <c r="E81" s="19">
        <f t="shared" si="13"/>
        <v>1</v>
      </c>
      <c r="F81" s="665"/>
      <c r="G81" s="19">
        <f t="shared" si="14"/>
        <v>1</v>
      </c>
      <c r="H81" s="665"/>
      <c r="I81" s="19">
        <f t="shared" si="15"/>
        <v>1</v>
      </c>
      <c r="J81" s="665"/>
      <c r="K81" s="19">
        <f t="shared" si="16"/>
        <v>1</v>
      </c>
      <c r="L81" s="665"/>
      <c r="M81" s="19">
        <f t="shared" si="17"/>
        <v>1</v>
      </c>
      <c r="N81" s="665"/>
      <c r="O81" s="19">
        <f t="shared" si="18"/>
        <v>1</v>
      </c>
      <c r="P81" s="665"/>
      <c r="Q81" s="19">
        <f t="shared" si="19"/>
        <v>1</v>
      </c>
      <c r="R81" s="661">
        <f t="shared" si="20"/>
        <v>0</v>
      </c>
      <c r="S81" s="314">
        <f t="shared" si="22"/>
        <v>0</v>
      </c>
    </row>
    <row r="82" spans="1:19">
      <c r="A82" s="148"/>
      <c r="B82" s="52"/>
      <c r="C82" s="19">
        <f t="shared" si="12"/>
        <v>1</v>
      </c>
      <c r="D82" s="665"/>
      <c r="E82" s="19">
        <f t="shared" si="13"/>
        <v>1</v>
      </c>
      <c r="F82" s="665"/>
      <c r="G82" s="19">
        <f t="shared" si="14"/>
        <v>1</v>
      </c>
      <c r="H82" s="665"/>
      <c r="I82" s="19">
        <f t="shared" si="15"/>
        <v>1</v>
      </c>
      <c r="J82" s="665"/>
      <c r="K82" s="19">
        <f t="shared" si="16"/>
        <v>1</v>
      </c>
      <c r="L82" s="665"/>
      <c r="M82" s="19">
        <f t="shared" si="17"/>
        <v>1</v>
      </c>
      <c r="N82" s="665"/>
      <c r="O82" s="19">
        <f t="shared" si="18"/>
        <v>1</v>
      </c>
      <c r="P82" s="665"/>
      <c r="Q82" s="19">
        <f t="shared" si="19"/>
        <v>1</v>
      </c>
      <c r="R82" s="661">
        <f t="shared" si="20"/>
        <v>0</v>
      </c>
      <c r="S82" s="314">
        <f t="shared" si="22"/>
        <v>0</v>
      </c>
    </row>
    <row r="83" spans="1:19">
      <c r="A83" s="148"/>
      <c r="B83" s="52"/>
      <c r="C83" s="19">
        <f t="shared" si="12"/>
        <v>1</v>
      </c>
      <c r="D83" s="665"/>
      <c r="E83" s="19">
        <f t="shared" si="13"/>
        <v>1</v>
      </c>
      <c r="F83" s="665"/>
      <c r="G83" s="19">
        <f t="shared" si="14"/>
        <v>1</v>
      </c>
      <c r="H83" s="665"/>
      <c r="I83" s="19">
        <f t="shared" si="15"/>
        <v>1</v>
      </c>
      <c r="J83" s="665"/>
      <c r="K83" s="19">
        <f t="shared" si="16"/>
        <v>1</v>
      </c>
      <c r="L83" s="665"/>
      <c r="M83" s="19">
        <f t="shared" si="17"/>
        <v>1</v>
      </c>
      <c r="N83" s="665"/>
      <c r="O83" s="19">
        <f t="shared" si="18"/>
        <v>1</v>
      </c>
      <c r="P83" s="665"/>
      <c r="Q83" s="19">
        <f t="shared" si="19"/>
        <v>1</v>
      </c>
      <c r="R83" s="661">
        <f t="shared" si="20"/>
        <v>0</v>
      </c>
      <c r="S83" s="314">
        <f t="shared" si="22"/>
        <v>0</v>
      </c>
    </row>
    <row r="84" spans="1:19">
      <c r="A84" s="148"/>
      <c r="B84" s="52"/>
      <c r="C84" s="19">
        <f t="shared" si="12"/>
        <v>1</v>
      </c>
      <c r="D84" s="665"/>
      <c r="E84" s="19">
        <f t="shared" si="13"/>
        <v>1</v>
      </c>
      <c r="F84" s="665"/>
      <c r="G84" s="19">
        <f t="shared" si="14"/>
        <v>1</v>
      </c>
      <c r="H84" s="665"/>
      <c r="I84" s="19">
        <f t="shared" si="15"/>
        <v>1</v>
      </c>
      <c r="J84" s="665"/>
      <c r="K84" s="19">
        <f t="shared" si="16"/>
        <v>1</v>
      </c>
      <c r="L84" s="665"/>
      <c r="M84" s="19">
        <f t="shared" si="17"/>
        <v>1</v>
      </c>
      <c r="N84" s="665"/>
      <c r="O84" s="19">
        <f t="shared" si="18"/>
        <v>1</v>
      </c>
      <c r="P84" s="665"/>
      <c r="Q84" s="19">
        <f t="shared" si="19"/>
        <v>1</v>
      </c>
      <c r="R84" s="661">
        <f t="shared" si="20"/>
        <v>0</v>
      </c>
      <c r="S84" s="314">
        <f t="shared" si="22"/>
        <v>0</v>
      </c>
    </row>
    <row r="85" spans="1:19">
      <c r="A85" s="148"/>
      <c r="B85" s="52"/>
      <c r="C85" s="19">
        <f t="shared" si="12"/>
        <v>1</v>
      </c>
      <c r="D85" s="665"/>
      <c r="E85" s="19">
        <f t="shared" si="13"/>
        <v>1</v>
      </c>
      <c r="F85" s="665"/>
      <c r="G85" s="19">
        <f t="shared" si="14"/>
        <v>1</v>
      </c>
      <c r="H85" s="665"/>
      <c r="I85" s="19">
        <f t="shared" si="15"/>
        <v>1</v>
      </c>
      <c r="J85" s="665"/>
      <c r="K85" s="19">
        <f t="shared" si="16"/>
        <v>1</v>
      </c>
      <c r="L85" s="665"/>
      <c r="M85" s="19">
        <f t="shared" si="17"/>
        <v>1</v>
      </c>
      <c r="N85" s="665"/>
      <c r="O85" s="19">
        <f t="shared" si="18"/>
        <v>1</v>
      </c>
      <c r="P85" s="665"/>
      <c r="Q85" s="19">
        <f t="shared" si="19"/>
        <v>1</v>
      </c>
      <c r="R85" s="661">
        <f t="shared" si="20"/>
        <v>0</v>
      </c>
      <c r="S85" s="314">
        <f t="shared" si="22"/>
        <v>0</v>
      </c>
    </row>
    <row r="86" spans="1:19">
      <c r="A86" s="148"/>
      <c r="B86" s="52"/>
      <c r="C86" s="19">
        <f t="shared" si="12"/>
        <v>1</v>
      </c>
      <c r="D86" s="665"/>
      <c r="E86" s="19">
        <f t="shared" si="13"/>
        <v>1</v>
      </c>
      <c r="F86" s="665"/>
      <c r="G86" s="19">
        <f t="shared" si="14"/>
        <v>1</v>
      </c>
      <c r="H86" s="665"/>
      <c r="I86" s="19">
        <f t="shared" si="15"/>
        <v>1</v>
      </c>
      <c r="J86" s="665"/>
      <c r="K86" s="19">
        <f t="shared" si="16"/>
        <v>1</v>
      </c>
      <c r="L86" s="665"/>
      <c r="M86" s="19">
        <f t="shared" si="17"/>
        <v>1</v>
      </c>
      <c r="N86" s="665"/>
      <c r="O86" s="19">
        <f t="shared" si="18"/>
        <v>1</v>
      </c>
      <c r="P86" s="665"/>
      <c r="Q86" s="19">
        <f t="shared" si="19"/>
        <v>1</v>
      </c>
      <c r="R86" s="661">
        <f t="shared" si="20"/>
        <v>0</v>
      </c>
      <c r="S86" s="314">
        <f t="shared" si="22"/>
        <v>0</v>
      </c>
    </row>
    <row r="87" spans="1:19">
      <c r="A87" s="148"/>
      <c r="B87" s="52"/>
      <c r="C87" s="19">
        <f t="shared" si="12"/>
        <v>1</v>
      </c>
      <c r="D87" s="665"/>
      <c r="E87" s="19">
        <f t="shared" si="13"/>
        <v>1</v>
      </c>
      <c r="F87" s="665"/>
      <c r="G87" s="19">
        <f t="shared" si="14"/>
        <v>1</v>
      </c>
      <c r="H87" s="665"/>
      <c r="I87" s="19">
        <f t="shared" si="15"/>
        <v>1</v>
      </c>
      <c r="J87" s="665"/>
      <c r="K87" s="19">
        <f t="shared" si="16"/>
        <v>1</v>
      </c>
      <c r="L87" s="665"/>
      <c r="M87" s="19">
        <f t="shared" si="17"/>
        <v>1</v>
      </c>
      <c r="N87" s="665"/>
      <c r="O87" s="19">
        <f t="shared" si="18"/>
        <v>1</v>
      </c>
      <c r="P87" s="665"/>
      <c r="Q87" s="19">
        <f t="shared" si="19"/>
        <v>1</v>
      </c>
      <c r="R87" s="661">
        <f t="shared" si="20"/>
        <v>0</v>
      </c>
      <c r="S87" s="314">
        <f t="shared" si="22"/>
        <v>0</v>
      </c>
    </row>
    <row r="88" spans="1:19">
      <c r="A88" s="148"/>
      <c r="B88" s="52"/>
      <c r="C88" s="19">
        <f t="shared" si="12"/>
        <v>1</v>
      </c>
      <c r="D88" s="665"/>
      <c r="E88" s="19">
        <f t="shared" si="13"/>
        <v>1</v>
      </c>
      <c r="F88" s="665"/>
      <c r="G88" s="19">
        <f t="shared" si="14"/>
        <v>1</v>
      </c>
      <c r="H88" s="665"/>
      <c r="I88" s="19">
        <f t="shared" si="15"/>
        <v>1</v>
      </c>
      <c r="J88" s="665"/>
      <c r="K88" s="19">
        <f t="shared" si="16"/>
        <v>1</v>
      </c>
      <c r="L88" s="665"/>
      <c r="M88" s="19">
        <f t="shared" si="17"/>
        <v>1</v>
      </c>
      <c r="N88" s="665"/>
      <c r="O88" s="19">
        <f t="shared" si="18"/>
        <v>1</v>
      </c>
      <c r="P88" s="665"/>
      <c r="Q88" s="19">
        <f t="shared" si="19"/>
        <v>1</v>
      </c>
      <c r="R88" s="661">
        <f t="shared" si="20"/>
        <v>0</v>
      </c>
      <c r="S88" s="314">
        <f t="shared" si="22"/>
        <v>0</v>
      </c>
    </row>
    <row r="89" spans="1:19">
      <c r="A89" s="148"/>
      <c r="B89" s="52"/>
      <c r="C89" s="19">
        <f t="shared" si="12"/>
        <v>1</v>
      </c>
      <c r="D89" s="665"/>
      <c r="E89" s="19">
        <f t="shared" si="13"/>
        <v>1</v>
      </c>
      <c r="F89" s="665"/>
      <c r="G89" s="19">
        <f t="shared" si="14"/>
        <v>1</v>
      </c>
      <c r="H89" s="665"/>
      <c r="I89" s="19">
        <f t="shared" si="15"/>
        <v>1</v>
      </c>
      <c r="J89" s="665"/>
      <c r="K89" s="19">
        <f t="shared" si="16"/>
        <v>1</v>
      </c>
      <c r="L89" s="665"/>
      <c r="M89" s="19">
        <f t="shared" si="17"/>
        <v>1</v>
      </c>
      <c r="N89" s="665"/>
      <c r="O89" s="19">
        <f t="shared" si="18"/>
        <v>1</v>
      </c>
      <c r="P89" s="665"/>
      <c r="Q89" s="19">
        <f t="shared" si="19"/>
        <v>1</v>
      </c>
      <c r="R89" s="661">
        <f t="shared" si="20"/>
        <v>0</v>
      </c>
      <c r="S89" s="314">
        <f t="shared" si="22"/>
        <v>0</v>
      </c>
    </row>
    <row r="90" spans="1:19">
      <c r="A90" s="148"/>
      <c r="B90" s="52"/>
      <c r="C90" s="19">
        <f t="shared" ref="C90:C153" si="23">IF(B90="",1,(LOOKUP(B90,$3:$3,$4:$4)-LOOKUP($B$24,$3:$3,$4:$4)+100)/100)</f>
        <v>1</v>
      </c>
      <c r="D90" s="665"/>
      <c r="E90" s="19">
        <f t="shared" ref="E90:E153" si="24">(SUMIF($5:$5,D90,$6:$6)-SUMIF($5:$5,$D$24,$6:$6)+100)/100</f>
        <v>1</v>
      </c>
      <c r="F90" s="665"/>
      <c r="G90" s="19">
        <f t="shared" ref="G90:G153" si="25">(SUMIF($7:$7,F90,$8:$8)-SUMIF($7:$7,$F$24,$8:$8)+100)/100</f>
        <v>1</v>
      </c>
      <c r="H90" s="665"/>
      <c r="I90" s="19">
        <f t="shared" ref="I90:I153" si="26">(SUMIF($9:$9,H90,$10:$10)-SUMIF($9:$9,$H$24,$10:$10)+100)/100</f>
        <v>1</v>
      </c>
      <c r="J90" s="665"/>
      <c r="K90" s="19">
        <f t="shared" ref="K90:K153" si="27">(SUMIF($11:$11,J90,$12:$12)-SUMIF($11:$11,$J$24,$12:$12)+100)/100</f>
        <v>1</v>
      </c>
      <c r="L90" s="665"/>
      <c r="M90" s="19">
        <f t="shared" ref="M90:M153" si="28">(SUMIF($13:$13,L90,$14:$14)-SUMIF($13:$13,$L$24,$14:$14)+100)/100</f>
        <v>1</v>
      </c>
      <c r="N90" s="665"/>
      <c r="O90" s="19">
        <f t="shared" ref="O90:O153" si="29">(SUMIF($15:$15,N90,$16:$16)-SUMIF($15:$15,$N$24,$16:$16)+100)/100</f>
        <v>1</v>
      </c>
      <c r="P90" s="665"/>
      <c r="Q90" s="19">
        <f t="shared" ref="Q90:Q153" si="30">(SUMIF($17:$17,P90,$18:$18)-SUMIF($17:$17,$P$24,$18:$18)+100)/100</f>
        <v>1</v>
      </c>
      <c r="R90" s="661">
        <f t="shared" ref="R90:R153" si="31">IF(B90="",0,ROUND($R$24*C90*E90*G90*I90*K90*M90*O90*Q90,0))</f>
        <v>0</v>
      </c>
      <c r="S90" s="314">
        <f t="shared" si="22"/>
        <v>0</v>
      </c>
    </row>
    <row r="91" spans="1:19">
      <c r="A91" s="148"/>
      <c r="B91" s="52"/>
      <c r="C91" s="19">
        <f t="shared" si="23"/>
        <v>1</v>
      </c>
      <c r="D91" s="665"/>
      <c r="E91" s="19">
        <f t="shared" si="24"/>
        <v>1</v>
      </c>
      <c r="F91" s="665"/>
      <c r="G91" s="19">
        <f t="shared" si="25"/>
        <v>1</v>
      </c>
      <c r="H91" s="665"/>
      <c r="I91" s="19">
        <f t="shared" si="26"/>
        <v>1</v>
      </c>
      <c r="J91" s="665"/>
      <c r="K91" s="19">
        <f t="shared" si="27"/>
        <v>1</v>
      </c>
      <c r="L91" s="665"/>
      <c r="M91" s="19">
        <f t="shared" si="28"/>
        <v>1</v>
      </c>
      <c r="N91" s="665"/>
      <c r="O91" s="19">
        <f t="shared" si="29"/>
        <v>1</v>
      </c>
      <c r="P91" s="665"/>
      <c r="Q91" s="19">
        <f t="shared" si="30"/>
        <v>1</v>
      </c>
      <c r="R91" s="661">
        <f t="shared" si="31"/>
        <v>0</v>
      </c>
      <c r="S91" s="314">
        <f t="shared" si="22"/>
        <v>0</v>
      </c>
    </row>
    <row r="92" spans="1:19">
      <c r="A92" s="148"/>
      <c r="B92" s="52"/>
      <c r="C92" s="19">
        <f t="shared" si="23"/>
        <v>1</v>
      </c>
      <c r="D92" s="665"/>
      <c r="E92" s="19">
        <f t="shared" si="24"/>
        <v>1</v>
      </c>
      <c r="F92" s="665"/>
      <c r="G92" s="19">
        <f t="shared" si="25"/>
        <v>1</v>
      </c>
      <c r="H92" s="665"/>
      <c r="I92" s="19">
        <f t="shared" si="26"/>
        <v>1</v>
      </c>
      <c r="J92" s="665"/>
      <c r="K92" s="19">
        <f t="shared" si="27"/>
        <v>1</v>
      </c>
      <c r="L92" s="665"/>
      <c r="M92" s="19">
        <f t="shared" si="28"/>
        <v>1</v>
      </c>
      <c r="N92" s="665"/>
      <c r="O92" s="19">
        <f t="shared" si="29"/>
        <v>1</v>
      </c>
      <c r="P92" s="665"/>
      <c r="Q92" s="19">
        <f t="shared" si="30"/>
        <v>1</v>
      </c>
      <c r="R92" s="661">
        <f t="shared" si="31"/>
        <v>0</v>
      </c>
      <c r="S92" s="314">
        <f t="shared" si="22"/>
        <v>0</v>
      </c>
    </row>
    <row r="93" spans="1:19">
      <c r="A93" s="148"/>
      <c r="B93" s="52"/>
      <c r="C93" s="19">
        <f t="shared" si="23"/>
        <v>1</v>
      </c>
      <c r="D93" s="665"/>
      <c r="E93" s="19">
        <f t="shared" si="24"/>
        <v>1</v>
      </c>
      <c r="F93" s="665"/>
      <c r="G93" s="19">
        <f t="shared" si="25"/>
        <v>1</v>
      </c>
      <c r="H93" s="665"/>
      <c r="I93" s="19">
        <f t="shared" si="26"/>
        <v>1</v>
      </c>
      <c r="J93" s="665"/>
      <c r="K93" s="19">
        <f t="shared" si="27"/>
        <v>1</v>
      </c>
      <c r="L93" s="665"/>
      <c r="M93" s="19">
        <f t="shared" si="28"/>
        <v>1</v>
      </c>
      <c r="N93" s="665"/>
      <c r="O93" s="19">
        <f t="shared" si="29"/>
        <v>1</v>
      </c>
      <c r="P93" s="665"/>
      <c r="Q93" s="19">
        <f t="shared" si="30"/>
        <v>1</v>
      </c>
      <c r="R93" s="661">
        <f t="shared" si="31"/>
        <v>0</v>
      </c>
      <c r="S93" s="314">
        <f t="shared" si="22"/>
        <v>0</v>
      </c>
    </row>
    <row r="94" spans="1:19">
      <c r="A94" s="148"/>
      <c r="B94" s="52"/>
      <c r="C94" s="19">
        <f t="shared" si="23"/>
        <v>1</v>
      </c>
      <c r="D94" s="665"/>
      <c r="E94" s="19">
        <f t="shared" si="24"/>
        <v>1</v>
      </c>
      <c r="F94" s="665"/>
      <c r="G94" s="19">
        <f t="shared" si="25"/>
        <v>1</v>
      </c>
      <c r="H94" s="665"/>
      <c r="I94" s="19">
        <f t="shared" si="26"/>
        <v>1</v>
      </c>
      <c r="J94" s="665"/>
      <c r="K94" s="19">
        <f t="shared" si="27"/>
        <v>1</v>
      </c>
      <c r="L94" s="665"/>
      <c r="M94" s="19">
        <f t="shared" si="28"/>
        <v>1</v>
      </c>
      <c r="N94" s="665"/>
      <c r="O94" s="19">
        <f t="shared" si="29"/>
        <v>1</v>
      </c>
      <c r="P94" s="665"/>
      <c r="Q94" s="19">
        <f t="shared" si="30"/>
        <v>1</v>
      </c>
      <c r="R94" s="661">
        <f t="shared" si="31"/>
        <v>0</v>
      </c>
      <c r="S94" s="314">
        <f t="shared" si="22"/>
        <v>0</v>
      </c>
    </row>
    <row r="95" spans="1:19">
      <c r="A95" s="148"/>
      <c r="B95" s="52"/>
      <c r="C95" s="19">
        <f t="shared" si="23"/>
        <v>1</v>
      </c>
      <c r="D95" s="665"/>
      <c r="E95" s="19">
        <f t="shared" si="24"/>
        <v>1</v>
      </c>
      <c r="F95" s="665"/>
      <c r="G95" s="19">
        <f t="shared" si="25"/>
        <v>1</v>
      </c>
      <c r="H95" s="665"/>
      <c r="I95" s="19">
        <f t="shared" si="26"/>
        <v>1</v>
      </c>
      <c r="J95" s="665"/>
      <c r="K95" s="19">
        <f t="shared" si="27"/>
        <v>1</v>
      </c>
      <c r="L95" s="665"/>
      <c r="M95" s="19">
        <f t="shared" si="28"/>
        <v>1</v>
      </c>
      <c r="N95" s="665"/>
      <c r="O95" s="19">
        <f t="shared" si="29"/>
        <v>1</v>
      </c>
      <c r="P95" s="665"/>
      <c r="Q95" s="19">
        <f t="shared" si="30"/>
        <v>1</v>
      </c>
      <c r="R95" s="661">
        <f t="shared" si="31"/>
        <v>0</v>
      </c>
      <c r="S95" s="314">
        <f t="shared" si="22"/>
        <v>0</v>
      </c>
    </row>
    <row r="96" spans="1:19">
      <c r="A96" s="148"/>
      <c r="B96" s="52"/>
      <c r="C96" s="19">
        <f t="shared" si="23"/>
        <v>1</v>
      </c>
      <c r="D96" s="665"/>
      <c r="E96" s="19">
        <f t="shared" si="24"/>
        <v>1</v>
      </c>
      <c r="F96" s="665"/>
      <c r="G96" s="19">
        <f t="shared" si="25"/>
        <v>1</v>
      </c>
      <c r="H96" s="665"/>
      <c r="I96" s="19">
        <f t="shared" si="26"/>
        <v>1</v>
      </c>
      <c r="J96" s="665"/>
      <c r="K96" s="19">
        <f t="shared" si="27"/>
        <v>1</v>
      </c>
      <c r="L96" s="665"/>
      <c r="M96" s="19">
        <f t="shared" si="28"/>
        <v>1</v>
      </c>
      <c r="N96" s="665"/>
      <c r="O96" s="19">
        <f t="shared" si="29"/>
        <v>1</v>
      </c>
      <c r="P96" s="665"/>
      <c r="Q96" s="19">
        <f t="shared" si="30"/>
        <v>1</v>
      </c>
      <c r="R96" s="661">
        <f t="shared" si="31"/>
        <v>0</v>
      </c>
      <c r="S96" s="314">
        <f t="shared" si="22"/>
        <v>0</v>
      </c>
    </row>
    <row r="97" spans="1:19">
      <c r="A97" s="148"/>
      <c r="B97" s="52"/>
      <c r="C97" s="19">
        <f t="shared" si="23"/>
        <v>1</v>
      </c>
      <c r="D97" s="665"/>
      <c r="E97" s="19">
        <f t="shared" si="24"/>
        <v>1</v>
      </c>
      <c r="F97" s="665"/>
      <c r="G97" s="19">
        <f t="shared" si="25"/>
        <v>1</v>
      </c>
      <c r="H97" s="665"/>
      <c r="I97" s="19">
        <f t="shared" si="26"/>
        <v>1</v>
      </c>
      <c r="J97" s="665"/>
      <c r="K97" s="19">
        <f t="shared" si="27"/>
        <v>1</v>
      </c>
      <c r="L97" s="665"/>
      <c r="M97" s="19">
        <f t="shared" si="28"/>
        <v>1</v>
      </c>
      <c r="N97" s="665"/>
      <c r="O97" s="19">
        <f t="shared" si="29"/>
        <v>1</v>
      </c>
      <c r="P97" s="665"/>
      <c r="Q97" s="19">
        <f t="shared" si="30"/>
        <v>1</v>
      </c>
      <c r="R97" s="661">
        <f t="shared" si="31"/>
        <v>0</v>
      </c>
      <c r="S97" s="314">
        <f t="shared" si="22"/>
        <v>0</v>
      </c>
    </row>
    <row r="98" spans="1:19">
      <c r="A98" s="148"/>
      <c r="B98" s="52"/>
      <c r="C98" s="19">
        <f t="shared" si="23"/>
        <v>1</v>
      </c>
      <c r="D98" s="665"/>
      <c r="E98" s="19">
        <f t="shared" si="24"/>
        <v>1</v>
      </c>
      <c r="F98" s="665"/>
      <c r="G98" s="19">
        <f t="shared" si="25"/>
        <v>1</v>
      </c>
      <c r="H98" s="665"/>
      <c r="I98" s="19">
        <f t="shared" si="26"/>
        <v>1</v>
      </c>
      <c r="J98" s="665"/>
      <c r="K98" s="19">
        <f t="shared" si="27"/>
        <v>1</v>
      </c>
      <c r="L98" s="665"/>
      <c r="M98" s="19">
        <f t="shared" si="28"/>
        <v>1</v>
      </c>
      <c r="N98" s="665"/>
      <c r="O98" s="19">
        <f t="shared" si="29"/>
        <v>1</v>
      </c>
      <c r="P98" s="665"/>
      <c r="Q98" s="19">
        <f t="shared" si="30"/>
        <v>1</v>
      </c>
      <c r="R98" s="661">
        <f t="shared" si="31"/>
        <v>0</v>
      </c>
      <c r="S98" s="314">
        <f t="shared" si="22"/>
        <v>0</v>
      </c>
    </row>
    <row r="99" spans="1:19">
      <c r="A99" s="148"/>
      <c r="B99" s="52"/>
      <c r="C99" s="19">
        <f t="shared" si="23"/>
        <v>1</v>
      </c>
      <c r="D99" s="665"/>
      <c r="E99" s="19">
        <f t="shared" si="24"/>
        <v>1</v>
      </c>
      <c r="F99" s="665"/>
      <c r="G99" s="19">
        <f t="shared" si="25"/>
        <v>1</v>
      </c>
      <c r="H99" s="665"/>
      <c r="I99" s="19">
        <f t="shared" si="26"/>
        <v>1</v>
      </c>
      <c r="J99" s="665"/>
      <c r="K99" s="19">
        <f t="shared" si="27"/>
        <v>1</v>
      </c>
      <c r="L99" s="665"/>
      <c r="M99" s="19">
        <f t="shared" si="28"/>
        <v>1</v>
      </c>
      <c r="N99" s="665"/>
      <c r="O99" s="19">
        <f t="shared" si="29"/>
        <v>1</v>
      </c>
      <c r="P99" s="665"/>
      <c r="Q99" s="19">
        <f t="shared" si="30"/>
        <v>1</v>
      </c>
      <c r="R99" s="661">
        <f t="shared" si="31"/>
        <v>0</v>
      </c>
      <c r="S99" s="314">
        <f t="shared" si="22"/>
        <v>0</v>
      </c>
    </row>
    <row r="100" spans="1:19">
      <c r="A100" s="148"/>
      <c r="B100" s="52"/>
      <c r="C100" s="19">
        <f t="shared" si="23"/>
        <v>1</v>
      </c>
      <c r="D100" s="665"/>
      <c r="E100" s="19">
        <f t="shared" si="24"/>
        <v>1</v>
      </c>
      <c r="F100" s="665"/>
      <c r="G100" s="19">
        <f t="shared" si="25"/>
        <v>1</v>
      </c>
      <c r="H100" s="665"/>
      <c r="I100" s="19">
        <f t="shared" si="26"/>
        <v>1</v>
      </c>
      <c r="J100" s="665"/>
      <c r="K100" s="19">
        <f t="shared" si="27"/>
        <v>1</v>
      </c>
      <c r="L100" s="665"/>
      <c r="M100" s="19">
        <f t="shared" si="28"/>
        <v>1</v>
      </c>
      <c r="N100" s="665"/>
      <c r="O100" s="19">
        <f t="shared" si="29"/>
        <v>1</v>
      </c>
      <c r="P100" s="665"/>
      <c r="Q100" s="19">
        <f t="shared" si="30"/>
        <v>1</v>
      </c>
      <c r="R100" s="661">
        <f t="shared" si="31"/>
        <v>0</v>
      </c>
      <c r="S100" s="314">
        <f t="shared" si="22"/>
        <v>0</v>
      </c>
    </row>
    <row r="101" spans="1:19">
      <c r="A101" s="148"/>
      <c r="B101" s="52"/>
      <c r="C101" s="19">
        <f t="shared" si="23"/>
        <v>1</v>
      </c>
      <c r="D101" s="665"/>
      <c r="E101" s="19">
        <f t="shared" si="24"/>
        <v>1</v>
      </c>
      <c r="F101" s="665"/>
      <c r="G101" s="19">
        <f t="shared" si="25"/>
        <v>1</v>
      </c>
      <c r="H101" s="665"/>
      <c r="I101" s="19">
        <f t="shared" si="26"/>
        <v>1</v>
      </c>
      <c r="J101" s="665"/>
      <c r="K101" s="19">
        <f t="shared" si="27"/>
        <v>1</v>
      </c>
      <c r="L101" s="665"/>
      <c r="M101" s="19">
        <f t="shared" si="28"/>
        <v>1</v>
      </c>
      <c r="N101" s="665"/>
      <c r="O101" s="19">
        <f t="shared" si="29"/>
        <v>1</v>
      </c>
      <c r="P101" s="665"/>
      <c r="Q101" s="19">
        <f t="shared" si="30"/>
        <v>1</v>
      </c>
      <c r="R101" s="661">
        <f t="shared" si="31"/>
        <v>0</v>
      </c>
      <c r="S101" s="314">
        <f t="shared" si="22"/>
        <v>0</v>
      </c>
    </row>
    <row r="102" spans="1:19">
      <c r="A102" s="148"/>
      <c r="B102" s="52"/>
      <c r="C102" s="19">
        <f t="shared" si="23"/>
        <v>1</v>
      </c>
      <c r="D102" s="665"/>
      <c r="E102" s="19">
        <f t="shared" si="24"/>
        <v>1</v>
      </c>
      <c r="F102" s="665"/>
      <c r="G102" s="19">
        <f t="shared" si="25"/>
        <v>1</v>
      </c>
      <c r="H102" s="665"/>
      <c r="I102" s="19">
        <f t="shared" si="26"/>
        <v>1</v>
      </c>
      <c r="J102" s="665"/>
      <c r="K102" s="19">
        <f t="shared" si="27"/>
        <v>1</v>
      </c>
      <c r="L102" s="665"/>
      <c r="M102" s="19">
        <f t="shared" si="28"/>
        <v>1</v>
      </c>
      <c r="N102" s="665"/>
      <c r="O102" s="19">
        <f t="shared" si="29"/>
        <v>1</v>
      </c>
      <c r="P102" s="665"/>
      <c r="Q102" s="19">
        <f t="shared" si="30"/>
        <v>1</v>
      </c>
      <c r="R102" s="661">
        <f t="shared" si="31"/>
        <v>0</v>
      </c>
      <c r="S102" s="314">
        <f t="shared" si="22"/>
        <v>0</v>
      </c>
    </row>
    <row r="103" spans="1:19">
      <c r="A103" s="148"/>
      <c r="B103" s="52"/>
      <c r="C103" s="19">
        <f t="shared" si="23"/>
        <v>1</v>
      </c>
      <c r="D103" s="665"/>
      <c r="E103" s="19">
        <f t="shared" si="24"/>
        <v>1</v>
      </c>
      <c r="F103" s="665"/>
      <c r="G103" s="19">
        <f t="shared" si="25"/>
        <v>1</v>
      </c>
      <c r="H103" s="665"/>
      <c r="I103" s="19">
        <f t="shared" si="26"/>
        <v>1</v>
      </c>
      <c r="J103" s="665"/>
      <c r="K103" s="19">
        <f t="shared" si="27"/>
        <v>1</v>
      </c>
      <c r="L103" s="665"/>
      <c r="M103" s="19">
        <f t="shared" si="28"/>
        <v>1</v>
      </c>
      <c r="N103" s="665"/>
      <c r="O103" s="19">
        <f t="shared" si="29"/>
        <v>1</v>
      </c>
      <c r="P103" s="665"/>
      <c r="Q103" s="19">
        <f t="shared" si="30"/>
        <v>1</v>
      </c>
      <c r="R103" s="661">
        <f t="shared" si="31"/>
        <v>0</v>
      </c>
      <c r="S103" s="314">
        <f t="shared" si="22"/>
        <v>0</v>
      </c>
    </row>
    <row r="104" spans="1:19">
      <c r="A104" s="148"/>
      <c r="B104" s="52"/>
      <c r="C104" s="19">
        <f t="shared" si="23"/>
        <v>1</v>
      </c>
      <c r="D104" s="665"/>
      <c r="E104" s="19">
        <f t="shared" si="24"/>
        <v>1</v>
      </c>
      <c r="F104" s="665"/>
      <c r="G104" s="19">
        <f t="shared" si="25"/>
        <v>1</v>
      </c>
      <c r="H104" s="665"/>
      <c r="I104" s="19">
        <f t="shared" si="26"/>
        <v>1</v>
      </c>
      <c r="J104" s="665"/>
      <c r="K104" s="19">
        <f t="shared" si="27"/>
        <v>1</v>
      </c>
      <c r="L104" s="665"/>
      <c r="M104" s="19">
        <f t="shared" si="28"/>
        <v>1</v>
      </c>
      <c r="N104" s="665"/>
      <c r="O104" s="19">
        <f t="shared" si="29"/>
        <v>1</v>
      </c>
      <c r="P104" s="665"/>
      <c r="Q104" s="19">
        <f t="shared" si="30"/>
        <v>1</v>
      </c>
      <c r="R104" s="661">
        <f t="shared" si="31"/>
        <v>0</v>
      </c>
      <c r="S104" s="314">
        <f t="shared" si="22"/>
        <v>0</v>
      </c>
    </row>
    <row r="105" spans="1:19">
      <c r="A105" s="148"/>
      <c r="B105" s="52"/>
      <c r="C105" s="19">
        <f t="shared" si="23"/>
        <v>1</v>
      </c>
      <c r="D105" s="665"/>
      <c r="E105" s="19">
        <f t="shared" si="24"/>
        <v>1</v>
      </c>
      <c r="F105" s="665"/>
      <c r="G105" s="19">
        <f t="shared" si="25"/>
        <v>1</v>
      </c>
      <c r="H105" s="665"/>
      <c r="I105" s="19">
        <f t="shared" si="26"/>
        <v>1</v>
      </c>
      <c r="J105" s="665"/>
      <c r="K105" s="19">
        <f t="shared" si="27"/>
        <v>1</v>
      </c>
      <c r="L105" s="665"/>
      <c r="M105" s="19">
        <f t="shared" si="28"/>
        <v>1</v>
      </c>
      <c r="N105" s="665"/>
      <c r="O105" s="19">
        <f t="shared" si="29"/>
        <v>1</v>
      </c>
      <c r="P105" s="665"/>
      <c r="Q105" s="19">
        <f t="shared" si="30"/>
        <v>1</v>
      </c>
      <c r="R105" s="661">
        <f t="shared" si="31"/>
        <v>0</v>
      </c>
      <c r="S105" s="314">
        <f t="shared" si="22"/>
        <v>0</v>
      </c>
    </row>
    <row r="106" spans="1:19">
      <c r="A106" s="148"/>
      <c r="B106" s="52"/>
      <c r="C106" s="19">
        <f t="shared" si="23"/>
        <v>1</v>
      </c>
      <c r="D106" s="665"/>
      <c r="E106" s="19">
        <f t="shared" si="24"/>
        <v>1</v>
      </c>
      <c r="F106" s="665"/>
      <c r="G106" s="19">
        <f t="shared" si="25"/>
        <v>1</v>
      </c>
      <c r="H106" s="665"/>
      <c r="I106" s="19">
        <f t="shared" si="26"/>
        <v>1</v>
      </c>
      <c r="J106" s="665"/>
      <c r="K106" s="19">
        <f t="shared" si="27"/>
        <v>1</v>
      </c>
      <c r="L106" s="665"/>
      <c r="M106" s="19">
        <f t="shared" si="28"/>
        <v>1</v>
      </c>
      <c r="N106" s="665"/>
      <c r="O106" s="19">
        <f t="shared" si="29"/>
        <v>1</v>
      </c>
      <c r="P106" s="665"/>
      <c r="Q106" s="19">
        <f t="shared" si="30"/>
        <v>1</v>
      </c>
      <c r="R106" s="661">
        <f t="shared" si="31"/>
        <v>0</v>
      </c>
      <c r="S106" s="314">
        <f t="shared" si="22"/>
        <v>0</v>
      </c>
    </row>
    <row r="107" spans="1:19">
      <c r="A107" s="148"/>
      <c r="B107" s="52"/>
      <c r="C107" s="19">
        <f t="shared" si="23"/>
        <v>1</v>
      </c>
      <c r="D107" s="665"/>
      <c r="E107" s="19">
        <f t="shared" si="24"/>
        <v>1</v>
      </c>
      <c r="F107" s="665"/>
      <c r="G107" s="19">
        <f t="shared" si="25"/>
        <v>1</v>
      </c>
      <c r="H107" s="665"/>
      <c r="I107" s="19">
        <f t="shared" si="26"/>
        <v>1</v>
      </c>
      <c r="J107" s="665"/>
      <c r="K107" s="19">
        <f t="shared" si="27"/>
        <v>1</v>
      </c>
      <c r="L107" s="665"/>
      <c r="M107" s="19">
        <f t="shared" si="28"/>
        <v>1</v>
      </c>
      <c r="N107" s="665"/>
      <c r="O107" s="19">
        <f t="shared" si="29"/>
        <v>1</v>
      </c>
      <c r="P107" s="665"/>
      <c r="Q107" s="19">
        <f t="shared" si="30"/>
        <v>1</v>
      </c>
      <c r="R107" s="661">
        <f t="shared" si="31"/>
        <v>0</v>
      </c>
      <c r="S107" s="314">
        <f t="shared" si="22"/>
        <v>0</v>
      </c>
    </row>
    <row r="108" spans="1:19">
      <c r="A108" s="148"/>
      <c r="B108" s="52"/>
      <c r="C108" s="19">
        <f t="shared" si="23"/>
        <v>1</v>
      </c>
      <c r="D108" s="665"/>
      <c r="E108" s="19">
        <f t="shared" si="24"/>
        <v>1</v>
      </c>
      <c r="F108" s="665"/>
      <c r="G108" s="19">
        <f t="shared" si="25"/>
        <v>1</v>
      </c>
      <c r="H108" s="665"/>
      <c r="I108" s="19">
        <f t="shared" si="26"/>
        <v>1</v>
      </c>
      <c r="J108" s="665"/>
      <c r="K108" s="19">
        <f t="shared" si="27"/>
        <v>1</v>
      </c>
      <c r="L108" s="665"/>
      <c r="M108" s="19">
        <f t="shared" si="28"/>
        <v>1</v>
      </c>
      <c r="N108" s="665"/>
      <c r="O108" s="19">
        <f t="shared" si="29"/>
        <v>1</v>
      </c>
      <c r="P108" s="665"/>
      <c r="Q108" s="19">
        <f t="shared" si="30"/>
        <v>1</v>
      </c>
      <c r="R108" s="661">
        <f t="shared" si="31"/>
        <v>0</v>
      </c>
      <c r="S108" s="314">
        <f t="shared" si="22"/>
        <v>0</v>
      </c>
    </row>
    <row r="109" spans="1:19">
      <c r="A109" s="148"/>
      <c r="B109" s="52"/>
      <c r="C109" s="19">
        <f t="shared" si="23"/>
        <v>1</v>
      </c>
      <c r="D109" s="665"/>
      <c r="E109" s="19">
        <f t="shared" si="24"/>
        <v>1</v>
      </c>
      <c r="F109" s="665"/>
      <c r="G109" s="19">
        <f t="shared" si="25"/>
        <v>1</v>
      </c>
      <c r="H109" s="665"/>
      <c r="I109" s="19">
        <f t="shared" si="26"/>
        <v>1</v>
      </c>
      <c r="J109" s="665"/>
      <c r="K109" s="19">
        <f t="shared" si="27"/>
        <v>1</v>
      </c>
      <c r="L109" s="665"/>
      <c r="M109" s="19">
        <f t="shared" si="28"/>
        <v>1</v>
      </c>
      <c r="N109" s="665"/>
      <c r="O109" s="19">
        <f t="shared" si="29"/>
        <v>1</v>
      </c>
      <c r="P109" s="665"/>
      <c r="Q109" s="19">
        <f t="shared" si="30"/>
        <v>1</v>
      </c>
      <c r="R109" s="661">
        <f t="shared" si="31"/>
        <v>0</v>
      </c>
      <c r="S109" s="314">
        <f t="shared" si="22"/>
        <v>0</v>
      </c>
    </row>
    <row r="110" spans="1:19">
      <c r="A110" s="148"/>
      <c r="B110" s="52"/>
      <c r="C110" s="19">
        <f t="shared" si="23"/>
        <v>1</v>
      </c>
      <c r="D110" s="665"/>
      <c r="E110" s="19">
        <f t="shared" si="24"/>
        <v>1</v>
      </c>
      <c r="F110" s="665"/>
      <c r="G110" s="19">
        <f t="shared" si="25"/>
        <v>1</v>
      </c>
      <c r="H110" s="665"/>
      <c r="I110" s="19">
        <f t="shared" si="26"/>
        <v>1</v>
      </c>
      <c r="J110" s="665"/>
      <c r="K110" s="19">
        <f t="shared" si="27"/>
        <v>1</v>
      </c>
      <c r="L110" s="665"/>
      <c r="M110" s="19">
        <f t="shared" si="28"/>
        <v>1</v>
      </c>
      <c r="N110" s="665"/>
      <c r="O110" s="19">
        <f t="shared" si="29"/>
        <v>1</v>
      </c>
      <c r="P110" s="665"/>
      <c r="Q110" s="19">
        <f t="shared" si="30"/>
        <v>1</v>
      </c>
      <c r="R110" s="661">
        <f t="shared" si="31"/>
        <v>0</v>
      </c>
      <c r="S110" s="314">
        <f t="shared" si="22"/>
        <v>0</v>
      </c>
    </row>
    <row r="111" spans="1:19">
      <c r="A111" s="148"/>
      <c r="B111" s="52"/>
      <c r="C111" s="19">
        <f t="shared" si="23"/>
        <v>1</v>
      </c>
      <c r="D111" s="665"/>
      <c r="E111" s="19">
        <f t="shared" si="24"/>
        <v>1</v>
      </c>
      <c r="F111" s="665"/>
      <c r="G111" s="19">
        <f t="shared" si="25"/>
        <v>1</v>
      </c>
      <c r="H111" s="665"/>
      <c r="I111" s="19">
        <f t="shared" si="26"/>
        <v>1</v>
      </c>
      <c r="J111" s="665"/>
      <c r="K111" s="19">
        <f t="shared" si="27"/>
        <v>1</v>
      </c>
      <c r="L111" s="665"/>
      <c r="M111" s="19">
        <f t="shared" si="28"/>
        <v>1</v>
      </c>
      <c r="N111" s="665"/>
      <c r="O111" s="19">
        <f t="shared" si="29"/>
        <v>1</v>
      </c>
      <c r="P111" s="665"/>
      <c r="Q111" s="19">
        <f t="shared" si="30"/>
        <v>1</v>
      </c>
      <c r="R111" s="661">
        <f t="shared" si="31"/>
        <v>0</v>
      </c>
      <c r="S111" s="314">
        <f t="shared" si="22"/>
        <v>0</v>
      </c>
    </row>
    <row r="112" spans="1:19">
      <c r="A112" s="148"/>
      <c r="B112" s="52"/>
      <c r="C112" s="19">
        <f t="shared" si="23"/>
        <v>1</v>
      </c>
      <c r="D112" s="665"/>
      <c r="E112" s="19">
        <f t="shared" si="24"/>
        <v>1</v>
      </c>
      <c r="F112" s="665"/>
      <c r="G112" s="19">
        <f t="shared" si="25"/>
        <v>1</v>
      </c>
      <c r="H112" s="665"/>
      <c r="I112" s="19">
        <f t="shared" si="26"/>
        <v>1</v>
      </c>
      <c r="J112" s="665"/>
      <c r="K112" s="19">
        <f t="shared" si="27"/>
        <v>1</v>
      </c>
      <c r="L112" s="665"/>
      <c r="M112" s="19">
        <f t="shared" si="28"/>
        <v>1</v>
      </c>
      <c r="N112" s="665"/>
      <c r="O112" s="19">
        <f t="shared" si="29"/>
        <v>1</v>
      </c>
      <c r="P112" s="665"/>
      <c r="Q112" s="19">
        <f t="shared" si="30"/>
        <v>1</v>
      </c>
      <c r="R112" s="661">
        <f t="shared" si="31"/>
        <v>0</v>
      </c>
      <c r="S112" s="314">
        <f t="shared" si="22"/>
        <v>0</v>
      </c>
    </row>
    <row r="113" spans="1:19">
      <c r="A113" s="148"/>
      <c r="B113" s="52"/>
      <c r="C113" s="19">
        <f t="shared" si="23"/>
        <v>1</v>
      </c>
      <c r="D113" s="665"/>
      <c r="E113" s="19">
        <f t="shared" si="24"/>
        <v>1</v>
      </c>
      <c r="F113" s="665"/>
      <c r="G113" s="19">
        <f t="shared" si="25"/>
        <v>1</v>
      </c>
      <c r="H113" s="665"/>
      <c r="I113" s="19">
        <f t="shared" si="26"/>
        <v>1</v>
      </c>
      <c r="J113" s="665"/>
      <c r="K113" s="19">
        <f t="shared" si="27"/>
        <v>1</v>
      </c>
      <c r="L113" s="665"/>
      <c r="M113" s="19">
        <f t="shared" si="28"/>
        <v>1</v>
      </c>
      <c r="N113" s="665"/>
      <c r="O113" s="19">
        <f t="shared" si="29"/>
        <v>1</v>
      </c>
      <c r="P113" s="665"/>
      <c r="Q113" s="19">
        <f t="shared" si="30"/>
        <v>1</v>
      </c>
      <c r="R113" s="661">
        <f t="shared" si="31"/>
        <v>0</v>
      </c>
      <c r="S113" s="314">
        <f t="shared" si="22"/>
        <v>0</v>
      </c>
    </row>
    <row r="114" spans="1:19">
      <c r="A114" s="148"/>
      <c r="B114" s="52"/>
      <c r="C114" s="19">
        <f t="shared" si="23"/>
        <v>1</v>
      </c>
      <c r="D114" s="665"/>
      <c r="E114" s="19">
        <f t="shared" si="24"/>
        <v>1</v>
      </c>
      <c r="F114" s="665"/>
      <c r="G114" s="19">
        <f t="shared" si="25"/>
        <v>1</v>
      </c>
      <c r="H114" s="665"/>
      <c r="I114" s="19">
        <f t="shared" si="26"/>
        <v>1</v>
      </c>
      <c r="J114" s="665"/>
      <c r="K114" s="19">
        <f t="shared" si="27"/>
        <v>1</v>
      </c>
      <c r="L114" s="665"/>
      <c r="M114" s="19">
        <f t="shared" si="28"/>
        <v>1</v>
      </c>
      <c r="N114" s="665"/>
      <c r="O114" s="19">
        <f t="shared" si="29"/>
        <v>1</v>
      </c>
      <c r="P114" s="665"/>
      <c r="Q114" s="19">
        <f t="shared" si="30"/>
        <v>1</v>
      </c>
      <c r="R114" s="661">
        <f t="shared" si="31"/>
        <v>0</v>
      </c>
      <c r="S114" s="314">
        <f t="shared" si="22"/>
        <v>0</v>
      </c>
    </row>
    <row r="115" spans="1:19">
      <c r="A115" s="148"/>
      <c r="B115" s="52"/>
      <c r="C115" s="19">
        <f t="shared" si="23"/>
        <v>1</v>
      </c>
      <c r="D115" s="665"/>
      <c r="E115" s="19">
        <f t="shared" si="24"/>
        <v>1</v>
      </c>
      <c r="F115" s="665"/>
      <c r="G115" s="19">
        <f t="shared" si="25"/>
        <v>1</v>
      </c>
      <c r="H115" s="665"/>
      <c r="I115" s="19">
        <f t="shared" si="26"/>
        <v>1</v>
      </c>
      <c r="J115" s="665"/>
      <c r="K115" s="19">
        <f t="shared" si="27"/>
        <v>1</v>
      </c>
      <c r="L115" s="665"/>
      <c r="M115" s="19">
        <f t="shared" si="28"/>
        <v>1</v>
      </c>
      <c r="N115" s="665"/>
      <c r="O115" s="19">
        <f t="shared" si="29"/>
        <v>1</v>
      </c>
      <c r="P115" s="665"/>
      <c r="Q115" s="19">
        <f t="shared" si="30"/>
        <v>1</v>
      </c>
      <c r="R115" s="661">
        <f t="shared" si="31"/>
        <v>0</v>
      </c>
      <c r="S115" s="314">
        <f t="shared" si="22"/>
        <v>0</v>
      </c>
    </row>
    <row r="116" spans="1:19">
      <c r="A116" s="148"/>
      <c r="B116" s="52"/>
      <c r="C116" s="19">
        <f t="shared" si="23"/>
        <v>1</v>
      </c>
      <c r="D116" s="665"/>
      <c r="E116" s="19">
        <f t="shared" si="24"/>
        <v>1</v>
      </c>
      <c r="F116" s="665"/>
      <c r="G116" s="19">
        <f t="shared" si="25"/>
        <v>1</v>
      </c>
      <c r="H116" s="665"/>
      <c r="I116" s="19">
        <f t="shared" si="26"/>
        <v>1</v>
      </c>
      <c r="J116" s="665"/>
      <c r="K116" s="19">
        <f t="shared" si="27"/>
        <v>1</v>
      </c>
      <c r="L116" s="665"/>
      <c r="M116" s="19">
        <f t="shared" si="28"/>
        <v>1</v>
      </c>
      <c r="N116" s="665"/>
      <c r="O116" s="19">
        <f t="shared" si="29"/>
        <v>1</v>
      </c>
      <c r="P116" s="665"/>
      <c r="Q116" s="19">
        <f t="shared" si="30"/>
        <v>1</v>
      </c>
      <c r="R116" s="661">
        <f t="shared" si="31"/>
        <v>0</v>
      </c>
      <c r="S116" s="314">
        <f t="shared" si="22"/>
        <v>0</v>
      </c>
    </row>
    <row r="117" spans="1:19">
      <c r="A117" s="148"/>
      <c r="B117" s="52"/>
      <c r="C117" s="19">
        <f t="shared" si="23"/>
        <v>1</v>
      </c>
      <c r="D117" s="665"/>
      <c r="E117" s="19">
        <f t="shared" si="24"/>
        <v>1</v>
      </c>
      <c r="F117" s="665"/>
      <c r="G117" s="19">
        <f t="shared" si="25"/>
        <v>1</v>
      </c>
      <c r="H117" s="665"/>
      <c r="I117" s="19">
        <f t="shared" si="26"/>
        <v>1</v>
      </c>
      <c r="J117" s="665"/>
      <c r="K117" s="19">
        <f t="shared" si="27"/>
        <v>1</v>
      </c>
      <c r="L117" s="665"/>
      <c r="M117" s="19">
        <f t="shared" si="28"/>
        <v>1</v>
      </c>
      <c r="N117" s="665"/>
      <c r="O117" s="19">
        <f t="shared" si="29"/>
        <v>1</v>
      </c>
      <c r="P117" s="665"/>
      <c r="Q117" s="19">
        <f t="shared" si="30"/>
        <v>1</v>
      </c>
      <c r="R117" s="661">
        <f t="shared" si="31"/>
        <v>0</v>
      </c>
      <c r="S117" s="314">
        <f t="shared" si="22"/>
        <v>0</v>
      </c>
    </row>
    <row r="118" spans="1:19">
      <c r="A118" s="148"/>
      <c r="B118" s="52"/>
      <c r="C118" s="19">
        <f t="shared" si="23"/>
        <v>1</v>
      </c>
      <c r="D118" s="665"/>
      <c r="E118" s="19">
        <f t="shared" si="24"/>
        <v>1</v>
      </c>
      <c r="F118" s="665"/>
      <c r="G118" s="19">
        <f t="shared" si="25"/>
        <v>1</v>
      </c>
      <c r="H118" s="665"/>
      <c r="I118" s="19">
        <f t="shared" si="26"/>
        <v>1</v>
      </c>
      <c r="J118" s="665"/>
      <c r="K118" s="19">
        <f t="shared" si="27"/>
        <v>1</v>
      </c>
      <c r="L118" s="665"/>
      <c r="M118" s="19">
        <f t="shared" si="28"/>
        <v>1</v>
      </c>
      <c r="N118" s="665"/>
      <c r="O118" s="19">
        <f t="shared" si="29"/>
        <v>1</v>
      </c>
      <c r="P118" s="665"/>
      <c r="Q118" s="19">
        <f t="shared" si="30"/>
        <v>1</v>
      </c>
      <c r="R118" s="661">
        <f t="shared" si="31"/>
        <v>0</v>
      </c>
      <c r="S118" s="314">
        <f t="shared" si="22"/>
        <v>0</v>
      </c>
    </row>
    <row r="119" spans="1:19">
      <c r="A119" s="148"/>
      <c r="B119" s="52"/>
      <c r="C119" s="19">
        <f t="shared" si="23"/>
        <v>1</v>
      </c>
      <c r="D119" s="665"/>
      <c r="E119" s="19">
        <f t="shared" si="24"/>
        <v>1</v>
      </c>
      <c r="F119" s="665"/>
      <c r="G119" s="19">
        <f t="shared" si="25"/>
        <v>1</v>
      </c>
      <c r="H119" s="665"/>
      <c r="I119" s="19">
        <f t="shared" si="26"/>
        <v>1</v>
      </c>
      <c r="J119" s="665"/>
      <c r="K119" s="19">
        <f t="shared" si="27"/>
        <v>1</v>
      </c>
      <c r="L119" s="665"/>
      <c r="M119" s="19">
        <f t="shared" si="28"/>
        <v>1</v>
      </c>
      <c r="N119" s="665"/>
      <c r="O119" s="19">
        <f t="shared" si="29"/>
        <v>1</v>
      </c>
      <c r="P119" s="665"/>
      <c r="Q119" s="19">
        <f t="shared" si="30"/>
        <v>1</v>
      </c>
      <c r="R119" s="661">
        <f t="shared" si="31"/>
        <v>0</v>
      </c>
      <c r="S119" s="314">
        <f t="shared" si="22"/>
        <v>0</v>
      </c>
    </row>
    <row r="120" spans="1:19">
      <c r="A120" s="148"/>
      <c r="B120" s="52"/>
      <c r="C120" s="19">
        <f t="shared" si="23"/>
        <v>1</v>
      </c>
      <c r="D120" s="665"/>
      <c r="E120" s="19">
        <f t="shared" si="24"/>
        <v>1</v>
      </c>
      <c r="F120" s="665"/>
      <c r="G120" s="19">
        <f t="shared" si="25"/>
        <v>1</v>
      </c>
      <c r="H120" s="665"/>
      <c r="I120" s="19">
        <f t="shared" si="26"/>
        <v>1</v>
      </c>
      <c r="J120" s="665"/>
      <c r="K120" s="19">
        <f t="shared" si="27"/>
        <v>1</v>
      </c>
      <c r="L120" s="665"/>
      <c r="M120" s="19">
        <f t="shared" si="28"/>
        <v>1</v>
      </c>
      <c r="N120" s="665"/>
      <c r="O120" s="19">
        <f t="shared" si="29"/>
        <v>1</v>
      </c>
      <c r="P120" s="665"/>
      <c r="Q120" s="19">
        <f t="shared" si="30"/>
        <v>1</v>
      </c>
      <c r="R120" s="661">
        <f t="shared" si="31"/>
        <v>0</v>
      </c>
      <c r="S120" s="314">
        <f t="shared" si="22"/>
        <v>0</v>
      </c>
    </row>
    <row r="121" spans="1:19">
      <c r="A121" s="148"/>
      <c r="B121" s="52"/>
      <c r="C121" s="19">
        <f t="shared" si="23"/>
        <v>1</v>
      </c>
      <c r="D121" s="665"/>
      <c r="E121" s="19">
        <f t="shared" si="24"/>
        <v>1</v>
      </c>
      <c r="F121" s="665"/>
      <c r="G121" s="19">
        <f t="shared" si="25"/>
        <v>1</v>
      </c>
      <c r="H121" s="665"/>
      <c r="I121" s="19">
        <f t="shared" si="26"/>
        <v>1</v>
      </c>
      <c r="J121" s="665"/>
      <c r="K121" s="19">
        <f t="shared" si="27"/>
        <v>1</v>
      </c>
      <c r="L121" s="665"/>
      <c r="M121" s="19">
        <f t="shared" si="28"/>
        <v>1</v>
      </c>
      <c r="N121" s="665"/>
      <c r="O121" s="19">
        <f t="shared" si="29"/>
        <v>1</v>
      </c>
      <c r="P121" s="665"/>
      <c r="Q121" s="19">
        <f t="shared" si="30"/>
        <v>1</v>
      </c>
      <c r="R121" s="661">
        <f t="shared" si="31"/>
        <v>0</v>
      </c>
      <c r="S121" s="314">
        <f t="shared" si="22"/>
        <v>0</v>
      </c>
    </row>
    <row r="122" spans="1:19">
      <c r="A122" s="148"/>
      <c r="B122" s="52"/>
      <c r="C122" s="19">
        <f t="shared" si="23"/>
        <v>1</v>
      </c>
      <c r="D122" s="665"/>
      <c r="E122" s="19">
        <f t="shared" si="24"/>
        <v>1</v>
      </c>
      <c r="F122" s="665"/>
      <c r="G122" s="19">
        <f t="shared" si="25"/>
        <v>1</v>
      </c>
      <c r="H122" s="665"/>
      <c r="I122" s="19">
        <f t="shared" si="26"/>
        <v>1</v>
      </c>
      <c r="J122" s="665"/>
      <c r="K122" s="19">
        <f t="shared" si="27"/>
        <v>1</v>
      </c>
      <c r="L122" s="665"/>
      <c r="M122" s="19">
        <f t="shared" si="28"/>
        <v>1</v>
      </c>
      <c r="N122" s="665"/>
      <c r="O122" s="19">
        <f t="shared" si="29"/>
        <v>1</v>
      </c>
      <c r="P122" s="665"/>
      <c r="Q122" s="19">
        <f t="shared" si="30"/>
        <v>1</v>
      </c>
      <c r="R122" s="661">
        <f t="shared" si="31"/>
        <v>0</v>
      </c>
      <c r="S122" s="314">
        <f t="shared" si="22"/>
        <v>0</v>
      </c>
    </row>
    <row r="123" spans="1:19">
      <c r="A123" s="148"/>
      <c r="B123" s="52"/>
      <c r="C123" s="19">
        <f t="shared" si="23"/>
        <v>1</v>
      </c>
      <c r="D123" s="665"/>
      <c r="E123" s="19">
        <f t="shared" si="24"/>
        <v>1</v>
      </c>
      <c r="F123" s="665"/>
      <c r="G123" s="19">
        <f t="shared" si="25"/>
        <v>1</v>
      </c>
      <c r="H123" s="665"/>
      <c r="I123" s="19">
        <f t="shared" si="26"/>
        <v>1</v>
      </c>
      <c r="J123" s="665"/>
      <c r="K123" s="19">
        <f t="shared" si="27"/>
        <v>1</v>
      </c>
      <c r="L123" s="665"/>
      <c r="M123" s="19">
        <f t="shared" si="28"/>
        <v>1</v>
      </c>
      <c r="N123" s="665"/>
      <c r="O123" s="19">
        <f t="shared" si="29"/>
        <v>1</v>
      </c>
      <c r="P123" s="665"/>
      <c r="Q123" s="19">
        <f t="shared" si="30"/>
        <v>1</v>
      </c>
      <c r="R123" s="661">
        <f t="shared" si="31"/>
        <v>0</v>
      </c>
      <c r="S123" s="314">
        <f t="shared" ref="S123:S186" si="32">ROUND(R123*B123/10000,0)</f>
        <v>0</v>
      </c>
    </row>
    <row r="124" spans="1:19">
      <c r="A124" s="148"/>
      <c r="B124" s="52"/>
      <c r="C124" s="19">
        <f t="shared" si="23"/>
        <v>1</v>
      </c>
      <c r="D124" s="665"/>
      <c r="E124" s="19">
        <f t="shared" si="24"/>
        <v>1</v>
      </c>
      <c r="F124" s="665"/>
      <c r="G124" s="19">
        <f t="shared" si="25"/>
        <v>1</v>
      </c>
      <c r="H124" s="665"/>
      <c r="I124" s="19">
        <f t="shared" si="26"/>
        <v>1</v>
      </c>
      <c r="J124" s="665"/>
      <c r="K124" s="19">
        <f t="shared" si="27"/>
        <v>1</v>
      </c>
      <c r="L124" s="665"/>
      <c r="M124" s="19">
        <f t="shared" si="28"/>
        <v>1</v>
      </c>
      <c r="N124" s="665"/>
      <c r="O124" s="19">
        <f t="shared" si="29"/>
        <v>1</v>
      </c>
      <c r="P124" s="665"/>
      <c r="Q124" s="19">
        <f t="shared" si="30"/>
        <v>1</v>
      </c>
      <c r="R124" s="661">
        <f t="shared" si="31"/>
        <v>0</v>
      </c>
      <c r="S124" s="314">
        <f t="shared" si="32"/>
        <v>0</v>
      </c>
    </row>
    <row r="125" spans="1:19">
      <c r="A125" s="148"/>
      <c r="B125" s="52"/>
      <c r="C125" s="19">
        <f t="shared" si="23"/>
        <v>1</v>
      </c>
      <c r="D125" s="665"/>
      <c r="E125" s="19">
        <f t="shared" si="24"/>
        <v>1</v>
      </c>
      <c r="F125" s="665"/>
      <c r="G125" s="19">
        <f t="shared" si="25"/>
        <v>1</v>
      </c>
      <c r="H125" s="665"/>
      <c r="I125" s="19">
        <f t="shared" si="26"/>
        <v>1</v>
      </c>
      <c r="J125" s="665"/>
      <c r="K125" s="19">
        <f t="shared" si="27"/>
        <v>1</v>
      </c>
      <c r="L125" s="665"/>
      <c r="M125" s="19">
        <f t="shared" si="28"/>
        <v>1</v>
      </c>
      <c r="N125" s="665"/>
      <c r="O125" s="19">
        <f t="shared" si="29"/>
        <v>1</v>
      </c>
      <c r="P125" s="665"/>
      <c r="Q125" s="19">
        <f t="shared" si="30"/>
        <v>1</v>
      </c>
      <c r="R125" s="661">
        <f t="shared" si="31"/>
        <v>0</v>
      </c>
      <c r="S125" s="314">
        <f t="shared" si="32"/>
        <v>0</v>
      </c>
    </row>
    <row r="126" spans="1:19">
      <c r="A126" s="148"/>
      <c r="B126" s="52"/>
      <c r="C126" s="19">
        <f t="shared" si="23"/>
        <v>1</v>
      </c>
      <c r="D126" s="665"/>
      <c r="E126" s="19">
        <f t="shared" si="24"/>
        <v>1</v>
      </c>
      <c r="F126" s="665"/>
      <c r="G126" s="19">
        <f t="shared" si="25"/>
        <v>1</v>
      </c>
      <c r="H126" s="665"/>
      <c r="I126" s="19">
        <f t="shared" si="26"/>
        <v>1</v>
      </c>
      <c r="J126" s="665"/>
      <c r="K126" s="19">
        <f t="shared" si="27"/>
        <v>1</v>
      </c>
      <c r="L126" s="665"/>
      <c r="M126" s="19">
        <f t="shared" si="28"/>
        <v>1</v>
      </c>
      <c r="N126" s="665"/>
      <c r="O126" s="19">
        <f t="shared" si="29"/>
        <v>1</v>
      </c>
      <c r="P126" s="665"/>
      <c r="Q126" s="19">
        <f t="shared" si="30"/>
        <v>1</v>
      </c>
      <c r="R126" s="661">
        <f t="shared" si="31"/>
        <v>0</v>
      </c>
      <c r="S126" s="314">
        <f t="shared" si="32"/>
        <v>0</v>
      </c>
    </row>
    <row r="127" spans="1:19">
      <c r="A127" s="148"/>
      <c r="B127" s="52"/>
      <c r="C127" s="19">
        <f t="shared" si="23"/>
        <v>1</v>
      </c>
      <c r="D127" s="665"/>
      <c r="E127" s="19">
        <f t="shared" si="24"/>
        <v>1</v>
      </c>
      <c r="F127" s="665"/>
      <c r="G127" s="19">
        <f t="shared" si="25"/>
        <v>1</v>
      </c>
      <c r="H127" s="665"/>
      <c r="I127" s="19">
        <f t="shared" si="26"/>
        <v>1</v>
      </c>
      <c r="J127" s="665"/>
      <c r="K127" s="19">
        <f t="shared" si="27"/>
        <v>1</v>
      </c>
      <c r="L127" s="665"/>
      <c r="M127" s="19">
        <f t="shared" si="28"/>
        <v>1</v>
      </c>
      <c r="N127" s="665"/>
      <c r="O127" s="19">
        <f t="shared" si="29"/>
        <v>1</v>
      </c>
      <c r="P127" s="665"/>
      <c r="Q127" s="19">
        <f t="shared" si="30"/>
        <v>1</v>
      </c>
      <c r="R127" s="661">
        <f t="shared" si="31"/>
        <v>0</v>
      </c>
      <c r="S127" s="314">
        <f t="shared" si="32"/>
        <v>0</v>
      </c>
    </row>
    <row r="128" spans="1:19">
      <c r="A128" s="148"/>
      <c r="B128" s="52"/>
      <c r="C128" s="19">
        <f t="shared" si="23"/>
        <v>1</v>
      </c>
      <c r="D128" s="665"/>
      <c r="E128" s="19">
        <f t="shared" si="24"/>
        <v>1</v>
      </c>
      <c r="F128" s="665"/>
      <c r="G128" s="19">
        <f t="shared" si="25"/>
        <v>1</v>
      </c>
      <c r="H128" s="665"/>
      <c r="I128" s="19">
        <f t="shared" si="26"/>
        <v>1</v>
      </c>
      <c r="J128" s="665"/>
      <c r="K128" s="19">
        <f t="shared" si="27"/>
        <v>1</v>
      </c>
      <c r="L128" s="665"/>
      <c r="M128" s="19">
        <f t="shared" si="28"/>
        <v>1</v>
      </c>
      <c r="N128" s="665"/>
      <c r="O128" s="19">
        <f t="shared" si="29"/>
        <v>1</v>
      </c>
      <c r="P128" s="665"/>
      <c r="Q128" s="19">
        <f t="shared" si="30"/>
        <v>1</v>
      </c>
      <c r="R128" s="661">
        <f t="shared" si="31"/>
        <v>0</v>
      </c>
      <c r="S128" s="314">
        <f t="shared" si="32"/>
        <v>0</v>
      </c>
    </row>
    <row r="129" spans="1:19">
      <c r="A129" s="148"/>
      <c r="B129" s="52"/>
      <c r="C129" s="19">
        <f t="shared" si="23"/>
        <v>1</v>
      </c>
      <c r="D129" s="665"/>
      <c r="E129" s="19">
        <f t="shared" si="24"/>
        <v>1</v>
      </c>
      <c r="F129" s="665"/>
      <c r="G129" s="19">
        <f t="shared" si="25"/>
        <v>1</v>
      </c>
      <c r="H129" s="665"/>
      <c r="I129" s="19">
        <f t="shared" si="26"/>
        <v>1</v>
      </c>
      <c r="J129" s="665"/>
      <c r="K129" s="19">
        <f t="shared" si="27"/>
        <v>1</v>
      </c>
      <c r="L129" s="665"/>
      <c r="M129" s="19">
        <f t="shared" si="28"/>
        <v>1</v>
      </c>
      <c r="N129" s="665"/>
      <c r="O129" s="19">
        <f t="shared" si="29"/>
        <v>1</v>
      </c>
      <c r="P129" s="665"/>
      <c r="Q129" s="19">
        <f t="shared" si="30"/>
        <v>1</v>
      </c>
      <c r="R129" s="661">
        <f t="shared" si="31"/>
        <v>0</v>
      </c>
      <c r="S129" s="314">
        <f t="shared" si="32"/>
        <v>0</v>
      </c>
    </row>
    <row r="130" spans="1:19">
      <c r="A130" s="148"/>
      <c r="B130" s="52"/>
      <c r="C130" s="19">
        <f t="shared" si="23"/>
        <v>1</v>
      </c>
      <c r="D130" s="665"/>
      <c r="E130" s="19">
        <f t="shared" si="24"/>
        <v>1</v>
      </c>
      <c r="F130" s="665"/>
      <c r="G130" s="19">
        <f t="shared" si="25"/>
        <v>1</v>
      </c>
      <c r="H130" s="665"/>
      <c r="I130" s="19">
        <f t="shared" si="26"/>
        <v>1</v>
      </c>
      <c r="J130" s="665"/>
      <c r="K130" s="19">
        <f t="shared" si="27"/>
        <v>1</v>
      </c>
      <c r="L130" s="665"/>
      <c r="M130" s="19">
        <f t="shared" si="28"/>
        <v>1</v>
      </c>
      <c r="N130" s="665"/>
      <c r="O130" s="19">
        <f t="shared" si="29"/>
        <v>1</v>
      </c>
      <c r="P130" s="665"/>
      <c r="Q130" s="19">
        <f t="shared" si="30"/>
        <v>1</v>
      </c>
      <c r="R130" s="661">
        <f t="shared" si="31"/>
        <v>0</v>
      </c>
      <c r="S130" s="314">
        <f t="shared" si="32"/>
        <v>0</v>
      </c>
    </row>
    <row r="131" spans="1:19">
      <c r="A131" s="148"/>
      <c r="B131" s="52"/>
      <c r="C131" s="19">
        <f t="shared" si="23"/>
        <v>1</v>
      </c>
      <c r="D131" s="665"/>
      <c r="E131" s="19">
        <f t="shared" si="24"/>
        <v>1</v>
      </c>
      <c r="F131" s="665"/>
      <c r="G131" s="19">
        <f t="shared" si="25"/>
        <v>1</v>
      </c>
      <c r="H131" s="665"/>
      <c r="I131" s="19">
        <f t="shared" si="26"/>
        <v>1</v>
      </c>
      <c r="J131" s="665"/>
      <c r="K131" s="19">
        <f t="shared" si="27"/>
        <v>1</v>
      </c>
      <c r="L131" s="665"/>
      <c r="M131" s="19">
        <f t="shared" si="28"/>
        <v>1</v>
      </c>
      <c r="N131" s="665"/>
      <c r="O131" s="19">
        <f t="shared" si="29"/>
        <v>1</v>
      </c>
      <c r="P131" s="665"/>
      <c r="Q131" s="19">
        <f t="shared" si="30"/>
        <v>1</v>
      </c>
      <c r="R131" s="661">
        <f t="shared" si="31"/>
        <v>0</v>
      </c>
      <c r="S131" s="314">
        <f t="shared" si="32"/>
        <v>0</v>
      </c>
    </row>
    <row r="132" spans="1:19">
      <c r="A132" s="148"/>
      <c r="B132" s="52"/>
      <c r="C132" s="19">
        <f t="shared" si="23"/>
        <v>1</v>
      </c>
      <c r="D132" s="665"/>
      <c r="E132" s="19">
        <f t="shared" si="24"/>
        <v>1</v>
      </c>
      <c r="F132" s="665"/>
      <c r="G132" s="19">
        <f t="shared" si="25"/>
        <v>1</v>
      </c>
      <c r="H132" s="665"/>
      <c r="I132" s="19">
        <f t="shared" si="26"/>
        <v>1</v>
      </c>
      <c r="J132" s="665"/>
      <c r="K132" s="19">
        <f t="shared" si="27"/>
        <v>1</v>
      </c>
      <c r="L132" s="665"/>
      <c r="M132" s="19">
        <f t="shared" si="28"/>
        <v>1</v>
      </c>
      <c r="N132" s="665"/>
      <c r="O132" s="19">
        <f t="shared" si="29"/>
        <v>1</v>
      </c>
      <c r="P132" s="665"/>
      <c r="Q132" s="19">
        <f t="shared" si="30"/>
        <v>1</v>
      </c>
      <c r="R132" s="661">
        <f t="shared" si="31"/>
        <v>0</v>
      </c>
      <c r="S132" s="314">
        <f t="shared" si="32"/>
        <v>0</v>
      </c>
    </row>
    <row r="133" spans="1:19">
      <c r="A133" s="148"/>
      <c r="B133" s="52"/>
      <c r="C133" s="19">
        <f t="shared" si="23"/>
        <v>1</v>
      </c>
      <c r="D133" s="665"/>
      <c r="E133" s="19">
        <f t="shared" si="24"/>
        <v>1</v>
      </c>
      <c r="F133" s="665"/>
      <c r="G133" s="19">
        <f t="shared" si="25"/>
        <v>1</v>
      </c>
      <c r="H133" s="665"/>
      <c r="I133" s="19">
        <f t="shared" si="26"/>
        <v>1</v>
      </c>
      <c r="J133" s="665"/>
      <c r="K133" s="19">
        <f t="shared" si="27"/>
        <v>1</v>
      </c>
      <c r="L133" s="665"/>
      <c r="M133" s="19">
        <f t="shared" si="28"/>
        <v>1</v>
      </c>
      <c r="N133" s="665"/>
      <c r="O133" s="19">
        <f t="shared" si="29"/>
        <v>1</v>
      </c>
      <c r="P133" s="665"/>
      <c r="Q133" s="19">
        <f t="shared" si="30"/>
        <v>1</v>
      </c>
      <c r="R133" s="661">
        <f t="shared" si="31"/>
        <v>0</v>
      </c>
      <c r="S133" s="314">
        <f t="shared" si="32"/>
        <v>0</v>
      </c>
    </row>
    <row r="134" spans="1:19">
      <c r="A134" s="148"/>
      <c r="B134" s="52"/>
      <c r="C134" s="19">
        <f t="shared" si="23"/>
        <v>1</v>
      </c>
      <c r="D134" s="665"/>
      <c r="E134" s="19">
        <f t="shared" si="24"/>
        <v>1</v>
      </c>
      <c r="F134" s="665"/>
      <c r="G134" s="19">
        <f t="shared" si="25"/>
        <v>1</v>
      </c>
      <c r="H134" s="665"/>
      <c r="I134" s="19">
        <f t="shared" si="26"/>
        <v>1</v>
      </c>
      <c r="J134" s="665"/>
      <c r="K134" s="19">
        <f t="shared" si="27"/>
        <v>1</v>
      </c>
      <c r="L134" s="665"/>
      <c r="M134" s="19">
        <f t="shared" si="28"/>
        <v>1</v>
      </c>
      <c r="N134" s="665"/>
      <c r="O134" s="19">
        <f t="shared" si="29"/>
        <v>1</v>
      </c>
      <c r="P134" s="665"/>
      <c r="Q134" s="19">
        <f t="shared" si="30"/>
        <v>1</v>
      </c>
      <c r="R134" s="661">
        <f t="shared" si="31"/>
        <v>0</v>
      </c>
      <c r="S134" s="314">
        <f t="shared" si="32"/>
        <v>0</v>
      </c>
    </row>
    <row r="135" spans="1:19">
      <c r="A135" s="148"/>
      <c r="B135" s="52"/>
      <c r="C135" s="19">
        <f t="shared" si="23"/>
        <v>1</v>
      </c>
      <c r="D135" s="665"/>
      <c r="E135" s="19">
        <f t="shared" si="24"/>
        <v>1</v>
      </c>
      <c r="F135" s="665"/>
      <c r="G135" s="19">
        <f t="shared" si="25"/>
        <v>1</v>
      </c>
      <c r="H135" s="665"/>
      <c r="I135" s="19">
        <f t="shared" si="26"/>
        <v>1</v>
      </c>
      <c r="J135" s="665"/>
      <c r="K135" s="19">
        <f t="shared" si="27"/>
        <v>1</v>
      </c>
      <c r="L135" s="665"/>
      <c r="M135" s="19">
        <f t="shared" si="28"/>
        <v>1</v>
      </c>
      <c r="N135" s="665"/>
      <c r="O135" s="19">
        <f t="shared" si="29"/>
        <v>1</v>
      </c>
      <c r="P135" s="665"/>
      <c r="Q135" s="19">
        <f t="shared" si="30"/>
        <v>1</v>
      </c>
      <c r="R135" s="661">
        <f t="shared" si="31"/>
        <v>0</v>
      </c>
      <c r="S135" s="314">
        <f t="shared" si="32"/>
        <v>0</v>
      </c>
    </row>
    <row r="136" spans="1:19">
      <c r="A136" s="148"/>
      <c r="B136" s="52"/>
      <c r="C136" s="19">
        <f t="shared" si="23"/>
        <v>1</v>
      </c>
      <c r="D136" s="665"/>
      <c r="E136" s="19">
        <f t="shared" si="24"/>
        <v>1</v>
      </c>
      <c r="F136" s="665"/>
      <c r="G136" s="19">
        <f t="shared" si="25"/>
        <v>1</v>
      </c>
      <c r="H136" s="665"/>
      <c r="I136" s="19">
        <f t="shared" si="26"/>
        <v>1</v>
      </c>
      <c r="J136" s="665"/>
      <c r="K136" s="19">
        <f t="shared" si="27"/>
        <v>1</v>
      </c>
      <c r="L136" s="665"/>
      <c r="M136" s="19">
        <f t="shared" si="28"/>
        <v>1</v>
      </c>
      <c r="N136" s="665"/>
      <c r="O136" s="19">
        <f t="shared" si="29"/>
        <v>1</v>
      </c>
      <c r="P136" s="665"/>
      <c r="Q136" s="19">
        <f t="shared" si="30"/>
        <v>1</v>
      </c>
      <c r="R136" s="661">
        <f t="shared" si="31"/>
        <v>0</v>
      </c>
      <c r="S136" s="314">
        <f t="shared" si="32"/>
        <v>0</v>
      </c>
    </row>
    <row r="137" spans="1:19">
      <c r="A137" s="148"/>
      <c r="B137" s="52"/>
      <c r="C137" s="19">
        <f t="shared" si="23"/>
        <v>1</v>
      </c>
      <c r="D137" s="665"/>
      <c r="E137" s="19">
        <f t="shared" si="24"/>
        <v>1</v>
      </c>
      <c r="F137" s="665"/>
      <c r="G137" s="19">
        <f t="shared" si="25"/>
        <v>1</v>
      </c>
      <c r="H137" s="665"/>
      <c r="I137" s="19">
        <f t="shared" si="26"/>
        <v>1</v>
      </c>
      <c r="J137" s="665"/>
      <c r="K137" s="19">
        <f t="shared" si="27"/>
        <v>1</v>
      </c>
      <c r="L137" s="665"/>
      <c r="M137" s="19">
        <f t="shared" si="28"/>
        <v>1</v>
      </c>
      <c r="N137" s="665"/>
      <c r="O137" s="19">
        <f t="shared" si="29"/>
        <v>1</v>
      </c>
      <c r="P137" s="665"/>
      <c r="Q137" s="19">
        <f t="shared" si="30"/>
        <v>1</v>
      </c>
      <c r="R137" s="661">
        <f t="shared" si="31"/>
        <v>0</v>
      </c>
      <c r="S137" s="314">
        <f t="shared" si="32"/>
        <v>0</v>
      </c>
    </row>
    <row r="138" spans="1:19">
      <c r="A138" s="148"/>
      <c r="B138" s="52"/>
      <c r="C138" s="19">
        <f t="shared" si="23"/>
        <v>1</v>
      </c>
      <c r="D138" s="665"/>
      <c r="E138" s="19">
        <f t="shared" si="24"/>
        <v>1</v>
      </c>
      <c r="F138" s="665"/>
      <c r="G138" s="19">
        <f t="shared" si="25"/>
        <v>1</v>
      </c>
      <c r="H138" s="665"/>
      <c r="I138" s="19">
        <f t="shared" si="26"/>
        <v>1</v>
      </c>
      <c r="J138" s="665"/>
      <c r="K138" s="19">
        <f t="shared" si="27"/>
        <v>1</v>
      </c>
      <c r="L138" s="665"/>
      <c r="M138" s="19">
        <f t="shared" si="28"/>
        <v>1</v>
      </c>
      <c r="N138" s="665"/>
      <c r="O138" s="19">
        <f t="shared" si="29"/>
        <v>1</v>
      </c>
      <c r="P138" s="665"/>
      <c r="Q138" s="19">
        <f t="shared" si="30"/>
        <v>1</v>
      </c>
      <c r="R138" s="661">
        <f t="shared" si="31"/>
        <v>0</v>
      </c>
      <c r="S138" s="314">
        <f t="shared" si="32"/>
        <v>0</v>
      </c>
    </row>
    <row r="139" spans="1:19">
      <c r="A139" s="148"/>
      <c r="B139" s="52"/>
      <c r="C139" s="19">
        <f t="shared" si="23"/>
        <v>1</v>
      </c>
      <c r="D139" s="665"/>
      <c r="E139" s="19">
        <f t="shared" si="24"/>
        <v>1</v>
      </c>
      <c r="F139" s="665"/>
      <c r="G139" s="19">
        <f t="shared" si="25"/>
        <v>1</v>
      </c>
      <c r="H139" s="665"/>
      <c r="I139" s="19">
        <f t="shared" si="26"/>
        <v>1</v>
      </c>
      <c r="J139" s="665"/>
      <c r="K139" s="19">
        <f t="shared" si="27"/>
        <v>1</v>
      </c>
      <c r="L139" s="665"/>
      <c r="M139" s="19">
        <f t="shared" si="28"/>
        <v>1</v>
      </c>
      <c r="N139" s="665"/>
      <c r="O139" s="19">
        <f t="shared" si="29"/>
        <v>1</v>
      </c>
      <c r="P139" s="665"/>
      <c r="Q139" s="19">
        <f t="shared" si="30"/>
        <v>1</v>
      </c>
      <c r="R139" s="661">
        <f t="shared" si="31"/>
        <v>0</v>
      </c>
      <c r="S139" s="314">
        <f t="shared" si="32"/>
        <v>0</v>
      </c>
    </row>
    <row r="140" spans="1:19">
      <c r="A140" s="148"/>
      <c r="B140" s="52"/>
      <c r="C140" s="19">
        <f t="shared" si="23"/>
        <v>1</v>
      </c>
      <c r="D140" s="665"/>
      <c r="E140" s="19">
        <f t="shared" si="24"/>
        <v>1</v>
      </c>
      <c r="F140" s="665"/>
      <c r="G140" s="19">
        <f t="shared" si="25"/>
        <v>1</v>
      </c>
      <c r="H140" s="665"/>
      <c r="I140" s="19">
        <f t="shared" si="26"/>
        <v>1</v>
      </c>
      <c r="J140" s="665"/>
      <c r="K140" s="19">
        <f t="shared" si="27"/>
        <v>1</v>
      </c>
      <c r="L140" s="665"/>
      <c r="M140" s="19">
        <f t="shared" si="28"/>
        <v>1</v>
      </c>
      <c r="N140" s="665"/>
      <c r="O140" s="19">
        <f t="shared" si="29"/>
        <v>1</v>
      </c>
      <c r="P140" s="665"/>
      <c r="Q140" s="19">
        <f t="shared" si="30"/>
        <v>1</v>
      </c>
      <c r="R140" s="661">
        <f t="shared" si="31"/>
        <v>0</v>
      </c>
      <c r="S140" s="314">
        <f t="shared" si="32"/>
        <v>0</v>
      </c>
    </row>
    <row r="141" spans="1:19">
      <c r="A141" s="148"/>
      <c r="B141" s="52"/>
      <c r="C141" s="19">
        <f t="shared" si="23"/>
        <v>1</v>
      </c>
      <c r="D141" s="665"/>
      <c r="E141" s="19">
        <f t="shared" si="24"/>
        <v>1</v>
      </c>
      <c r="F141" s="665"/>
      <c r="G141" s="19">
        <f t="shared" si="25"/>
        <v>1</v>
      </c>
      <c r="H141" s="665"/>
      <c r="I141" s="19">
        <f t="shared" si="26"/>
        <v>1</v>
      </c>
      <c r="J141" s="665"/>
      <c r="K141" s="19">
        <f t="shared" si="27"/>
        <v>1</v>
      </c>
      <c r="L141" s="665"/>
      <c r="M141" s="19">
        <f t="shared" si="28"/>
        <v>1</v>
      </c>
      <c r="N141" s="665"/>
      <c r="O141" s="19">
        <f t="shared" si="29"/>
        <v>1</v>
      </c>
      <c r="P141" s="665"/>
      <c r="Q141" s="19">
        <f t="shared" si="30"/>
        <v>1</v>
      </c>
      <c r="R141" s="661">
        <f t="shared" si="31"/>
        <v>0</v>
      </c>
      <c r="S141" s="314">
        <f t="shared" si="32"/>
        <v>0</v>
      </c>
    </row>
    <row r="142" spans="1:19">
      <c r="A142" s="148"/>
      <c r="B142" s="52"/>
      <c r="C142" s="19">
        <f t="shared" si="23"/>
        <v>1</v>
      </c>
      <c r="D142" s="665"/>
      <c r="E142" s="19">
        <f t="shared" si="24"/>
        <v>1</v>
      </c>
      <c r="F142" s="665"/>
      <c r="G142" s="19">
        <f t="shared" si="25"/>
        <v>1</v>
      </c>
      <c r="H142" s="665"/>
      <c r="I142" s="19">
        <f t="shared" si="26"/>
        <v>1</v>
      </c>
      <c r="J142" s="665"/>
      <c r="K142" s="19">
        <f t="shared" si="27"/>
        <v>1</v>
      </c>
      <c r="L142" s="665"/>
      <c r="M142" s="19">
        <f t="shared" si="28"/>
        <v>1</v>
      </c>
      <c r="N142" s="665"/>
      <c r="O142" s="19">
        <f t="shared" si="29"/>
        <v>1</v>
      </c>
      <c r="P142" s="665"/>
      <c r="Q142" s="19">
        <f t="shared" si="30"/>
        <v>1</v>
      </c>
      <c r="R142" s="661">
        <f t="shared" si="31"/>
        <v>0</v>
      </c>
      <c r="S142" s="314">
        <f t="shared" si="32"/>
        <v>0</v>
      </c>
    </row>
    <row r="143" spans="1:19">
      <c r="A143" s="148"/>
      <c r="B143" s="52"/>
      <c r="C143" s="19">
        <f t="shared" si="23"/>
        <v>1</v>
      </c>
      <c r="D143" s="665"/>
      <c r="E143" s="19">
        <f t="shared" si="24"/>
        <v>1</v>
      </c>
      <c r="F143" s="665"/>
      <c r="G143" s="19">
        <f t="shared" si="25"/>
        <v>1</v>
      </c>
      <c r="H143" s="665"/>
      <c r="I143" s="19">
        <f t="shared" si="26"/>
        <v>1</v>
      </c>
      <c r="J143" s="665"/>
      <c r="K143" s="19">
        <f t="shared" si="27"/>
        <v>1</v>
      </c>
      <c r="L143" s="665"/>
      <c r="M143" s="19">
        <f t="shared" si="28"/>
        <v>1</v>
      </c>
      <c r="N143" s="665"/>
      <c r="O143" s="19">
        <f t="shared" si="29"/>
        <v>1</v>
      </c>
      <c r="P143" s="665"/>
      <c r="Q143" s="19">
        <f t="shared" si="30"/>
        <v>1</v>
      </c>
      <c r="R143" s="661">
        <f t="shared" si="31"/>
        <v>0</v>
      </c>
      <c r="S143" s="314">
        <f t="shared" si="32"/>
        <v>0</v>
      </c>
    </row>
    <row r="144" spans="1:19">
      <c r="A144" s="148"/>
      <c r="B144" s="52"/>
      <c r="C144" s="19">
        <f t="shared" si="23"/>
        <v>1</v>
      </c>
      <c r="D144" s="665"/>
      <c r="E144" s="19">
        <f t="shared" si="24"/>
        <v>1</v>
      </c>
      <c r="F144" s="665"/>
      <c r="G144" s="19">
        <f t="shared" si="25"/>
        <v>1</v>
      </c>
      <c r="H144" s="665"/>
      <c r="I144" s="19">
        <f t="shared" si="26"/>
        <v>1</v>
      </c>
      <c r="J144" s="665"/>
      <c r="K144" s="19">
        <f t="shared" si="27"/>
        <v>1</v>
      </c>
      <c r="L144" s="665"/>
      <c r="M144" s="19">
        <f t="shared" si="28"/>
        <v>1</v>
      </c>
      <c r="N144" s="665"/>
      <c r="O144" s="19">
        <f t="shared" si="29"/>
        <v>1</v>
      </c>
      <c r="P144" s="665"/>
      <c r="Q144" s="19">
        <f t="shared" si="30"/>
        <v>1</v>
      </c>
      <c r="R144" s="661">
        <f t="shared" si="31"/>
        <v>0</v>
      </c>
      <c r="S144" s="314">
        <f t="shared" si="32"/>
        <v>0</v>
      </c>
    </row>
    <row r="145" spans="1:19">
      <c r="A145" s="148"/>
      <c r="B145" s="52"/>
      <c r="C145" s="19">
        <f t="shared" si="23"/>
        <v>1</v>
      </c>
      <c r="D145" s="665"/>
      <c r="E145" s="19">
        <f t="shared" si="24"/>
        <v>1</v>
      </c>
      <c r="F145" s="665"/>
      <c r="G145" s="19">
        <f t="shared" si="25"/>
        <v>1</v>
      </c>
      <c r="H145" s="665"/>
      <c r="I145" s="19">
        <f t="shared" si="26"/>
        <v>1</v>
      </c>
      <c r="J145" s="665"/>
      <c r="K145" s="19">
        <f t="shared" si="27"/>
        <v>1</v>
      </c>
      <c r="L145" s="665"/>
      <c r="M145" s="19">
        <f t="shared" si="28"/>
        <v>1</v>
      </c>
      <c r="N145" s="665"/>
      <c r="O145" s="19">
        <f t="shared" si="29"/>
        <v>1</v>
      </c>
      <c r="P145" s="665"/>
      <c r="Q145" s="19">
        <f t="shared" si="30"/>
        <v>1</v>
      </c>
      <c r="R145" s="661">
        <f t="shared" si="31"/>
        <v>0</v>
      </c>
      <c r="S145" s="314">
        <f t="shared" si="32"/>
        <v>0</v>
      </c>
    </row>
    <row r="146" spans="1:19">
      <c r="A146" s="148"/>
      <c r="B146" s="52"/>
      <c r="C146" s="19">
        <f t="shared" si="23"/>
        <v>1</v>
      </c>
      <c r="D146" s="665"/>
      <c r="E146" s="19">
        <f t="shared" si="24"/>
        <v>1</v>
      </c>
      <c r="F146" s="665"/>
      <c r="G146" s="19">
        <f t="shared" si="25"/>
        <v>1</v>
      </c>
      <c r="H146" s="665"/>
      <c r="I146" s="19">
        <f t="shared" si="26"/>
        <v>1</v>
      </c>
      <c r="J146" s="665"/>
      <c r="K146" s="19">
        <f t="shared" si="27"/>
        <v>1</v>
      </c>
      <c r="L146" s="665"/>
      <c r="M146" s="19">
        <f t="shared" si="28"/>
        <v>1</v>
      </c>
      <c r="N146" s="665"/>
      <c r="O146" s="19">
        <f t="shared" si="29"/>
        <v>1</v>
      </c>
      <c r="P146" s="665"/>
      <c r="Q146" s="19">
        <f t="shared" si="30"/>
        <v>1</v>
      </c>
      <c r="R146" s="661">
        <f t="shared" si="31"/>
        <v>0</v>
      </c>
      <c r="S146" s="314">
        <f t="shared" si="32"/>
        <v>0</v>
      </c>
    </row>
    <row r="147" spans="1:19">
      <c r="A147" s="148"/>
      <c r="B147" s="52"/>
      <c r="C147" s="19">
        <f t="shared" si="23"/>
        <v>1</v>
      </c>
      <c r="D147" s="665"/>
      <c r="E147" s="19">
        <f t="shared" si="24"/>
        <v>1</v>
      </c>
      <c r="F147" s="665"/>
      <c r="G147" s="19">
        <f t="shared" si="25"/>
        <v>1</v>
      </c>
      <c r="H147" s="665"/>
      <c r="I147" s="19">
        <f t="shared" si="26"/>
        <v>1</v>
      </c>
      <c r="J147" s="665"/>
      <c r="K147" s="19">
        <f t="shared" si="27"/>
        <v>1</v>
      </c>
      <c r="L147" s="665"/>
      <c r="M147" s="19">
        <f t="shared" si="28"/>
        <v>1</v>
      </c>
      <c r="N147" s="665"/>
      <c r="O147" s="19">
        <f t="shared" si="29"/>
        <v>1</v>
      </c>
      <c r="P147" s="665"/>
      <c r="Q147" s="19">
        <f t="shared" si="30"/>
        <v>1</v>
      </c>
      <c r="R147" s="661">
        <f t="shared" si="31"/>
        <v>0</v>
      </c>
      <c r="S147" s="314">
        <f t="shared" si="32"/>
        <v>0</v>
      </c>
    </row>
    <row r="148" spans="1:19">
      <c r="A148" s="148"/>
      <c r="B148" s="52"/>
      <c r="C148" s="19">
        <f t="shared" si="23"/>
        <v>1</v>
      </c>
      <c r="D148" s="665"/>
      <c r="E148" s="19">
        <f t="shared" si="24"/>
        <v>1</v>
      </c>
      <c r="F148" s="665"/>
      <c r="G148" s="19">
        <f t="shared" si="25"/>
        <v>1</v>
      </c>
      <c r="H148" s="665"/>
      <c r="I148" s="19">
        <f t="shared" si="26"/>
        <v>1</v>
      </c>
      <c r="J148" s="665"/>
      <c r="K148" s="19">
        <f t="shared" si="27"/>
        <v>1</v>
      </c>
      <c r="L148" s="665"/>
      <c r="M148" s="19">
        <f t="shared" si="28"/>
        <v>1</v>
      </c>
      <c r="N148" s="665"/>
      <c r="O148" s="19">
        <f t="shared" si="29"/>
        <v>1</v>
      </c>
      <c r="P148" s="665"/>
      <c r="Q148" s="19">
        <f t="shared" si="30"/>
        <v>1</v>
      </c>
      <c r="R148" s="661">
        <f t="shared" si="31"/>
        <v>0</v>
      </c>
      <c r="S148" s="314">
        <f t="shared" si="32"/>
        <v>0</v>
      </c>
    </row>
    <row r="149" spans="1:19">
      <c r="A149" s="148"/>
      <c r="B149" s="52"/>
      <c r="C149" s="19">
        <f t="shared" si="23"/>
        <v>1</v>
      </c>
      <c r="D149" s="665"/>
      <c r="E149" s="19">
        <f t="shared" si="24"/>
        <v>1</v>
      </c>
      <c r="F149" s="665"/>
      <c r="G149" s="19">
        <f t="shared" si="25"/>
        <v>1</v>
      </c>
      <c r="H149" s="665"/>
      <c r="I149" s="19">
        <f t="shared" si="26"/>
        <v>1</v>
      </c>
      <c r="J149" s="665"/>
      <c r="K149" s="19">
        <f t="shared" si="27"/>
        <v>1</v>
      </c>
      <c r="L149" s="665"/>
      <c r="M149" s="19">
        <f t="shared" si="28"/>
        <v>1</v>
      </c>
      <c r="N149" s="665"/>
      <c r="O149" s="19">
        <f t="shared" si="29"/>
        <v>1</v>
      </c>
      <c r="P149" s="665"/>
      <c r="Q149" s="19">
        <f t="shared" si="30"/>
        <v>1</v>
      </c>
      <c r="R149" s="661">
        <f t="shared" si="31"/>
        <v>0</v>
      </c>
      <c r="S149" s="314">
        <f t="shared" si="32"/>
        <v>0</v>
      </c>
    </row>
    <row r="150" spans="1:19">
      <c r="A150" s="148"/>
      <c r="B150" s="52"/>
      <c r="C150" s="19">
        <f t="shared" si="23"/>
        <v>1</v>
      </c>
      <c r="D150" s="665"/>
      <c r="E150" s="19">
        <f t="shared" si="24"/>
        <v>1</v>
      </c>
      <c r="F150" s="665"/>
      <c r="G150" s="19">
        <f t="shared" si="25"/>
        <v>1</v>
      </c>
      <c r="H150" s="665"/>
      <c r="I150" s="19">
        <f t="shared" si="26"/>
        <v>1</v>
      </c>
      <c r="J150" s="665"/>
      <c r="K150" s="19">
        <f t="shared" si="27"/>
        <v>1</v>
      </c>
      <c r="L150" s="665"/>
      <c r="M150" s="19">
        <f t="shared" si="28"/>
        <v>1</v>
      </c>
      <c r="N150" s="665"/>
      <c r="O150" s="19">
        <f t="shared" si="29"/>
        <v>1</v>
      </c>
      <c r="P150" s="665"/>
      <c r="Q150" s="19">
        <f t="shared" si="30"/>
        <v>1</v>
      </c>
      <c r="R150" s="661">
        <f t="shared" si="31"/>
        <v>0</v>
      </c>
      <c r="S150" s="314">
        <f t="shared" si="32"/>
        <v>0</v>
      </c>
    </row>
    <row r="151" spans="1:19">
      <c r="A151" s="148"/>
      <c r="B151" s="52"/>
      <c r="C151" s="19">
        <f t="shared" si="23"/>
        <v>1</v>
      </c>
      <c r="D151" s="665"/>
      <c r="E151" s="19">
        <f t="shared" si="24"/>
        <v>1</v>
      </c>
      <c r="F151" s="665"/>
      <c r="G151" s="19">
        <f t="shared" si="25"/>
        <v>1</v>
      </c>
      <c r="H151" s="665"/>
      <c r="I151" s="19">
        <f t="shared" si="26"/>
        <v>1</v>
      </c>
      <c r="J151" s="665"/>
      <c r="K151" s="19">
        <f t="shared" si="27"/>
        <v>1</v>
      </c>
      <c r="L151" s="665"/>
      <c r="M151" s="19">
        <f t="shared" si="28"/>
        <v>1</v>
      </c>
      <c r="N151" s="665"/>
      <c r="O151" s="19">
        <f t="shared" si="29"/>
        <v>1</v>
      </c>
      <c r="P151" s="665"/>
      <c r="Q151" s="19">
        <f t="shared" si="30"/>
        <v>1</v>
      </c>
      <c r="R151" s="661">
        <f t="shared" si="31"/>
        <v>0</v>
      </c>
      <c r="S151" s="314">
        <f t="shared" si="32"/>
        <v>0</v>
      </c>
    </row>
    <row r="152" spans="1:19">
      <c r="A152" s="148"/>
      <c r="B152" s="52"/>
      <c r="C152" s="19">
        <f t="shared" si="23"/>
        <v>1</v>
      </c>
      <c r="D152" s="665"/>
      <c r="E152" s="19">
        <f t="shared" si="24"/>
        <v>1</v>
      </c>
      <c r="F152" s="665"/>
      <c r="G152" s="19">
        <f t="shared" si="25"/>
        <v>1</v>
      </c>
      <c r="H152" s="665"/>
      <c r="I152" s="19">
        <f t="shared" si="26"/>
        <v>1</v>
      </c>
      <c r="J152" s="665"/>
      <c r="K152" s="19">
        <f t="shared" si="27"/>
        <v>1</v>
      </c>
      <c r="L152" s="665"/>
      <c r="M152" s="19">
        <f t="shared" si="28"/>
        <v>1</v>
      </c>
      <c r="N152" s="665"/>
      <c r="O152" s="19">
        <f t="shared" si="29"/>
        <v>1</v>
      </c>
      <c r="P152" s="665"/>
      <c r="Q152" s="19">
        <f t="shared" si="30"/>
        <v>1</v>
      </c>
      <c r="R152" s="661">
        <f t="shared" si="31"/>
        <v>0</v>
      </c>
      <c r="S152" s="314">
        <f t="shared" si="32"/>
        <v>0</v>
      </c>
    </row>
    <row r="153" spans="1:19">
      <c r="A153" s="148"/>
      <c r="B153" s="52"/>
      <c r="C153" s="19">
        <f t="shared" si="23"/>
        <v>1</v>
      </c>
      <c r="D153" s="665"/>
      <c r="E153" s="19">
        <f t="shared" si="24"/>
        <v>1</v>
      </c>
      <c r="F153" s="665"/>
      <c r="G153" s="19">
        <f t="shared" si="25"/>
        <v>1</v>
      </c>
      <c r="H153" s="665"/>
      <c r="I153" s="19">
        <f t="shared" si="26"/>
        <v>1</v>
      </c>
      <c r="J153" s="665"/>
      <c r="K153" s="19">
        <f t="shared" si="27"/>
        <v>1</v>
      </c>
      <c r="L153" s="665"/>
      <c r="M153" s="19">
        <f t="shared" si="28"/>
        <v>1</v>
      </c>
      <c r="N153" s="665"/>
      <c r="O153" s="19">
        <f t="shared" si="29"/>
        <v>1</v>
      </c>
      <c r="P153" s="665"/>
      <c r="Q153" s="19">
        <f t="shared" si="30"/>
        <v>1</v>
      </c>
      <c r="R153" s="661">
        <f t="shared" si="31"/>
        <v>0</v>
      </c>
      <c r="S153" s="314">
        <f t="shared" si="32"/>
        <v>0</v>
      </c>
    </row>
    <row r="154" spans="1:19">
      <c r="A154" s="148"/>
      <c r="B154" s="52"/>
      <c r="C154" s="19">
        <f t="shared" ref="C154:C217" si="33">IF(B154="",1,(LOOKUP(B154,$3:$3,$4:$4)-LOOKUP($B$24,$3:$3,$4:$4)+100)/100)</f>
        <v>1</v>
      </c>
      <c r="D154" s="665"/>
      <c r="E154" s="19">
        <f t="shared" ref="E154:E217" si="34">(SUMIF($5:$5,D154,$6:$6)-SUMIF($5:$5,$D$24,$6:$6)+100)/100</f>
        <v>1</v>
      </c>
      <c r="F154" s="665"/>
      <c r="G154" s="19">
        <f t="shared" ref="G154:G217" si="35">(SUMIF($7:$7,F154,$8:$8)-SUMIF($7:$7,$F$24,$8:$8)+100)/100</f>
        <v>1</v>
      </c>
      <c r="H154" s="665"/>
      <c r="I154" s="19">
        <f t="shared" ref="I154:I217" si="36">(SUMIF($9:$9,H154,$10:$10)-SUMIF($9:$9,$H$24,$10:$10)+100)/100</f>
        <v>1</v>
      </c>
      <c r="J154" s="665"/>
      <c r="K154" s="19">
        <f t="shared" ref="K154:K217" si="37">(SUMIF($11:$11,J154,$12:$12)-SUMIF($11:$11,$J$24,$12:$12)+100)/100</f>
        <v>1</v>
      </c>
      <c r="L154" s="665"/>
      <c r="M154" s="19">
        <f t="shared" ref="M154:M217" si="38">(SUMIF($13:$13,L154,$14:$14)-SUMIF($13:$13,$L$24,$14:$14)+100)/100</f>
        <v>1</v>
      </c>
      <c r="N154" s="665"/>
      <c r="O154" s="19">
        <f t="shared" ref="O154:O217" si="39">(SUMIF($15:$15,N154,$16:$16)-SUMIF($15:$15,$N$24,$16:$16)+100)/100</f>
        <v>1</v>
      </c>
      <c r="P154" s="665"/>
      <c r="Q154" s="19">
        <f t="shared" ref="Q154:Q217" si="40">(SUMIF($17:$17,P154,$18:$18)-SUMIF($17:$17,$P$24,$18:$18)+100)/100</f>
        <v>1</v>
      </c>
      <c r="R154" s="661">
        <f t="shared" ref="R154:R217" si="41">IF(B154="",0,ROUND($R$24*C154*E154*G154*I154*K154*M154*O154*Q154,0))</f>
        <v>0</v>
      </c>
      <c r="S154" s="314">
        <f t="shared" si="32"/>
        <v>0</v>
      </c>
    </row>
    <row r="155" spans="1:19">
      <c r="A155" s="148"/>
      <c r="B155" s="52"/>
      <c r="C155" s="19">
        <f t="shared" si="33"/>
        <v>1</v>
      </c>
      <c r="D155" s="665"/>
      <c r="E155" s="19">
        <f t="shared" si="34"/>
        <v>1</v>
      </c>
      <c r="F155" s="665"/>
      <c r="G155" s="19">
        <f t="shared" si="35"/>
        <v>1</v>
      </c>
      <c r="H155" s="665"/>
      <c r="I155" s="19">
        <f t="shared" si="36"/>
        <v>1</v>
      </c>
      <c r="J155" s="665"/>
      <c r="K155" s="19">
        <f t="shared" si="37"/>
        <v>1</v>
      </c>
      <c r="L155" s="665"/>
      <c r="M155" s="19">
        <f t="shared" si="38"/>
        <v>1</v>
      </c>
      <c r="N155" s="665"/>
      <c r="O155" s="19">
        <f t="shared" si="39"/>
        <v>1</v>
      </c>
      <c r="P155" s="665"/>
      <c r="Q155" s="19">
        <f t="shared" si="40"/>
        <v>1</v>
      </c>
      <c r="R155" s="661">
        <f t="shared" si="41"/>
        <v>0</v>
      </c>
      <c r="S155" s="314">
        <f t="shared" si="32"/>
        <v>0</v>
      </c>
    </row>
    <row r="156" spans="1:19">
      <c r="A156" s="148"/>
      <c r="B156" s="52"/>
      <c r="C156" s="19">
        <f t="shared" si="33"/>
        <v>1</v>
      </c>
      <c r="D156" s="665"/>
      <c r="E156" s="19">
        <f t="shared" si="34"/>
        <v>1</v>
      </c>
      <c r="F156" s="665"/>
      <c r="G156" s="19">
        <f t="shared" si="35"/>
        <v>1</v>
      </c>
      <c r="H156" s="665"/>
      <c r="I156" s="19">
        <f t="shared" si="36"/>
        <v>1</v>
      </c>
      <c r="J156" s="665"/>
      <c r="K156" s="19">
        <f t="shared" si="37"/>
        <v>1</v>
      </c>
      <c r="L156" s="665"/>
      <c r="M156" s="19">
        <f t="shared" si="38"/>
        <v>1</v>
      </c>
      <c r="N156" s="665"/>
      <c r="O156" s="19">
        <f t="shared" si="39"/>
        <v>1</v>
      </c>
      <c r="P156" s="665"/>
      <c r="Q156" s="19">
        <f t="shared" si="40"/>
        <v>1</v>
      </c>
      <c r="R156" s="661">
        <f t="shared" si="41"/>
        <v>0</v>
      </c>
      <c r="S156" s="314">
        <f t="shared" si="32"/>
        <v>0</v>
      </c>
    </row>
    <row r="157" spans="1:19">
      <c r="A157" s="148"/>
      <c r="B157" s="52"/>
      <c r="C157" s="19">
        <f t="shared" si="33"/>
        <v>1</v>
      </c>
      <c r="D157" s="665"/>
      <c r="E157" s="19">
        <f t="shared" si="34"/>
        <v>1</v>
      </c>
      <c r="F157" s="665"/>
      <c r="G157" s="19">
        <f t="shared" si="35"/>
        <v>1</v>
      </c>
      <c r="H157" s="665"/>
      <c r="I157" s="19">
        <f t="shared" si="36"/>
        <v>1</v>
      </c>
      <c r="J157" s="665"/>
      <c r="K157" s="19">
        <f t="shared" si="37"/>
        <v>1</v>
      </c>
      <c r="L157" s="665"/>
      <c r="M157" s="19">
        <f t="shared" si="38"/>
        <v>1</v>
      </c>
      <c r="N157" s="665"/>
      <c r="O157" s="19">
        <f t="shared" si="39"/>
        <v>1</v>
      </c>
      <c r="P157" s="665"/>
      <c r="Q157" s="19">
        <f t="shared" si="40"/>
        <v>1</v>
      </c>
      <c r="R157" s="661">
        <f t="shared" si="41"/>
        <v>0</v>
      </c>
      <c r="S157" s="314">
        <f t="shared" si="32"/>
        <v>0</v>
      </c>
    </row>
    <row r="158" spans="1:19">
      <c r="A158" s="148"/>
      <c r="B158" s="52"/>
      <c r="C158" s="19">
        <f t="shared" si="33"/>
        <v>1</v>
      </c>
      <c r="D158" s="665"/>
      <c r="E158" s="19">
        <f t="shared" si="34"/>
        <v>1</v>
      </c>
      <c r="F158" s="665"/>
      <c r="G158" s="19">
        <f t="shared" si="35"/>
        <v>1</v>
      </c>
      <c r="H158" s="665"/>
      <c r="I158" s="19">
        <f t="shared" si="36"/>
        <v>1</v>
      </c>
      <c r="J158" s="665"/>
      <c r="K158" s="19">
        <f t="shared" si="37"/>
        <v>1</v>
      </c>
      <c r="L158" s="665"/>
      <c r="M158" s="19">
        <f t="shared" si="38"/>
        <v>1</v>
      </c>
      <c r="N158" s="665"/>
      <c r="O158" s="19">
        <f t="shared" si="39"/>
        <v>1</v>
      </c>
      <c r="P158" s="665"/>
      <c r="Q158" s="19">
        <f t="shared" si="40"/>
        <v>1</v>
      </c>
      <c r="R158" s="661">
        <f t="shared" si="41"/>
        <v>0</v>
      </c>
      <c r="S158" s="314">
        <f t="shared" si="32"/>
        <v>0</v>
      </c>
    </row>
    <row r="159" spans="1:19">
      <c r="A159" s="148"/>
      <c r="B159" s="52"/>
      <c r="C159" s="19">
        <f t="shared" si="33"/>
        <v>1</v>
      </c>
      <c r="D159" s="665"/>
      <c r="E159" s="19">
        <f t="shared" si="34"/>
        <v>1</v>
      </c>
      <c r="F159" s="665"/>
      <c r="G159" s="19">
        <f t="shared" si="35"/>
        <v>1</v>
      </c>
      <c r="H159" s="665"/>
      <c r="I159" s="19">
        <f t="shared" si="36"/>
        <v>1</v>
      </c>
      <c r="J159" s="665"/>
      <c r="K159" s="19">
        <f t="shared" si="37"/>
        <v>1</v>
      </c>
      <c r="L159" s="665"/>
      <c r="M159" s="19">
        <f t="shared" si="38"/>
        <v>1</v>
      </c>
      <c r="N159" s="665"/>
      <c r="O159" s="19">
        <f t="shared" si="39"/>
        <v>1</v>
      </c>
      <c r="P159" s="665"/>
      <c r="Q159" s="19">
        <f t="shared" si="40"/>
        <v>1</v>
      </c>
      <c r="R159" s="661">
        <f t="shared" si="41"/>
        <v>0</v>
      </c>
      <c r="S159" s="314">
        <f t="shared" si="32"/>
        <v>0</v>
      </c>
    </row>
    <row r="160" spans="1:19">
      <c r="A160" s="148"/>
      <c r="B160" s="52"/>
      <c r="C160" s="19">
        <f t="shared" si="33"/>
        <v>1</v>
      </c>
      <c r="D160" s="665"/>
      <c r="E160" s="19">
        <f t="shared" si="34"/>
        <v>1</v>
      </c>
      <c r="F160" s="665"/>
      <c r="G160" s="19">
        <f t="shared" si="35"/>
        <v>1</v>
      </c>
      <c r="H160" s="665"/>
      <c r="I160" s="19">
        <f t="shared" si="36"/>
        <v>1</v>
      </c>
      <c r="J160" s="665"/>
      <c r="K160" s="19">
        <f t="shared" si="37"/>
        <v>1</v>
      </c>
      <c r="L160" s="665"/>
      <c r="M160" s="19">
        <f t="shared" si="38"/>
        <v>1</v>
      </c>
      <c r="N160" s="665"/>
      <c r="O160" s="19">
        <f t="shared" si="39"/>
        <v>1</v>
      </c>
      <c r="P160" s="665"/>
      <c r="Q160" s="19">
        <f t="shared" si="40"/>
        <v>1</v>
      </c>
      <c r="R160" s="661">
        <f t="shared" si="41"/>
        <v>0</v>
      </c>
      <c r="S160" s="314">
        <f t="shared" si="32"/>
        <v>0</v>
      </c>
    </row>
    <row r="161" spans="1:19">
      <c r="A161" s="148"/>
      <c r="B161" s="52"/>
      <c r="C161" s="19">
        <f t="shared" si="33"/>
        <v>1</v>
      </c>
      <c r="D161" s="665"/>
      <c r="E161" s="19">
        <f t="shared" si="34"/>
        <v>1</v>
      </c>
      <c r="F161" s="665"/>
      <c r="G161" s="19">
        <f t="shared" si="35"/>
        <v>1</v>
      </c>
      <c r="H161" s="665"/>
      <c r="I161" s="19">
        <f t="shared" si="36"/>
        <v>1</v>
      </c>
      <c r="J161" s="665"/>
      <c r="K161" s="19">
        <f t="shared" si="37"/>
        <v>1</v>
      </c>
      <c r="L161" s="665"/>
      <c r="M161" s="19">
        <f t="shared" si="38"/>
        <v>1</v>
      </c>
      <c r="N161" s="665"/>
      <c r="O161" s="19">
        <f t="shared" si="39"/>
        <v>1</v>
      </c>
      <c r="P161" s="665"/>
      <c r="Q161" s="19">
        <f t="shared" si="40"/>
        <v>1</v>
      </c>
      <c r="R161" s="661">
        <f t="shared" si="41"/>
        <v>0</v>
      </c>
      <c r="S161" s="314">
        <f t="shared" si="32"/>
        <v>0</v>
      </c>
    </row>
    <row r="162" spans="1:19">
      <c r="A162" s="148"/>
      <c r="B162" s="52"/>
      <c r="C162" s="19">
        <f t="shared" si="33"/>
        <v>1</v>
      </c>
      <c r="D162" s="665"/>
      <c r="E162" s="19">
        <f t="shared" si="34"/>
        <v>1</v>
      </c>
      <c r="F162" s="665"/>
      <c r="G162" s="19">
        <f t="shared" si="35"/>
        <v>1</v>
      </c>
      <c r="H162" s="665"/>
      <c r="I162" s="19">
        <f t="shared" si="36"/>
        <v>1</v>
      </c>
      <c r="J162" s="665"/>
      <c r="K162" s="19">
        <f t="shared" si="37"/>
        <v>1</v>
      </c>
      <c r="L162" s="665"/>
      <c r="M162" s="19">
        <f t="shared" si="38"/>
        <v>1</v>
      </c>
      <c r="N162" s="665"/>
      <c r="O162" s="19">
        <f t="shared" si="39"/>
        <v>1</v>
      </c>
      <c r="P162" s="665"/>
      <c r="Q162" s="19">
        <f t="shared" si="40"/>
        <v>1</v>
      </c>
      <c r="R162" s="661">
        <f t="shared" si="41"/>
        <v>0</v>
      </c>
      <c r="S162" s="314">
        <f t="shared" si="32"/>
        <v>0</v>
      </c>
    </row>
    <row r="163" spans="1:19">
      <c r="A163" s="148"/>
      <c r="B163" s="52"/>
      <c r="C163" s="19">
        <f t="shared" si="33"/>
        <v>1</v>
      </c>
      <c r="D163" s="665"/>
      <c r="E163" s="19">
        <f t="shared" si="34"/>
        <v>1</v>
      </c>
      <c r="F163" s="665"/>
      <c r="G163" s="19">
        <f t="shared" si="35"/>
        <v>1</v>
      </c>
      <c r="H163" s="665"/>
      <c r="I163" s="19">
        <f t="shared" si="36"/>
        <v>1</v>
      </c>
      <c r="J163" s="665"/>
      <c r="K163" s="19">
        <f t="shared" si="37"/>
        <v>1</v>
      </c>
      <c r="L163" s="665"/>
      <c r="M163" s="19">
        <f t="shared" si="38"/>
        <v>1</v>
      </c>
      <c r="N163" s="665"/>
      <c r="O163" s="19">
        <f t="shared" si="39"/>
        <v>1</v>
      </c>
      <c r="P163" s="665"/>
      <c r="Q163" s="19">
        <f t="shared" si="40"/>
        <v>1</v>
      </c>
      <c r="R163" s="661">
        <f t="shared" si="41"/>
        <v>0</v>
      </c>
      <c r="S163" s="314">
        <f t="shared" si="32"/>
        <v>0</v>
      </c>
    </row>
    <row r="164" spans="1:19">
      <c r="A164" s="148"/>
      <c r="B164" s="52"/>
      <c r="C164" s="19">
        <f t="shared" si="33"/>
        <v>1</v>
      </c>
      <c r="D164" s="665"/>
      <c r="E164" s="19">
        <f t="shared" si="34"/>
        <v>1</v>
      </c>
      <c r="F164" s="665"/>
      <c r="G164" s="19">
        <f t="shared" si="35"/>
        <v>1</v>
      </c>
      <c r="H164" s="665"/>
      <c r="I164" s="19">
        <f t="shared" si="36"/>
        <v>1</v>
      </c>
      <c r="J164" s="665"/>
      <c r="K164" s="19">
        <f t="shared" si="37"/>
        <v>1</v>
      </c>
      <c r="L164" s="665"/>
      <c r="M164" s="19">
        <f t="shared" si="38"/>
        <v>1</v>
      </c>
      <c r="N164" s="665"/>
      <c r="O164" s="19">
        <f t="shared" si="39"/>
        <v>1</v>
      </c>
      <c r="P164" s="665"/>
      <c r="Q164" s="19">
        <f t="shared" si="40"/>
        <v>1</v>
      </c>
      <c r="R164" s="661">
        <f t="shared" si="41"/>
        <v>0</v>
      </c>
      <c r="S164" s="314">
        <f t="shared" si="32"/>
        <v>0</v>
      </c>
    </row>
    <row r="165" spans="1:19">
      <c r="A165" s="148"/>
      <c r="B165" s="52"/>
      <c r="C165" s="19">
        <f t="shared" si="33"/>
        <v>1</v>
      </c>
      <c r="D165" s="665"/>
      <c r="E165" s="19">
        <f t="shared" si="34"/>
        <v>1</v>
      </c>
      <c r="F165" s="665"/>
      <c r="G165" s="19">
        <f t="shared" si="35"/>
        <v>1</v>
      </c>
      <c r="H165" s="665"/>
      <c r="I165" s="19">
        <f t="shared" si="36"/>
        <v>1</v>
      </c>
      <c r="J165" s="665"/>
      <c r="K165" s="19">
        <f t="shared" si="37"/>
        <v>1</v>
      </c>
      <c r="L165" s="665"/>
      <c r="M165" s="19">
        <f t="shared" si="38"/>
        <v>1</v>
      </c>
      <c r="N165" s="665"/>
      <c r="O165" s="19">
        <f t="shared" si="39"/>
        <v>1</v>
      </c>
      <c r="P165" s="665"/>
      <c r="Q165" s="19">
        <f t="shared" si="40"/>
        <v>1</v>
      </c>
      <c r="R165" s="661">
        <f t="shared" si="41"/>
        <v>0</v>
      </c>
      <c r="S165" s="314">
        <f t="shared" si="32"/>
        <v>0</v>
      </c>
    </row>
    <row r="166" spans="1:19">
      <c r="A166" s="148"/>
      <c r="B166" s="52"/>
      <c r="C166" s="19">
        <f t="shared" si="33"/>
        <v>1</v>
      </c>
      <c r="D166" s="665"/>
      <c r="E166" s="19">
        <f t="shared" si="34"/>
        <v>1</v>
      </c>
      <c r="F166" s="665"/>
      <c r="G166" s="19">
        <f t="shared" si="35"/>
        <v>1</v>
      </c>
      <c r="H166" s="665"/>
      <c r="I166" s="19">
        <f t="shared" si="36"/>
        <v>1</v>
      </c>
      <c r="J166" s="665"/>
      <c r="K166" s="19">
        <f t="shared" si="37"/>
        <v>1</v>
      </c>
      <c r="L166" s="665"/>
      <c r="M166" s="19">
        <f t="shared" si="38"/>
        <v>1</v>
      </c>
      <c r="N166" s="665"/>
      <c r="O166" s="19">
        <f t="shared" si="39"/>
        <v>1</v>
      </c>
      <c r="P166" s="665"/>
      <c r="Q166" s="19">
        <f t="shared" si="40"/>
        <v>1</v>
      </c>
      <c r="R166" s="661">
        <f t="shared" si="41"/>
        <v>0</v>
      </c>
      <c r="S166" s="314">
        <f t="shared" si="32"/>
        <v>0</v>
      </c>
    </row>
    <row r="167" spans="1:19">
      <c r="A167" s="148"/>
      <c r="B167" s="52"/>
      <c r="C167" s="19">
        <f t="shared" si="33"/>
        <v>1</v>
      </c>
      <c r="D167" s="665"/>
      <c r="E167" s="19">
        <f t="shared" si="34"/>
        <v>1</v>
      </c>
      <c r="F167" s="665"/>
      <c r="G167" s="19">
        <f t="shared" si="35"/>
        <v>1</v>
      </c>
      <c r="H167" s="665"/>
      <c r="I167" s="19">
        <f t="shared" si="36"/>
        <v>1</v>
      </c>
      <c r="J167" s="665"/>
      <c r="K167" s="19">
        <f t="shared" si="37"/>
        <v>1</v>
      </c>
      <c r="L167" s="665"/>
      <c r="M167" s="19">
        <f t="shared" si="38"/>
        <v>1</v>
      </c>
      <c r="N167" s="665"/>
      <c r="O167" s="19">
        <f t="shared" si="39"/>
        <v>1</v>
      </c>
      <c r="P167" s="665"/>
      <c r="Q167" s="19">
        <f t="shared" si="40"/>
        <v>1</v>
      </c>
      <c r="R167" s="661">
        <f t="shared" si="41"/>
        <v>0</v>
      </c>
      <c r="S167" s="314">
        <f t="shared" si="32"/>
        <v>0</v>
      </c>
    </row>
    <row r="168" spans="1:19">
      <c r="A168" s="148"/>
      <c r="B168" s="52"/>
      <c r="C168" s="19">
        <f t="shared" si="33"/>
        <v>1</v>
      </c>
      <c r="D168" s="665"/>
      <c r="E168" s="19">
        <f t="shared" si="34"/>
        <v>1</v>
      </c>
      <c r="F168" s="665"/>
      <c r="G168" s="19">
        <f t="shared" si="35"/>
        <v>1</v>
      </c>
      <c r="H168" s="665"/>
      <c r="I168" s="19">
        <f t="shared" si="36"/>
        <v>1</v>
      </c>
      <c r="J168" s="665"/>
      <c r="K168" s="19">
        <f t="shared" si="37"/>
        <v>1</v>
      </c>
      <c r="L168" s="665"/>
      <c r="M168" s="19">
        <f t="shared" si="38"/>
        <v>1</v>
      </c>
      <c r="N168" s="665"/>
      <c r="O168" s="19">
        <f t="shared" si="39"/>
        <v>1</v>
      </c>
      <c r="P168" s="665"/>
      <c r="Q168" s="19">
        <f t="shared" si="40"/>
        <v>1</v>
      </c>
      <c r="R168" s="661">
        <f t="shared" si="41"/>
        <v>0</v>
      </c>
      <c r="S168" s="314">
        <f t="shared" si="32"/>
        <v>0</v>
      </c>
    </row>
    <row r="169" spans="1:19">
      <c r="A169" s="148"/>
      <c r="B169" s="52"/>
      <c r="C169" s="19">
        <f t="shared" si="33"/>
        <v>1</v>
      </c>
      <c r="D169" s="665"/>
      <c r="E169" s="19">
        <f t="shared" si="34"/>
        <v>1</v>
      </c>
      <c r="F169" s="665"/>
      <c r="G169" s="19">
        <f t="shared" si="35"/>
        <v>1</v>
      </c>
      <c r="H169" s="665"/>
      <c r="I169" s="19">
        <f t="shared" si="36"/>
        <v>1</v>
      </c>
      <c r="J169" s="665"/>
      <c r="K169" s="19">
        <f t="shared" si="37"/>
        <v>1</v>
      </c>
      <c r="L169" s="665"/>
      <c r="M169" s="19">
        <f t="shared" si="38"/>
        <v>1</v>
      </c>
      <c r="N169" s="665"/>
      <c r="O169" s="19">
        <f t="shared" si="39"/>
        <v>1</v>
      </c>
      <c r="P169" s="665"/>
      <c r="Q169" s="19">
        <f t="shared" si="40"/>
        <v>1</v>
      </c>
      <c r="R169" s="661">
        <f t="shared" si="41"/>
        <v>0</v>
      </c>
      <c r="S169" s="314">
        <f t="shared" si="32"/>
        <v>0</v>
      </c>
    </row>
    <row r="170" spans="1:19">
      <c r="A170" s="148"/>
      <c r="B170" s="52"/>
      <c r="C170" s="19">
        <f t="shared" si="33"/>
        <v>1</v>
      </c>
      <c r="D170" s="665"/>
      <c r="E170" s="19">
        <f t="shared" si="34"/>
        <v>1</v>
      </c>
      <c r="F170" s="665"/>
      <c r="G170" s="19">
        <f t="shared" si="35"/>
        <v>1</v>
      </c>
      <c r="H170" s="665"/>
      <c r="I170" s="19">
        <f t="shared" si="36"/>
        <v>1</v>
      </c>
      <c r="J170" s="665"/>
      <c r="K170" s="19">
        <f t="shared" si="37"/>
        <v>1</v>
      </c>
      <c r="L170" s="665"/>
      <c r="M170" s="19">
        <f t="shared" si="38"/>
        <v>1</v>
      </c>
      <c r="N170" s="665"/>
      <c r="O170" s="19">
        <f t="shared" si="39"/>
        <v>1</v>
      </c>
      <c r="P170" s="665"/>
      <c r="Q170" s="19">
        <f t="shared" si="40"/>
        <v>1</v>
      </c>
      <c r="R170" s="661">
        <f t="shared" si="41"/>
        <v>0</v>
      </c>
      <c r="S170" s="314">
        <f t="shared" si="32"/>
        <v>0</v>
      </c>
    </row>
    <row r="171" spans="1:19">
      <c r="A171" s="148"/>
      <c r="B171" s="52"/>
      <c r="C171" s="19">
        <f t="shared" si="33"/>
        <v>1</v>
      </c>
      <c r="D171" s="665"/>
      <c r="E171" s="19">
        <f t="shared" si="34"/>
        <v>1</v>
      </c>
      <c r="F171" s="665"/>
      <c r="G171" s="19">
        <f t="shared" si="35"/>
        <v>1</v>
      </c>
      <c r="H171" s="665"/>
      <c r="I171" s="19">
        <f t="shared" si="36"/>
        <v>1</v>
      </c>
      <c r="J171" s="665"/>
      <c r="K171" s="19">
        <f t="shared" si="37"/>
        <v>1</v>
      </c>
      <c r="L171" s="665"/>
      <c r="M171" s="19">
        <f t="shared" si="38"/>
        <v>1</v>
      </c>
      <c r="N171" s="665"/>
      <c r="O171" s="19">
        <f t="shared" si="39"/>
        <v>1</v>
      </c>
      <c r="P171" s="665"/>
      <c r="Q171" s="19">
        <f t="shared" si="40"/>
        <v>1</v>
      </c>
      <c r="R171" s="661">
        <f t="shared" si="41"/>
        <v>0</v>
      </c>
      <c r="S171" s="314">
        <f t="shared" si="32"/>
        <v>0</v>
      </c>
    </row>
    <row r="172" spans="1:19">
      <c r="A172" s="148"/>
      <c r="B172" s="52"/>
      <c r="C172" s="19">
        <f t="shared" si="33"/>
        <v>1</v>
      </c>
      <c r="D172" s="665"/>
      <c r="E172" s="19">
        <f t="shared" si="34"/>
        <v>1</v>
      </c>
      <c r="F172" s="665"/>
      <c r="G172" s="19">
        <f t="shared" si="35"/>
        <v>1</v>
      </c>
      <c r="H172" s="665"/>
      <c r="I172" s="19">
        <f t="shared" si="36"/>
        <v>1</v>
      </c>
      <c r="J172" s="665"/>
      <c r="K172" s="19">
        <f t="shared" si="37"/>
        <v>1</v>
      </c>
      <c r="L172" s="665"/>
      <c r="M172" s="19">
        <f t="shared" si="38"/>
        <v>1</v>
      </c>
      <c r="N172" s="665"/>
      <c r="O172" s="19">
        <f t="shared" si="39"/>
        <v>1</v>
      </c>
      <c r="P172" s="665"/>
      <c r="Q172" s="19">
        <f t="shared" si="40"/>
        <v>1</v>
      </c>
      <c r="R172" s="661">
        <f t="shared" si="41"/>
        <v>0</v>
      </c>
      <c r="S172" s="314">
        <f t="shared" si="32"/>
        <v>0</v>
      </c>
    </row>
    <row r="173" spans="1:19">
      <c r="A173" s="148"/>
      <c r="B173" s="52"/>
      <c r="C173" s="19">
        <f t="shared" si="33"/>
        <v>1</v>
      </c>
      <c r="D173" s="665"/>
      <c r="E173" s="19">
        <f t="shared" si="34"/>
        <v>1</v>
      </c>
      <c r="F173" s="665"/>
      <c r="G173" s="19">
        <f t="shared" si="35"/>
        <v>1</v>
      </c>
      <c r="H173" s="665"/>
      <c r="I173" s="19">
        <f t="shared" si="36"/>
        <v>1</v>
      </c>
      <c r="J173" s="665"/>
      <c r="K173" s="19">
        <f t="shared" si="37"/>
        <v>1</v>
      </c>
      <c r="L173" s="665"/>
      <c r="M173" s="19">
        <f t="shared" si="38"/>
        <v>1</v>
      </c>
      <c r="N173" s="665"/>
      <c r="O173" s="19">
        <f t="shared" si="39"/>
        <v>1</v>
      </c>
      <c r="P173" s="665"/>
      <c r="Q173" s="19">
        <f t="shared" si="40"/>
        <v>1</v>
      </c>
      <c r="R173" s="661">
        <f t="shared" si="41"/>
        <v>0</v>
      </c>
      <c r="S173" s="314">
        <f t="shared" si="32"/>
        <v>0</v>
      </c>
    </row>
    <row r="174" spans="1:19">
      <c r="A174" s="148"/>
      <c r="B174" s="52"/>
      <c r="C174" s="19">
        <f t="shared" si="33"/>
        <v>1</v>
      </c>
      <c r="D174" s="665"/>
      <c r="E174" s="19">
        <f t="shared" si="34"/>
        <v>1</v>
      </c>
      <c r="F174" s="665"/>
      <c r="G174" s="19">
        <f t="shared" si="35"/>
        <v>1</v>
      </c>
      <c r="H174" s="665"/>
      <c r="I174" s="19">
        <f t="shared" si="36"/>
        <v>1</v>
      </c>
      <c r="J174" s="665"/>
      <c r="K174" s="19">
        <f t="shared" si="37"/>
        <v>1</v>
      </c>
      <c r="L174" s="665"/>
      <c r="M174" s="19">
        <f t="shared" si="38"/>
        <v>1</v>
      </c>
      <c r="N174" s="665"/>
      <c r="O174" s="19">
        <f t="shared" si="39"/>
        <v>1</v>
      </c>
      <c r="P174" s="665"/>
      <c r="Q174" s="19">
        <f t="shared" si="40"/>
        <v>1</v>
      </c>
      <c r="R174" s="661">
        <f t="shared" si="41"/>
        <v>0</v>
      </c>
      <c r="S174" s="314">
        <f t="shared" si="32"/>
        <v>0</v>
      </c>
    </row>
    <row r="175" spans="1:19">
      <c r="A175" s="148"/>
      <c r="B175" s="52"/>
      <c r="C175" s="19">
        <f t="shared" si="33"/>
        <v>1</v>
      </c>
      <c r="D175" s="665"/>
      <c r="E175" s="19">
        <f t="shared" si="34"/>
        <v>1</v>
      </c>
      <c r="F175" s="665"/>
      <c r="G175" s="19">
        <f t="shared" si="35"/>
        <v>1</v>
      </c>
      <c r="H175" s="665"/>
      <c r="I175" s="19">
        <f t="shared" si="36"/>
        <v>1</v>
      </c>
      <c r="J175" s="665"/>
      <c r="K175" s="19">
        <f t="shared" si="37"/>
        <v>1</v>
      </c>
      <c r="L175" s="665"/>
      <c r="M175" s="19">
        <f t="shared" si="38"/>
        <v>1</v>
      </c>
      <c r="N175" s="665"/>
      <c r="O175" s="19">
        <f t="shared" si="39"/>
        <v>1</v>
      </c>
      <c r="P175" s="665"/>
      <c r="Q175" s="19">
        <f t="shared" si="40"/>
        <v>1</v>
      </c>
      <c r="R175" s="661">
        <f t="shared" si="41"/>
        <v>0</v>
      </c>
      <c r="S175" s="314">
        <f t="shared" si="32"/>
        <v>0</v>
      </c>
    </row>
    <row r="176" spans="1:19">
      <c r="A176" s="148"/>
      <c r="B176" s="52"/>
      <c r="C176" s="19">
        <f t="shared" si="33"/>
        <v>1</v>
      </c>
      <c r="D176" s="665"/>
      <c r="E176" s="19">
        <f t="shared" si="34"/>
        <v>1</v>
      </c>
      <c r="F176" s="665"/>
      <c r="G176" s="19">
        <f t="shared" si="35"/>
        <v>1</v>
      </c>
      <c r="H176" s="665"/>
      <c r="I176" s="19">
        <f t="shared" si="36"/>
        <v>1</v>
      </c>
      <c r="J176" s="665"/>
      <c r="K176" s="19">
        <f t="shared" si="37"/>
        <v>1</v>
      </c>
      <c r="L176" s="665"/>
      <c r="M176" s="19">
        <f t="shared" si="38"/>
        <v>1</v>
      </c>
      <c r="N176" s="665"/>
      <c r="O176" s="19">
        <f t="shared" si="39"/>
        <v>1</v>
      </c>
      <c r="P176" s="665"/>
      <c r="Q176" s="19">
        <f t="shared" si="40"/>
        <v>1</v>
      </c>
      <c r="R176" s="661">
        <f t="shared" si="41"/>
        <v>0</v>
      </c>
      <c r="S176" s="314">
        <f t="shared" si="32"/>
        <v>0</v>
      </c>
    </row>
    <row r="177" spans="1:19">
      <c r="A177" s="148"/>
      <c r="B177" s="52"/>
      <c r="C177" s="19">
        <f t="shared" si="33"/>
        <v>1</v>
      </c>
      <c r="D177" s="665"/>
      <c r="E177" s="19">
        <f t="shared" si="34"/>
        <v>1</v>
      </c>
      <c r="F177" s="665"/>
      <c r="G177" s="19">
        <f t="shared" si="35"/>
        <v>1</v>
      </c>
      <c r="H177" s="665"/>
      <c r="I177" s="19">
        <f t="shared" si="36"/>
        <v>1</v>
      </c>
      <c r="J177" s="665"/>
      <c r="K177" s="19">
        <f t="shared" si="37"/>
        <v>1</v>
      </c>
      <c r="L177" s="665"/>
      <c r="M177" s="19">
        <f t="shared" si="38"/>
        <v>1</v>
      </c>
      <c r="N177" s="665"/>
      <c r="O177" s="19">
        <f t="shared" si="39"/>
        <v>1</v>
      </c>
      <c r="P177" s="665"/>
      <c r="Q177" s="19">
        <f t="shared" si="40"/>
        <v>1</v>
      </c>
      <c r="R177" s="661">
        <f t="shared" si="41"/>
        <v>0</v>
      </c>
      <c r="S177" s="314">
        <f t="shared" si="32"/>
        <v>0</v>
      </c>
    </row>
    <row r="178" spans="1:19">
      <c r="A178" s="148"/>
      <c r="B178" s="52"/>
      <c r="C178" s="19">
        <f t="shared" si="33"/>
        <v>1</v>
      </c>
      <c r="D178" s="665"/>
      <c r="E178" s="19">
        <f t="shared" si="34"/>
        <v>1</v>
      </c>
      <c r="F178" s="665"/>
      <c r="G178" s="19">
        <f t="shared" si="35"/>
        <v>1</v>
      </c>
      <c r="H178" s="665"/>
      <c r="I178" s="19">
        <f t="shared" si="36"/>
        <v>1</v>
      </c>
      <c r="J178" s="665"/>
      <c r="K178" s="19">
        <f t="shared" si="37"/>
        <v>1</v>
      </c>
      <c r="L178" s="665"/>
      <c r="M178" s="19">
        <f t="shared" si="38"/>
        <v>1</v>
      </c>
      <c r="N178" s="665"/>
      <c r="O178" s="19">
        <f t="shared" si="39"/>
        <v>1</v>
      </c>
      <c r="P178" s="665"/>
      <c r="Q178" s="19">
        <f t="shared" si="40"/>
        <v>1</v>
      </c>
      <c r="R178" s="661">
        <f t="shared" si="41"/>
        <v>0</v>
      </c>
      <c r="S178" s="314">
        <f t="shared" si="32"/>
        <v>0</v>
      </c>
    </row>
    <row r="179" spans="1:19">
      <c r="A179" s="148"/>
      <c r="B179" s="52"/>
      <c r="C179" s="19">
        <f t="shared" si="33"/>
        <v>1</v>
      </c>
      <c r="D179" s="665"/>
      <c r="E179" s="19">
        <f t="shared" si="34"/>
        <v>1</v>
      </c>
      <c r="F179" s="665"/>
      <c r="G179" s="19">
        <f t="shared" si="35"/>
        <v>1</v>
      </c>
      <c r="H179" s="665"/>
      <c r="I179" s="19">
        <f t="shared" si="36"/>
        <v>1</v>
      </c>
      <c r="J179" s="665"/>
      <c r="K179" s="19">
        <f t="shared" si="37"/>
        <v>1</v>
      </c>
      <c r="L179" s="665"/>
      <c r="M179" s="19">
        <f t="shared" si="38"/>
        <v>1</v>
      </c>
      <c r="N179" s="665"/>
      <c r="O179" s="19">
        <f t="shared" si="39"/>
        <v>1</v>
      </c>
      <c r="P179" s="665"/>
      <c r="Q179" s="19">
        <f t="shared" si="40"/>
        <v>1</v>
      </c>
      <c r="R179" s="661">
        <f t="shared" si="41"/>
        <v>0</v>
      </c>
      <c r="S179" s="314">
        <f t="shared" si="32"/>
        <v>0</v>
      </c>
    </row>
    <row r="180" spans="1:19">
      <c r="A180" s="148"/>
      <c r="B180" s="52"/>
      <c r="C180" s="19">
        <f t="shared" si="33"/>
        <v>1</v>
      </c>
      <c r="D180" s="665"/>
      <c r="E180" s="19">
        <f t="shared" si="34"/>
        <v>1</v>
      </c>
      <c r="F180" s="665"/>
      <c r="G180" s="19">
        <f t="shared" si="35"/>
        <v>1</v>
      </c>
      <c r="H180" s="665"/>
      <c r="I180" s="19">
        <f t="shared" si="36"/>
        <v>1</v>
      </c>
      <c r="J180" s="665"/>
      <c r="K180" s="19">
        <f t="shared" si="37"/>
        <v>1</v>
      </c>
      <c r="L180" s="665"/>
      <c r="M180" s="19">
        <f t="shared" si="38"/>
        <v>1</v>
      </c>
      <c r="N180" s="665"/>
      <c r="O180" s="19">
        <f t="shared" si="39"/>
        <v>1</v>
      </c>
      <c r="P180" s="665"/>
      <c r="Q180" s="19">
        <f t="shared" si="40"/>
        <v>1</v>
      </c>
      <c r="R180" s="661">
        <f t="shared" si="41"/>
        <v>0</v>
      </c>
      <c r="S180" s="314">
        <f t="shared" si="32"/>
        <v>0</v>
      </c>
    </row>
    <row r="181" spans="1:19">
      <c r="A181" s="148"/>
      <c r="B181" s="52"/>
      <c r="C181" s="19">
        <f t="shared" si="33"/>
        <v>1</v>
      </c>
      <c r="D181" s="665"/>
      <c r="E181" s="19">
        <f t="shared" si="34"/>
        <v>1</v>
      </c>
      <c r="F181" s="665"/>
      <c r="G181" s="19">
        <f t="shared" si="35"/>
        <v>1</v>
      </c>
      <c r="H181" s="665"/>
      <c r="I181" s="19">
        <f t="shared" si="36"/>
        <v>1</v>
      </c>
      <c r="J181" s="665"/>
      <c r="K181" s="19">
        <f t="shared" si="37"/>
        <v>1</v>
      </c>
      <c r="L181" s="665"/>
      <c r="M181" s="19">
        <f t="shared" si="38"/>
        <v>1</v>
      </c>
      <c r="N181" s="665"/>
      <c r="O181" s="19">
        <f t="shared" si="39"/>
        <v>1</v>
      </c>
      <c r="P181" s="665"/>
      <c r="Q181" s="19">
        <f t="shared" si="40"/>
        <v>1</v>
      </c>
      <c r="R181" s="661">
        <f t="shared" si="41"/>
        <v>0</v>
      </c>
      <c r="S181" s="314">
        <f t="shared" si="32"/>
        <v>0</v>
      </c>
    </row>
    <row r="182" spans="1:19">
      <c r="A182" s="148"/>
      <c r="B182" s="52"/>
      <c r="C182" s="19">
        <f t="shared" si="33"/>
        <v>1</v>
      </c>
      <c r="D182" s="665"/>
      <c r="E182" s="19">
        <f t="shared" si="34"/>
        <v>1</v>
      </c>
      <c r="F182" s="665"/>
      <c r="G182" s="19">
        <f t="shared" si="35"/>
        <v>1</v>
      </c>
      <c r="H182" s="665"/>
      <c r="I182" s="19">
        <f t="shared" si="36"/>
        <v>1</v>
      </c>
      <c r="J182" s="665"/>
      <c r="K182" s="19">
        <f t="shared" si="37"/>
        <v>1</v>
      </c>
      <c r="L182" s="665"/>
      <c r="M182" s="19">
        <f t="shared" si="38"/>
        <v>1</v>
      </c>
      <c r="N182" s="665"/>
      <c r="O182" s="19">
        <f t="shared" si="39"/>
        <v>1</v>
      </c>
      <c r="P182" s="665"/>
      <c r="Q182" s="19">
        <f t="shared" si="40"/>
        <v>1</v>
      </c>
      <c r="R182" s="661">
        <f t="shared" si="41"/>
        <v>0</v>
      </c>
      <c r="S182" s="314">
        <f t="shared" si="32"/>
        <v>0</v>
      </c>
    </row>
    <row r="183" spans="1:19">
      <c r="A183" s="148"/>
      <c r="B183" s="52"/>
      <c r="C183" s="19">
        <f t="shared" si="33"/>
        <v>1</v>
      </c>
      <c r="D183" s="665"/>
      <c r="E183" s="19">
        <f t="shared" si="34"/>
        <v>1</v>
      </c>
      <c r="F183" s="665"/>
      <c r="G183" s="19">
        <f t="shared" si="35"/>
        <v>1</v>
      </c>
      <c r="H183" s="665"/>
      <c r="I183" s="19">
        <f t="shared" si="36"/>
        <v>1</v>
      </c>
      <c r="J183" s="665"/>
      <c r="K183" s="19">
        <f t="shared" si="37"/>
        <v>1</v>
      </c>
      <c r="L183" s="665"/>
      <c r="M183" s="19">
        <f t="shared" si="38"/>
        <v>1</v>
      </c>
      <c r="N183" s="665"/>
      <c r="O183" s="19">
        <f t="shared" si="39"/>
        <v>1</v>
      </c>
      <c r="P183" s="665"/>
      <c r="Q183" s="19">
        <f t="shared" si="40"/>
        <v>1</v>
      </c>
      <c r="R183" s="661">
        <f t="shared" si="41"/>
        <v>0</v>
      </c>
      <c r="S183" s="314">
        <f t="shared" si="32"/>
        <v>0</v>
      </c>
    </row>
    <row r="184" spans="1:19">
      <c r="A184" s="148"/>
      <c r="B184" s="52"/>
      <c r="C184" s="19">
        <f t="shared" si="33"/>
        <v>1</v>
      </c>
      <c r="D184" s="665"/>
      <c r="E184" s="19">
        <f t="shared" si="34"/>
        <v>1</v>
      </c>
      <c r="F184" s="665"/>
      <c r="G184" s="19">
        <f t="shared" si="35"/>
        <v>1</v>
      </c>
      <c r="H184" s="665"/>
      <c r="I184" s="19">
        <f t="shared" si="36"/>
        <v>1</v>
      </c>
      <c r="J184" s="665"/>
      <c r="K184" s="19">
        <f t="shared" si="37"/>
        <v>1</v>
      </c>
      <c r="L184" s="665"/>
      <c r="M184" s="19">
        <f t="shared" si="38"/>
        <v>1</v>
      </c>
      <c r="N184" s="665"/>
      <c r="O184" s="19">
        <f t="shared" si="39"/>
        <v>1</v>
      </c>
      <c r="P184" s="665"/>
      <c r="Q184" s="19">
        <f t="shared" si="40"/>
        <v>1</v>
      </c>
      <c r="R184" s="661">
        <f t="shared" si="41"/>
        <v>0</v>
      </c>
      <c r="S184" s="314">
        <f t="shared" si="32"/>
        <v>0</v>
      </c>
    </row>
    <row r="185" spans="1:19">
      <c r="A185" s="148"/>
      <c r="B185" s="52"/>
      <c r="C185" s="19">
        <f t="shared" si="33"/>
        <v>1</v>
      </c>
      <c r="D185" s="665"/>
      <c r="E185" s="19">
        <f t="shared" si="34"/>
        <v>1</v>
      </c>
      <c r="F185" s="665"/>
      <c r="G185" s="19">
        <f t="shared" si="35"/>
        <v>1</v>
      </c>
      <c r="H185" s="665"/>
      <c r="I185" s="19">
        <f t="shared" si="36"/>
        <v>1</v>
      </c>
      <c r="J185" s="665"/>
      <c r="K185" s="19">
        <f t="shared" si="37"/>
        <v>1</v>
      </c>
      <c r="L185" s="665"/>
      <c r="M185" s="19">
        <f t="shared" si="38"/>
        <v>1</v>
      </c>
      <c r="N185" s="665"/>
      <c r="O185" s="19">
        <f t="shared" si="39"/>
        <v>1</v>
      </c>
      <c r="P185" s="665"/>
      <c r="Q185" s="19">
        <f t="shared" si="40"/>
        <v>1</v>
      </c>
      <c r="R185" s="661">
        <f t="shared" si="41"/>
        <v>0</v>
      </c>
      <c r="S185" s="314">
        <f t="shared" si="32"/>
        <v>0</v>
      </c>
    </row>
    <row r="186" spans="1:19">
      <c r="A186" s="148"/>
      <c r="B186" s="52"/>
      <c r="C186" s="19">
        <f t="shared" si="33"/>
        <v>1</v>
      </c>
      <c r="D186" s="665"/>
      <c r="E186" s="19">
        <f t="shared" si="34"/>
        <v>1</v>
      </c>
      <c r="F186" s="665"/>
      <c r="G186" s="19">
        <f t="shared" si="35"/>
        <v>1</v>
      </c>
      <c r="H186" s="665"/>
      <c r="I186" s="19">
        <f t="shared" si="36"/>
        <v>1</v>
      </c>
      <c r="J186" s="665"/>
      <c r="K186" s="19">
        <f t="shared" si="37"/>
        <v>1</v>
      </c>
      <c r="L186" s="665"/>
      <c r="M186" s="19">
        <f t="shared" si="38"/>
        <v>1</v>
      </c>
      <c r="N186" s="665"/>
      <c r="O186" s="19">
        <f t="shared" si="39"/>
        <v>1</v>
      </c>
      <c r="P186" s="665"/>
      <c r="Q186" s="19">
        <f t="shared" si="40"/>
        <v>1</v>
      </c>
      <c r="R186" s="661">
        <f t="shared" si="41"/>
        <v>0</v>
      </c>
      <c r="S186" s="314">
        <f t="shared" si="32"/>
        <v>0</v>
      </c>
    </row>
    <row r="187" spans="1:19">
      <c r="A187" s="148"/>
      <c r="B187" s="52"/>
      <c r="C187" s="19">
        <f t="shared" si="33"/>
        <v>1</v>
      </c>
      <c r="D187" s="665"/>
      <c r="E187" s="19">
        <f t="shared" si="34"/>
        <v>1</v>
      </c>
      <c r="F187" s="665"/>
      <c r="G187" s="19">
        <f t="shared" si="35"/>
        <v>1</v>
      </c>
      <c r="H187" s="665"/>
      <c r="I187" s="19">
        <f t="shared" si="36"/>
        <v>1</v>
      </c>
      <c r="J187" s="665"/>
      <c r="K187" s="19">
        <f t="shared" si="37"/>
        <v>1</v>
      </c>
      <c r="L187" s="665"/>
      <c r="M187" s="19">
        <f t="shared" si="38"/>
        <v>1</v>
      </c>
      <c r="N187" s="665"/>
      <c r="O187" s="19">
        <f t="shared" si="39"/>
        <v>1</v>
      </c>
      <c r="P187" s="665"/>
      <c r="Q187" s="19">
        <f t="shared" si="40"/>
        <v>1</v>
      </c>
      <c r="R187" s="661">
        <f t="shared" si="41"/>
        <v>0</v>
      </c>
      <c r="S187" s="314">
        <f t="shared" ref="S187:S222" si="42">ROUND(R187*B187/10000,0)</f>
        <v>0</v>
      </c>
    </row>
    <row r="188" spans="1:19">
      <c r="A188" s="148"/>
      <c r="B188" s="52"/>
      <c r="C188" s="19">
        <f t="shared" si="33"/>
        <v>1</v>
      </c>
      <c r="D188" s="665"/>
      <c r="E188" s="19">
        <f t="shared" si="34"/>
        <v>1</v>
      </c>
      <c r="F188" s="665"/>
      <c r="G188" s="19">
        <f t="shared" si="35"/>
        <v>1</v>
      </c>
      <c r="H188" s="665"/>
      <c r="I188" s="19">
        <f t="shared" si="36"/>
        <v>1</v>
      </c>
      <c r="J188" s="665"/>
      <c r="K188" s="19">
        <f t="shared" si="37"/>
        <v>1</v>
      </c>
      <c r="L188" s="665"/>
      <c r="M188" s="19">
        <f t="shared" si="38"/>
        <v>1</v>
      </c>
      <c r="N188" s="665"/>
      <c r="O188" s="19">
        <f t="shared" si="39"/>
        <v>1</v>
      </c>
      <c r="P188" s="665"/>
      <c r="Q188" s="19">
        <f t="shared" si="40"/>
        <v>1</v>
      </c>
      <c r="R188" s="661">
        <f t="shared" si="41"/>
        <v>0</v>
      </c>
      <c r="S188" s="314">
        <f t="shared" si="42"/>
        <v>0</v>
      </c>
    </row>
    <row r="189" spans="1:19">
      <c r="A189" s="148"/>
      <c r="B189" s="52"/>
      <c r="C189" s="19">
        <f t="shared" si="33"/>
        <v>1</v>
      </c>
      <c r="D189" s="665"/>
      <c r="E189" s="19">
        <f t="shared" si="34"/>
        <v>1</v>
      </c>
      <c r="F189" s="665"/>
      <c r="G189" s="19">
        <f t="shared" si="35"/>
        <v>1</v>
      </c>
      <c r="H189" s="665"/>
      <c r="I189" s="19">
        <f t="shared" si="36"/>
        <v>1</v>
      </c>
      <c r="J189" s="665"/>
      <c r="K189" s="19">
        <f t="shared" si="37"/>
        <v>1</v>
      </c>
      <c r="L189" s="665"/>
      <c r="M189" s="19">
        <f t="shared" si="38"/>
        <v>1</v>
      </c>
      <c r="N189" s="665"/>
      <c r="O189" s="19">
        <f t="shared" si="39"/>
        <v>1</v>
      </c>
      <c r="P189" s="665"/>
      <c r="Q189" s="19">
        <f t="shared" si="40"/>
        <v>1</v>
      </c>
      <c r="R189" s="661">
        <f t="shared" si="41"/>
        <v>0</v>
      </c>
      <c r="S189" s="314">
        <f t="shared" si="42"/>
        <v>0</v>
      </c>
    </row>
    <row r="190" spans="1:19">
      <c r="A190" s="148"/>
      <c r="B190" s="52"/>
      <c r="C190" s="19">
        <f t="shared" si="33"/>
        <v>1</v>
      </c>
      <c r="D190" s="665"/>
      <c r="E190" s="19">
        <f t="shared" si="34"/>
        <v>1</v>
      </c>
      <c r="F190" s="665"/>
      <c r="G190" s="19">
        <f t="shared" si="35"/>
        <v>1</v>
      </c>
      <c r="H190" s="665"/>
      <c r="I190" s="19">
        <f t="shared" si="36"/>
        <v>1</v>
      </c>
      <c r="J190" s="665"/>
      <c r="K190" s="19">
        <f t="shared" si="37"/>
        <v>1</v>
      </c>
      <c r="L190" s="665"/>
      <c r="M190" s="19">
        <f t="shared" si="38"/>
        <v>1</v>
      </c>
      <c r="N190" s="665"/>
      <c r="O190" s="19">
        <f t="shared" si="39"/>
        <v>1</v>
      </c>
      <c r="P190" s="665"/>
      <c r="Q190" s="19">
        <f t="shared" si="40"/>
        <v>1</v>
      </c>
      <c r="R190" s="661">
        <f t="shared" si="41"/>
        <v>0</v>
      </c>
      <c r="S190" s="314">
        <f t="shared" si="42"/>
        <v>0</v>
      </c>
    </row>
    <row r="191" spans="1:19">
      <c r="A191" s="148"/>
      <c r="B191" s="52"/>
      <c r="C191" s="19">
        <f t="shared" si="33"/>
        <v>1</v>
      </c>
      <c r="D191" s="665"/>
      <c r="E191" s="19">
        <f t="shared" si="34"/>
        <v>1</v>
      </c>
      <c r="F191" s="665"/>
      <c r="G191" s="19">
        <f t="shared" si="35"/>
        <v>1</v>
      </c>
      <c r="H191" s="665"/>
      <c r="I191" s="19">
        <f t="shared" si="36"/>
        <v>1</v>
      </c>
      <c r="J191" s="665"/>
      <c r="K191" s="19">
        <f t="shared" si="37"/>
        <v>1</v>
      </c>
      <c r="L191" s="665"/>
      <c r="M191" s="19">
        <f t="shared" si="38"/>
        <v>1</v>
      </c>
      <c r="N191" s="665"/>
      <c r="O191" s="19">
        <f t="shared" si="39"/>
        <v>1</v>
      </c>
      <c r="P191" s="665"/>
      <c r="Q191" s="19">
        <f t="shared" si="40"/>
        <v>1</v>
      </c>
      <c r="R191" s="661">
        <f t="shared" si="41"/>
        <v>0</v>
      </c>
      <c r="S191" s="314">
        <f t="shared" si="42"/>
        <v>0</v>
      </c>
    </row>
    <row r="192" spans="1:19">
      <c r="A192" s="148"/>
      <c r="B192" s="52"/>
      <c r="C192" s="19">
        <f t="shared" si="33"/>
        <v>1</v>
      </c>
      <c r="D192" s="665"/>
      <c r="E192" s="19">
        <f t="shared" si="34"/>
        <v>1</v>
      </c>
      <c r="F192" s="665"/>
      <c r="G192" s="19">
        <f t="shared" si="35"/>
        <v>1</v>
      </c>
      <c r="H192" s="665"/>
      <c r="I192" s="19">
        <f t="shared" si="36"/>
        <v>1</v>
      </c>
      <c r="J192" s="665"/>
      <c r="K192" s="19">
        <f t="shared" si="37"/>
        <v>1</v>
      </c>
      <c r="L192" s="665"/>
      <c r="M192" s="19">
        <f t="shared" si="38"/>
        <v>1</v>
      </c>
      <c r="N192" s="665"/>
      <c r="O192" s="19">
        <f t="shared" si="39"/>
        <v>1</v>
      </c>
      <c r="P192" s="665"/>
      <c r="Q192" s="19">
        <f t="shared" si="40"/>
        <v>1</v>
      </c>
      <c r="R192" s="661">
        <f t="shared" si="41"/>
        <v>0</v>
      </c>
      <c r="S192" s="314">
        <f t="shared" si="42"/>
        <v>0</v>
      </c>
    </row>
    <row r="193" spans="1:19">
      <c r="A193" s="148"/>
      <c r="B193" s="52"/>
      <c r="C193" s="19">
        <f t="shared" si="33"/>
        <v>1</v>
      </c>
      <c r="D193" s="665"/>
      <c r="E193" s="19">
        <f t="shared" si="34"/>
        <v>1</v>
      </c>
      <c r="F193" s="665"/>
      <c r="G193" s="19">
        <f t="shared" si="35"/>
        <v>1</v>
      </c>
      <c r="H193" s="665"/>
      <c r="I193" s="19">
        <f t="shared" si="36"/>
        <v>1</v>
      </c>
      <c r="J193" s="665"/>
      <c r="K193" s="19">
        <f t="shared" si="37"/>
        <v>1</v>
      </c>
      <c r="L193" s="665"/>
      <c r="M193" s="19">
        <f t="shared" si="38"/>
        <v>1</v>
      </c>
      <c r="N193" s="665"/>
      <c r="O193" s="19">
        <f t="shared" si="39"/>
        <v>1</v>
      </c>
      <c r="P193" s="665"/>
      <c r="Q193" s="19">
        <f t="shared" si="40"/>
        <v>1</v>
      </c>
      <c r="R193" s="661">
        <f t="shared" si="41"/>
        <v>0</v>
      </c>
      <c r="S193" s="314">
        <f t="shared" si="42"/>
        <v>0</v>
      </c>
    </row>
    <row r="194" spans="1:19">
      <c r="A194" s="148"/>
      <c r="B194" s="52"/>
      <c r="C194" s="19">
        <f t="shared" si="33"/>
        <v>1</v>
      </c>
      <c r="D194" s="665"/>
      <c r="E194" s="19">
        <f t="shared" si="34"/>
        <v>1</v>
      </c>
      <c r="F194" s="665"/>
      <c r="G194" s="19">
        <f t="shared" si="35"/>
        <v>1</v>
      </c>
      <c r="H194" s="665"/>
      <c r="I194" s="19">
        <f t="shared" si="36"/>
        <v>1</v>
      </c>
      <c r="J194" s="665"/>
      <c r="K194" s="19">
        <f t="shared" si="37"/>
        <v>1</v>
      </c>
      <c r="L194" s="665"/>
      <c r="M194" s="19">
        <f t="shared" si="38"/>
        <v>1</v>
      </c>
      <c r="N194" s="665"/>
      <c r="O194" s="19">
        <f t="shared" si="39"/>
        <v>1</v>
      </c>
      <c r="P194" s="665"/>
      <c r="Q194" s="19">
        <f t="shared" si="40"/>
        <v>1</v>
      </c>
      <c r="R194" s="661">
        <f t="shared" si="41"/>
        <v>0</v>
      </c>
      <c r="S194" s="314">
        <f t="shared" si="42"/>
        <v>0</v>
      </c>
    </row>
    <row r="195" spans="1:19">
      <c r="A195" s="148"/>
      <c r="B195" s="52"/>
      <c r="C195" s="19">
        <f t="shared" si="33"/>
        <v>1</v>
      </c>
      <c r="D195" s="665"/>
      <c r="E195" s="19">
        <f t="shared" si="34"/>
        <v>1</v>
      </c>
      <c r="F195" s="665"/>
      <c r="G195" s="19">
        <f t="shared" si="35"/>
        <v>1</v>
      </c>
      <c r="H195" s="665"/>
      <c r="I195" s="19">
        <f t="shared" si="36"/>
        <v>1</v>
      </c>
      <c r="J195" s="665"/>
      <c r="K195" s="19">
        <f t="shared" si="37"/>
        <v>1</v>
      </c>
      <c r="L195" s="665"/>
      <c r="M195" s="19">
        <f t="shared" si="38"/>
        <v>1</v>
      </c>
      <c r="N195" s="665"/>
      <c r="O195" s="19">
        <f t="shared" si="39"/>
        <v>1</v>
      </c>
      <c r="P195" s="665"/>
      <c r="Q195" s="19">
        <f t="shared" si="40"/>
        <v>1</v>
      </c>
      <c r="R195" s="661">
        <f t="shared" si="41"/>
        <v>0</v>
      </c>
      <c r="S195" s="314">
        <f t="shared" si="42"/>
        <v>0</v>
      </c>
    </row>
    <row r="196" spans="1:19">
      <c r="A196" s="148"/>
      <c r="B196" s="52"/>
      <c r="C196" s="19">
        <f t="shared" si="33"/>
        <v>1</v>
      </c>
      <c r="D196" s="665"/>
      <c r="E196" s="19">
        <f t="shared" si="34"/>
        <v>1</v>
      </c>
      <c r="F196" s="665"/>
      <c r="G196" s="19">
        <f t="shared" si="35"/>
        <v>1</v>
      </c>
      <c r="H196" s="665"/>
      <c r="I196" s="19">
        <f t="shared" si="36"/>
        <v>1</v>
      </c>
      <c r="J196" s="665"/>
      <c r="K196" s="19">
        <f t="shared" si="37"/>
        <v>1</v>
      </c>
      <c r="L196" s="665"/>
      <c r="M196" s="19">
        <f t="shared" si="38"/>
        <v>1</v>
      </c>
      <c r="N196" s="665"/>
      <c r="O196" s="19">
        <f t="shared" si="39"/>
        <v>1</v>
      </c>
      <c r="P196" s="665"/>
      <c r="Q196" s="19">
        <f t="shared" si="40"/>
        <v>1</v>
      </c>
      <c r="R196" s="661">
        <f t="shared" si="41"/>
        <v>0</v>
      </c>
      <c r="S196" s="314">
        <f t="shared" si="42"/>
        <v>0</v>
      </c>
    </row>
    <row r="197" spans="1:19">
      <c r="A197" s="148"/>
      <c r="B197" s="52"/>
      <c r="C197" s="19">
        <f t="shared" si="33"/>
        <v>1</v>
      </c>
      <c r="D197" s="665"/>
      <c r="E197" s="19">
        <f t="shared" si="34"/>
        <v>1</v>
      </c>
      <c r="F197" s="665"/>
      <c r="G197" s="19">
        <f t="shared" si="35"/>
        <v>1</v>
      </c>
      <c r="H197" s="665"/>
      <c r="I197" s="19">
        <f t="shared" si="36"/>
        <v>1</v>
      </c>
      <c r="J197" s="665"/>
      <c r="K197" s="19">
        <f t="shared" si="37"/>
        <v>1</v>
      </c>
      <c r="L197" s="665"/>
      <c r="M197" s="19">
        <f t="shared" si="38"/>
        <v>1</v>
      </c>
      <c r="N197" s="665"/>
      <c r="O197" s="19">
        <f t="shared" si="39"/>
        <v>1</v>
      </c>
      <c r="P197" s="665"/>
      <c r="Q197" s="19">
        <f t="shared" si="40"/>
        <v>1</v>
      </c>
      <c r="R197" s="661">
        <f t="shared" si="41"/>
        <v>0</v>
      </c>
      <c r="S197" s="314">
        <f t="shared" si="42"/>
        <v>0</v>
      </c>
    </row>
    <row r="198" spans="1:19">
      <c r="A198" s="148"/>
      <c r="B198" s="52"/>
      <c r="C198" s="19">
        <f t="shared" si="33"/>
        <v>1</v>
      </c>
      <c r="D198" s="665"/>
      <c r="E198" s="19">
        <f t="shared" si="34"/>
        <v>1</v>
      </c>
      <c r="F198" s="665"/>
      <c r="G198" s="19">
        <f t="shared" si="35"/>
        <v>1</v>
      </c>
      <c r="H198" s="665"/>
      <c r="I198" s="19">
        <f t="shared" si="36"/>
        <v>1</v>
      </c>
      <c r="J198" s="665"/>
      <c r="K198" s="19">
        <f t="shared" si="37"/>
        <v>1</v>
      </c>
      <c r="L198" s="665"/>
      <c r="M198" s="19">
        <f t="shared" si="38"/>
        <v>1</v>
      </c>
      <c r="N198" s="665"/>
      <c r="O198" s="19">
        <f t="shared" si="39"/>
        <v>1</v>
      </c>
      <c r="P198" s="665"/>
      <c r="Q198" s="19">
        <f t="shared" si="40"/>
        <v>1</v>
      </c>
      <c r="R198" s="661">
        <f t="shared" si="41"/>
        <v>0</v>
      </c>
      <c r="S198" s="314">
        <f t="shared" si="42"/>
        <v>0</v>
      </c>
    </row>
    <row r="199" spans="1:19">
      <c r="A199" s="148"/>
      <c r="B199" s="52"/>
      <c r="C199" s="19">
        <f t="shared" si="33"/>
        <v>1</v>
      </c>
      <c r="D199" s="665"/>
      <c r="E199" s="19">
        <f t="shared" si="34"/>
        <v>1</v>
      </c>
      <c r="F199" s="665"/>
      <c r="G199" s="19">
        <f t="shared" si="35"/>
        <v>1</v>
      </c>
      <c r="H199" s="665"/>
      <c r="I199" s="19">
        <f t="shared" si="36"/>
        <v>1</v>
      </c>
      <c r="J199" s="665"/>
      <c r="K199" s="19">
        <f t="shared" si="37"/>
        <v>1</v>
      </c>
      <c r="L199" s="665"/>
      <c r="M199" s="19">
        <f t="shared" si="38"/>
        <v>1</v>
      </c>
      <c r="N199" s="665"/>
      <c r="O199" s="19">
        <f t="shared" si="39"/>
        <v>1</v>
      </c>
      <c r="P199" s="665"/>
      <c r="Q199" s="19">
        <f t="shared" si="40"/>
        <v>1</v>
      </c>
      <c r="R199" s="661">
        <f t="shared" si="41"/>
        <v>0</v>
      </c>
      <c r="S199" s="314">
        <f t="shared" si="42"/>
        <v>0</v>
      </c>
    </row>
    <row r="200" spans="1:19">
      <c r="A200" s="148"/>
      <c r="B200" s="52"/>
      <c r="C200" s="19">
        <f t="shared" si="33"/>
        <v>1</v>
      </c>
      <c r="D200" s="665"/>
      <c r="E200" s="19">
        <f t="shared" si="34"/>
        <v>1</v>
      </c>
      <c r="F200" s="665"/>
      <c r="G200" s="19">
        <f t="shared" si="35"/>
        <v>1</v>
      </c>
      <c r="H200" s="665"/>
      <c r="I200" s="19">
        <f t="shared" si="36"/>
        <v>1</v>
      </c>
      <c r="J200" s="665"/>
      <c r="K200" s="19">
        <f t="shared" si="37"/>
        <v>1</v>
      </c>
      <c r="L200" s="665"/>
      <c r="M200" s="19">
        <f t="shared" si="38"/>
        <v>1</v>
      </c>
      <c r="N200" s="665"/>
      <c r="O200" s="19">
        <f t="shared" si="39"/>
        <v>1</v>
      </c>
      <c r="P200" s="665"/>
      <c r="Q200" s="19">
        <f t="shared" si="40"/>
        <v>1</v>
      </c>
      <c r="R200" s="661">
        <f t="shared" si="41"/>
        <v>0</v>
      </c>
      <c r="S200" s="314">
        <f t="shared" si="42"/>
        <v>0</v>
      </c>
    </row>
    <row r="201" spans="1:19">
      <c r="A201" s="148"/>
      <c r="B201" s="52"/>
      <c r="C201" s="19">
        <f t="shared" si="33"/>
        <v>1</v>
      </c>
      <c r="D201" s="665"/>
      <c r="E201" s="19">
        <f t="shared" si="34"/>
        <v>1</v>
      </c>
      <c r="F201" s="665"/>
      <c r="G201" s="19">
        <f t="shared" si="35"/>
        <v>1</v>
      </c>
      <c r="H201" s="665"/>
      <c r="I201" s="19">
        <f t="shared" si="36"/>
        <v>1</v>
      </c>
      <c r="J201" s="665"/>
      <c r="K201" s="19">
        <f t="shared" si="37"/>
        <v>1</v>
      </c>
      <c r="L201" s="665"/>
      <c r="M201" s="19">
        <f t="shared" si="38"/>
        <v>1</v>
      </c>
      <c r="N201" s="665"/>
      <c r="O201" s="19">
        <f t="shared" si="39"/>
        <v>1</v>
      </c>
      <c r="P201" s="665"/>
      <c r="Q201" s="19">
        <f t="shared" si="40"/>
        <v>1</v>
      </c>
      <c r="R201" s="661">
        <f t="shared" si="41"/>
        <v>0</v>
      </c>
      <c r="S201" s="314">
        <f t="shared" si="42"/>
        <v>0</v>
      </c>
    </row>
    <row r="202" spans="1:19">
      <c r="A202" s="148"/>
      <c r="B202" s="52"/>
      <c r="C202" s="19">
        <f t="shared" si="33"/>
        <v>1</v>
      </c>
      <c r="D202" s="665"/>
      <c r="E202" s="19">
        <f t="shared" si="34"/>
        <v>1</v>
      </c>
      <c r="F202" s="665"/>
      <c r="G202" s="19">
        <f t="shared" si="35"/>
        <v>1</v>
      </c>
      <c r="H202" s="665"/>
      <c r="I202" s="19">
        <f t="shared" si="36"/>
        <v>1</v>
      </c>
      <c r="J202" s="665"/>
      <c r="K202" s="19">
        <f t="shared" si="37"/>
        <v>1</v>
      </c>
      <c r="L202" s="665"/>
      <c r="M202" s="19">
        <f t="shared" si="38"/>
        <v>1</v>
      </c>
      <c r="N202" s="665"/>
      <c r="O202" s="19">
        <f t="shared" si="39"/>
        <v>1</v>
      </c>
      <c r="P202" s="665"/>
      <c r="Q202" s="19">
        <f t="shared" si="40"/>
        <v>1</v>
      </c>
      <c r="R202" s="661">
        <f t="shared" si="41"/>
        <v>0</v>
      </c>
      <c r="S202" s="314">
        <f t="shared" si="42"/>
        <v>0</v>
      </c>
    </row>
    <row r="203" spans="1:19">
      <c r="A203" s="148"/>
      <c r="B203" s="52"/>
      <c r="C203" s="19">
        <f t="shared" si="33"/>
        <v>1</v>
      </c>
      <c r="D203" s="665"/>
      <c r="E203" s="19">
        <f t="shared" si="34"/>
        <v>1</v>
      </c>
      <c r="F203" s="665"/>
      <c r="G203" s="19">
        <f t="shared" si="35"/>
        <v>1</v>
      </c>
      <c r="H203" s="665"/>
      <c r="I203" s="19">
        <f t="shared" si="36"/>
        <v>1</v>
      </c>
      <c r="J203" s="665"/>
      <c r="K203" s="19">
        <f t="shared" si="37"/>
        <v>1</v>
      </c>
      <c r="L203" s="665"/>
      <c r="M203" s="19">
        <f t="shared" si="38"/>
        <v>1</v>
      </c>
      <c r="N203" s="665"/>
      <c r="O203" s="19">
        <f t="shared" si="39"/>
        <v>1</v>
      </c>
      <c r="P203" s="665"/>
      <c r="Q203" s="19">
        <f t="shared" si="40"/>
        <v>1</v>
      </c>
      <c r="R203" s="661">
        <f t="shared" si="41"/>
        <v>0</v>
      </c>
      <c r="S203" s="314">
        <f t="shared" si="42"/>
        <v>0</v>
      </c>
    </row>
    <row r="204" spans="1:19">
      <c r="A204" s="148"/>
      <c r="B204" s="52"/>
      <c r="C204" s="19">
        <f t="shared" si="33"/>
        <v>1</v>
      </c>
      <c r="D204" s="665"/>
      <c r="E204" s="19">
        <f t="shared" si="34"/>
        <v>1</v>
      </c>
      <c r="F204" s="665"/>
      <c r="G204" s="19">
        <f t="shared" si="35"/>
        <v>1</v>
      </c>
      <c r="H204" s="665"/>
      <c r="I204" s="19">
        <f t="shared" si="36"/>
        <v>1</v>
      </c>
      <c r="J204" s="665"/>
      <c r="K204" s="19">
        <f t="shared" si="37"/>
        <v>1</v>
      </c>
      <c r="L204" s="665"/>
      <c r="M204" s="19">
        <f t="shared" si="38"/>
        <v>1</v>
      </c>
      <c r="N204" s="665"/>
      <c r="O204" s="19">
        <f t="shared" si="39"/>
        <v>1</v>
      </c>
      <c r="P204" s="665"/>
      <c r="Q204" s="19">
        <f t="shared" si="40"/>
        <v>1</v>
      </c>
      <c r="R204" s="661">
        <f t="shared" si="41"/>
        <v>0</v>
      </c>
      <c r="S204" s="314">
        <f t="shared" si="42"/>
        <v>0</v>
      </c>
    </row>
    <row r="205" spans="1:19">
      <c r="A205" s="148"/>
      <c r="B205" s="52"/>
      <c r="C205" s="19">
        <f t="shared" si="33"/>
        <v>1</v>
      </c>
      <c r="D205" s="665"/>
      <c r="E205" s="19">
        <f t="shared" si="34"/>
        <v>1</v>
      </c>
      <c r="F205" s="665"/>
      <c r="G205" s="19">
        <f t="shared" si="35"/>
        <v>1</v>
      </c>
      <c r="H205" s="665"/>
      <c r="I205" s="19">
        <f t="shared" si="36"/>
        <v>1</v>
      </c>
      <c r="J205" s="665"/>
      <c r="K205" s="19">
        <f t="shared" si="37"/>
        <v>1</v>
      </c>
      <c r="L205" s="665"/>
      <c r="M205" s="19">
        <f t="shared" si="38"/>
        <v>1</v>
      </c>
      <c r="N205" s="665"/>
      <c r="O205" s="19">
        <f t="shared" si="39"/>
        <v>1</v>
      </c>
      <c r="P205" s="665"/>
      <c r="Q205" s="19">
        <f t="shared" si="40"/>
        <v>1</v>
      </c>
      <c r="R205" s="661">
        <f t="shared" si="41"/>
        <v>0</v>
      </c>
      <c r="S205" s="314">
        <f t="shared" si="42"/>
        <v>0</v>
      </c>
    </row>
    <row r="206" spans="1:19">
      <c r="A206" s="148"/>
      <c r="B206" s="52"/>
      <c r="C206" s="19">
        <f t="shared" si="33"/>
        <v>1</v>
      </c>
      <c r="D206" s="665"/>
      <c r="E206" s="19">
        <f t="shared" si="34"/>
        <v>1</v>
      </c>
      <c r="F206" s="665"/>
      <c r="G206" s="19">
        <f t="shared" si="35"/>
        <v>1</v>
      </c>
      <c r="H206" s="665"/>
      <c r="I206" s="19">
        <f t="shared" si="36"/>
        <v>1</v>
      </c>
      <c r="J206" s="665"/>
      <c r="K206" s="19">
        <f t="shared" si="37"/>
        <v>1</v>
      </c>
      <c r="L206" s="665"/>
      <c r="M206" s="19">
        <f t="shared" si="38"/>
        <v>1</v>
      </c>
      <c r="N206" s="665"/>
      <c r="O206" s="19">
        <f t="shared" si="39"/>
        <v>1</v>
      </c>
      <c r="P206" s="665"/>
      <c r="Q206" s="19">
        <f t="shared" si="40"/>
        <v>1</v>
      </c>
      <c r="R206" s="661">
        <f t="shared" si="41"/>
        <v>0</v>
      </c>
      <c r="S206" s="314">
        <f t="shared" si="42"/>
        <v>0</v>
      </c>
    </row>
    <row r="207" spans="1:19">
      <c r="A207" s="148"/>
      <c r="B207" s="52"/>
      <c r="C207" s="19">
        <f t="shared" si="33"/>
        <v>1</v>
      </c>
      <c r="D207" s="665"/>
      <c r="E207" s="19">
        <f t="shared" si="34"/>
        <v>1</v>
      </c>
      <c r="F207" s="665"/>
      <c r="G207" s="19">
        <f t="shared" si="35"/>
        <v>1</v>
      </c>
      <c r="H207" s="665"/>
      <c r="I207" s="19">
        <f t="shared" si="36"/>
        <v>1</v>
      </c>
      <c r="J207" s="665"/>
      <c r="K207" s="19">
        <f t="shared" si="37"/>
        <v>1</v>
      </c>
      <c r="L207" s="665"/>
      <c r="M207" s="19">
        <f t="shared" si="38"/>
        <v>1</v>
      </c>
      <c r="N207" s="665"/>
      <c r="O207" s="19">
        <f t="shared" si="39"/>
        <v>1</v>
      </c>
      <c r="P207" s="665"/>
      <c r="Q207" s="19">
        <f t="shared" si="40"/>
        <v>1</v>
      </c>
      <c r="R207" s="661">
        <f t="shared" si="41"/>
        <v>0</v>
      </c>
      <c r="S207" s="314">
        <f t="shared" si="42"/>
        <v>0</v>
      </c>
    </row>
    <row r="208" spans="1:19">
      <c r="A208" s="148"/>
      <c r="B208" s="52"/>
      <c r="C208" s="19">
        <f t="shared" si="33"/>
        <v>1</v>
      </c>
      <c r="D208" s="665"/>
      <c r="E208" s="19">
        <f t="shared" si="34"/>
        <v>1</v>
      </c>
      <c r="F208" s="665"/>
      <c r="G208" s="19">
        <f t="shared" si="35"/>
        <v>1</v>
      </c>
      <c r="H208" s="665"/>
      <c r="I208" s="19">
        <f t="shared" si="36"/>
        <v>1</v>
      </c>
      <c r="J208" s="665"/>
      <c r="K208" s="19">
        <f t="shared" si="37"/>
        <v>1</v>
      </c>
      <c r="L208" s="665"/>
      <c r="M208" s="19">
        <f t="shared" si="38"/>
        <v>1</v>
      </c>
      <c r="N208" s="665"/>
      <c r="O208" s="19">
        <f t="shared" si="39"/>
        <v>1</v>
      </c>
      <c r="P208" s="665"/>
      <c r="Q208" s="19">
        <f t="shared" si="40"/>
        <v>1</v>
      </c>
      <c r="R208" s="661">
        <f t="shared" si="41"/>
        <v>0</v>
      </c>
      <c r="S208" s="314">
        <f t="shared" si="42"/>
        <v>0</v>
      </c>
    </row>
    <row r="209" spans="1:19">
      <c r="A209" s="148"/>
      <c r="B209" s="52"/>
      <c r="C209" s="19">
        <f t="shared" si="33"/>
        <v>1</v>
      </c>
      <c r="D209" s="665"/>
      <c r="E209" s="19">
        <f t="shared" si="34"/>
        <v>1</v>
      </c>
      <c r="F209" s="665"/>
      <c r="G209" s="19">
        <f t="shared" si="35"/>
        <v>1</v>
      </c>
      <c r="H209" s="665"/>
      <c r="I209" s="19">
        <f t="shared" si="36"/>
        <v>1</v>
      </c>
      <c r="J209" s="665"/>
      <c r="K209" s="19">
        <f t="shared" si="37"/>
        <v>1</v>
      </c>
      <c r="L209" s="665"/>
      <c r="M209" s="19">
        <f t="shared" si="38"/>
        <v>1</v>
      </c>
      <c r="N209" s="665"/>
      <c r="O209" s="19">
        <f t="shared" si="39"/>
        <v>1</v>
      </c>
      <c r="P209" s="665"/>
      <c r="Q209" s="19">
        <f t="shared" si="40"/>
        <v>1</v>
      </c>
      <c r="R209" s="661">
        <f t="shared" si="41"/>
        <v>0</v>
      </c>
      <c r="S209" s="314">
        <f t="shared" si="42"/>
        <v>0</v>
      </c>
    </row>
    <row r="210" spans="1:19">
      <c r="A210" s="148"/>
      <c r="B210" s="52"/>
      <c r="C210" s="19">
        <f t="shared" si="33"/>
        <v>1</v>
      </c>
      <c r="D210" s="665"/>
      <c r="E210" s="19">
        <f t="shared" si="34"/>
        <v>1</v>
      </c>
      <c r="F210" s="665"/>
      <c r="G210" s="19">
        <f t="shared" si="35"/>
        <v>1</v>
      </c>
      <c r="H210" s="665"/>
      <c r="I210" s="19">
        <f t="shared" si="36"/>
        <v>1</v>
      </c>
      <c r="J210" s="665"/>
      <c r="K210" s="19">
        <f t="shared" si="37"/>
        <v>1</v>
      </c>
      <c r="L210" s="665"/>
      <c r="M210" s="19">
        <f t="shared" si="38"/>
        <v>1</v>
      </c>
      <c r="N210" s="665"/>
      <c r="O210" s="19">
        <f t="shared" si="39"/>
        <v>1</v>
      </c>
      <c r="P210" s="665"/>
      <c r="Q210" s="19">
        <f t="shared" si="40"/>
        <v>1</v>
      </c>
      <c r="R210" s="661">
        <f t="shared" si="41"/>
        <v>0</v>
      </c>
      <c r="S210" s="314">
        <f t="shared" si="42"/>
        <v>0</v>
      </c>
    </row>
    <row r="211" spans="1:19">
      <c r="A211" s="148"/>
      <c r="B211" s="52"/>
      <c r="C211" s="19">
        <f t="shared" si="33"/>
        <v>1</v>
      </c>
      <c r="D211" s="665"/>
      <c r="E211" s="19">
        <f t="shared" si="34"/>
        <v>1</v>
      </c>
      <c r="F211" s="665"/>
      <c r="G211" s="19">
        <f t="shared" si="35"/>
        <v>1</v>
      </c>
      <c r="H211" s="665"/>
      <c r="I211" s="19">
        <f t="shared" si="36"/>
        <v>1</v>
      </c>
      <c r="J211" s="665"/>
      <c r="K211" s="19">
        <f t="shared" si="37"/>
        <v>1</v>
      </c>
      <c r="L211" s="665"/>
      <c r="M211" s="19">
        <f t="shared" si="38"/>
        <v>1</v>
      </c>
      <c r="N211" s="665"/>
      <c r="O211" s="19">
        <f t="shared" si="39"/>
        <v>1</v>
      </c>
      <c r="P211" s="665"/>
      <c r="Q211" s="19">
        <f t="shared" si="40"/>
        <v>1</v>
      </c>
      <c r="R211" s="661">
        <f t="shared" si="41"/>
        <v>0</v>
      </c>
      <c r="S211" s="314">
        <f t="shared" si="42"/>
        <v>0</v>
      </c>
    </row>
    <row r="212" spans="1:19">
      <c r="A212" s="148"/>
      <c r="B212" s="52"/>
      <c r="C212" s="19">
        <f t="shared" si="33"/>
        <v>1</v>
      </c>
      <c r="D212" s="665"/>
      <c r="E212" s="19">
        <f t="shared" si="34"/>
        <v>1</v>
      </c>
      <c r="F212" s="665"/>
      <c r="G212" s="19">
        <f t="shared" si="35"/>
        <v>1</v>
      </c>
      <c r="H212" s="665"/>
      <c r="I212" s="19">
        <f t="shared" si="36"/>
        <v>1</v>
      </c>
      <c r="J212" s="665"/>
      <c r="K212" s="19">
        <f t="shared" si="37"/>
        <v>1</v>
      </c>
      <c r="L212" s="665"/>
      <c r="M212" s="19">
        <f t="shared" si="38"/>
        <v>1</v>
      </c>
      <c r="N212" s="665"/>
      <c r="O212" s="19">
        <f t="shared" si="39"/>
        <v>1</v>
      </c>
      <c r="P212" s="665"/>
      <c r="Q212" s="19">
        <f t="shared" si="40"/>
        <v>1</v>
      </c>
      <c r="R212" s="661">
        <f t="shared" si="41"/>
        <v>0</v>
      </c>
      <c r="S212" s="314">
        <f t="shared" si="42"/>
        <v>0</v>
      </c>
    </row>
    <row r="213" spans="1:19">
      <c r="A213" s="148"/>
      <c r="B213" s="52"/>
      <c r="C213" s="19">
        <f t="shared" si="33"/>
        <v>1</v>
      </c>
      <c r="D213" s="665"/>
      <c r="E213" s="19">
        <f t="shared" si="34"/>
        <v>1</v>
      </c>
      <c r="F213" s="665"/>
      <c r="G213" s="19">
        <f t="shared" si="35"/>
        <v>1</v>
      </c>
      <c r="H213" s="665"/>
      <c r="I213" s="19">
        <f t="shared" si="36"/>
        <v>1</v>
      </c>
      <c r="J213" s="665"/>
      <c r="K213" s="19">
        <f t="shared" si="37"/>
        <v>1</v>
      </c>
      <c r="L213" s="665"/>
      <c r="M213" s="19">
        <f t="shared" si="38"/>
        <v>1</v>
      </c>
      <c r="N213" s="665"/>
      <c r="O213" s="19">
        <f t="shared" si="39"/>
        <v>1</v>
      </c>
      <c r="P213" s="665"/>
      <c r="Q213" s="19">
        <f t="shared" si="40"/>
        <v>1</v>
      </c>
      <c r="R213" s="661">
        <f t="shared" si="41"/>
        <v>0</v>
      </c>
      <c r="S213" s="314">
        <f t="shared" si="42"/>
        <v>0</v>
      </c>
    </row>
    <row r="214" spans="1:19">
      <c r="A214" s="148"/>
      <c r="B214" s="52"/>
      <c r="C214" s="19">
        <f t="shared" si="33"/>
        <v>1</v>
      </c>
      <c r="D214" s="665"/>
      <c r="E214" s="19">
        <f t="shared" si="34"/>
        <v>1</v>
      </c>
      <c r="F214" s="665"/>
      <c r="G214" s="19">
        <f t="shared" si="35"/>
        <v>1</v>
      </c>
      <c r="H214" s="665"/>
      <c r="I214" s="19">
        <f t="shared" si="36"/>
        <v>1</v>
      </c>
      <c r="J214" s="665"/>
      <c r="K214" s="19">
        <f t="shared" si="37"/>
        <v>1</v>
      </c>
      <c r="L214" s="665"/>
      <c r="M214" s="19">
        <f t="shared" si="38"/>
        <v>1</v>
      </c>
      <c r="N214" s="665"/>
      <c r="O214" s="19">
        <f t="shared" si="39"/>
        <v>1</v>
      </c>
      <c r="P214" s="665"/>
      <c r="Q214" s="19">
        <f t="shared" si="40"/>
        <v>1</v>
      </c>
      <c r="R214" s="661">
        <f t="shared" si="41"/>
        <v>0</v>
      </c>
      <c r="S214" s="314">
        <f t="shared" si="42"/>
        <v>0</v>
      </c>
    </row>
    <row r="215" spans="1:19">
      <c r="A215" s="148"/>
      <c r="B215" s="52"/>
      <c r="C215" s="19">
        <f t="shared" si="33"/>
        <v>1</v>
      </c>
      <c r="D215" s="665"/>
      <c r="E215" s="19">
        <f t="shared" si="34"/>
        <v>1</v>
      </c>
      <c r="F215" s="665"/>
      <c r="G215" s="19">
        <f t="shared" si="35"/>
        <v>1</v>
      </c>
      <c r="H215" s="665"/>
      <c r="I215" s="19">
        <f t="shared" si="36"/>
        <v>1</v>
      </c>
      <c r="J215" s="665"/>
      <c r="K215" s="19">
        <f t="shared" si="37"/>
        <v>1</v>
      </c>
      <c r="L215" s="665"/>
      <c r="M215" s="19">
        <f t="shared" si="38"/>
        <v>1</v>
      </c>
      <c r="N215" s="665"/>
      <c r="O215" s="19">
        <f t="shared" si="39"/>
        <v>1</v>
      </c>
      <c r="P215" s="665"/>
      <c r="Q215" s="19">
        <f t="shared" si="40"/>
        <v>1</v>
      </c>
      <c r="R215" s="661">
        <f t="shared" si="41"/>
        <v>0</v>
      </c>
      <c r="S215" s="314">
        <f t="shared" si="42"/>
        <v>0</v>
      </c>
    </row>
    <row r="216" spans="1:19">
      <c r="A216" s="148"/>
      <c r="B216" s="52"/>
      <c r="C216" s="19">
        <f t="shared" si="33"/>
        <v>1</v>
      </c>
      <c r="D216" s="665"/>
      <c r="E216" s="19">
        <f t="shared" si="34"/>
        <v>1</v>
      </c>
      <c r="F216" s="665"/>
      <c r="G216" s="19">
        <f t="shared" si="35"/>
        <v>1</v>
      </c>
      <c r="H216" s="665"/>
      <c r="I216" s="19">
        <f t="shared" si="36"/>
        <v>1</v>
      </c>
      <c r="J216" s="665"/>
      <c r="K216" s="19">
        <f t="shared" si="37"/>
        <v>1</v>
      </c>
      <c r="L216" s="665"/>
      <c r="M216" s="19">
        <f t="shared" si="38"/>
        <v>1</v>
      </c>
      <c r="N216" s="665"/>
      <c r="O216" s="19">
        <f t="shared" si="39"/>
        <v>1</v>
      </c>
      <c r="P216" s="665"/>
      <c r="Q216" s="19">
        <f t="shared" si="40"/>
        <v>1</v>
      </c>
      <c r="R216" s="661">
        <f t="shared" si="41"/>
        <v>0</v>
      </c>
      <c r="S216" s="314">
        <f t="shared" si="42"/>
        <v>0</v>
      </c>
    </row>
    <row r="217" spans="1:19">
      <c r="A217" s="148"/>
      <c r="B217" s="52"/>
      <c r="C217" s="19">
        <f t="shared" si="33"/>
        <v>1</v>
      </c>
      <c r="D217" s="665"/>
      <c r="E217" s="19">
        <f t="shared" si="34"/>
        <v>1</v>
      </c>
      <c r="F217" s="665"/>
      <c r="G217" s="19">
        <f t="shared" si="35"/>
        <v>1</v>
      </c>
      <c r="H217" s="665"/>
      <c r="I217" s="19">
        <f t="shared" si="36"/>
        <v>1</v>
      </c>
      <c r="J217" s="665"/>
      <c r="K217" s="19">
        <f t="shared" si="37"/>
        <v>1</v>
      </c>
      <c r="L217" s="665"/>
      <c r="M217" s="19">
        <f t="shared" si="38"/>
        <v>1</v>
      </c>
      <c r="N217" s="665"/>
      <c r="O217" s="19">
        <f t="shared" si="39"/>
        <v>1</v>
      </c>
      <c r="P217" s="665"/>
      <c r="Q217" s="19">
        <f t="shared" si="40"/>
        <v>1</v>
      </c>
      <c r="R217" s="661">
        <f t="shared" si="41"/>
        <v>0</v>
      </c>
      <c r="S217" s="314">
        <f t="shared" si="42"/>
        <v>0</v>
      </c>
    </row>
    <row r="218" spans="1:19">
      <c r="A218" s="148"/>
      <c r="B218" s="52"/>
      <c r="C218" s="19">
        <f t="shared" ref="C218:C281" si="43">IF(B218="",1,(LOOKUP(B218,$3:$3,$4:$4)-LOOKUP($B$24,$3:$3,$4:$4)+100)/100)</f>
        <v>1</v>
      </c>
      <c r="D218" s="665"/>
      <c r="E218" s="19">
        <f t="shared" ref="E218:E281" si="44">(SUMIF($5:$5,D218,$6:$6)-SUMIF($5:$5,$D$24,$6:$6)+100)/100</f>
        <v>1</v>
      </c>
      <c r="F218" s="665"/>
      <c r="G218" s="19">
        <f t="shared" ref="G218:G281" si="45">(SUMIF($7:$7,F218,$8:$8)-SUMIF($7:$7,$F$24,$8:$8)+100)/100</f>
        <v>1</v>
      </c>
      <c r="H218" s="665"/>
      <c r="I218" s="19">
        <f t="shared" ref="I218:I281" si="46">(SUMIF($9:$9,H218,$10:$10)-SUMIF($9:$9,$H$24,$10:$10)+100)/100</f>
        <v>1</v>
      </c>
      <c r="J218" s="665"/>
      <c r="K218" s="19">
        <f t="shared" ref="K218:K281" si="47">(SUMIF($11:$11,J218,$12:$12)-SUMIF($11:$11,$J$24,$12:$12)+100)/100</f>
        <v>1</v>
      </c>
      <c r="L218" s="665"/>
      <c r="M218" s="19">
        <f t="shared" ref="M218:M281" si="48">(SUMIF($13:$13,L218,$14:$14)-SUMIF($13:$13,$L$24,$14:$14)+100)/100</f>
        <v>1</v>
      </c>
      <c r="N218" s="665"/>
      <c r="O218" s="19">
        <f t="shared" ref="O218:O281" si="49">(SUMIF($15:$15,N218,$16:$16)-SUMIF($15:$15,$N$24,$16:$16)+100)/100</f>
        <v>1</v>
      </c>
      <c r="P218" s="665"/>
      <c r="Q218" s="19">
        <f t="shared" ref="Q218:Q281" si="50">(SUMIF($17:$17,P218,$18:$18)-SUMIF($17:$17,$P$24,$18:$18)+100)/100</f>
        <v>1</v>
      </c>
      <c r="R218" s="661">
        <f t="shared" ref="R218:R281" si="51">IF(B218="",0,ROUND($R$24*C218*E218*G218*I218*K218*M218*O218*Q218,0))</f>
        <v>0</v>
      </c>
      <c r="S218" s="314">
        <f t="shared" si="42"/>
        <v>0</v>
      </c>
    </row>
    <row r="219" spans="1:19">
      <c r="A219" s="148"/>
      <c r="B219" s="52"/>
      <c r="C219" s="19">
        <f t="shared" si="43"/>
        <v>1</v>
      </c>
      <c r="D219" s="665"/>
      <c r="E219" s="19">
        <f t="shared" si="44"/>
        <v>1</v>
      </c>
      <c r="F219" s="665"/>
      <c r="G219" s="19">
        <f t="shared" si="45"/>
        <v>1</v>
      </c>
      <c r="H219" s="665"/>
      <c r="I219" s="19">
        <f t="shared" si="46"/>
        <v>1</v>
      </c>
      <c r="J219" s="665"/>
      <c r="K219" s="19">
        <f t="shared" si="47"/>
        <v>1</v>
      </c>
      <c r="L219" s="665"/>
      <c r="M219" s="19">
        <f t="shared" si="48"/>
        <v>1</v>
      </c>
      <c r="N219" s="665"/>
      <c r="O219" s="19">
        <f t="shared" si="49"/>
        <v>1</v>
      </c>
      <c r="P219" s="665"/>
      <c r="Q219" s="19">
        <f t="shared" si="50"/>
        <v>1</v>
      </c>
      <c r="R219" s="661">
        <f t="shared" si="51"/>
        <v>0</v>
      </c>
      <c r="S219" s="314">
        <f t="shared" si="42"/>
        <v>0</v>
      </c>
    </row>
    <row r="220" spans="1:19">
      <c r="A220" s="148"/>
      <c r="B220" s="52"/>
      <c r="C220" s="19">
        <f t="shared" si="43"/>
        <v>1</v>
      </c>
      <c r="D220" s="665"/>
      <c r="E220" s="19">
        <f t="shared" si="44"/>
        <v>1</v>
      </c>
      <c r="F220" s="665"/>
      <c r="G220" s="19">
        <f t="shared" si="45"/>
        <v>1</v>
      </c>
      <c r="H220" s="665"/>
      <c r="I220" s="19">
        <f t="shared" si="46"/>
        <v>1</v>
      </c>
      <c r="J220" s="665"/>
      <c r="K220" s="19">
        <f t="shared" si="47"/>
        <v>1</v>
      </c>
      <c r="L220" s="665"/>
      <c r="M220" s="19">
        <f t="shared" si="48"/>
        <v>1</v>
      </c>
      <c r="N220" s="665"/>
      <c r="O220" s="19">
        <f t="shared" si="49"/>
        <v>1</v>
      </c>
      <c r="P220" s="665"/>
      <c r="Q220" s="19">
        <f t="shared" si="50"/>
        <v>1</v>
      </c>
      <c r="R220" s="661">
        <f t="shared" si="51"/>
        <v>0</v>
      </c>
      <c r="S220" s="314">
        <f t="shared" si="42"/>
        <v>0</v>
      </c>
    </row>
    <row r="221" spans="1:19">
      <c r="A221" s="148"/>
      <c r="B221" s="52"/>
      <c r="C221" s="19">
        <f t="shared" si="43"/>
        <v>1</v>
      </c>
      <c r="D221" s="665"/>
      <c r="E221" s="19">
        <f t="shared" si="44"/>
        <v>1</v>
      </c>
      <c r="F221" s="665"/>
      <c r="G221" s="19">
        <f t="shared" si="45"/>
        <v>1</v>
      </c>
      <c r="H221" s="665"/>
      <c r="I221" s="19">
        <f t="shared" si="46"/>
        <v>1</v>
      </c>
      <c r="J221" s="665"/>
      <c r="K221" s="19">
        <f t="shared" si="47"/>
        <v>1</v>
      </c>
      <c r="L221" s="665"/>
      <c r="M221" s="19">
        <f t="shared" si="48"/>
        <v>1</v>
      </c>
      <c r="N221" s="665"/>
      <c r="O221" s="19">
        <f t="shared" si="49"/>
        <v>1</v>
      </c>
      <c r="P221" s="665"/>
      <c r="Q221" s="19">
        <f t="shared" si="50"/>
        <v>1</v>
      </c>
      <c r="R221" s="661">
        <f t="shared" si="51"/>
        <v>0</v>
      </c>
      <c r="S221" s="314">
        <f t="shared" si="42"/>
        <v>0</v>
      </c>
    </row>
    <row r="222" spans="1:19">
      <c r="A222" s="148"/>
      <c r="B222" s="52"/>
      <c r="C222" s="19">
        <f t="shared" si="43"/>
        <v>1</v>
      </c>
      <c r="D222" s="665"/>
      <c r="E222" s="19">
        <f t="shared" si="44"/>
        <v>1</v>
      </c>
      <c r="F222" s="665"/>
      <c r="G222" s="19">
        <f t="shared" si="45"/>
        <v>1</v>
      </c>
      <c r="H222" s="665"/>
      <c r="I222" s="19">
        <f t="shared" si="46"/>
        <v>1</v>
      </c>
      <c r="J222" s="665"/>
      <c r="K222" s="19">
        <f t="shared" si="47"/>
        <v>1</v>
      </c>
      <c r="L222" s="665"/>
      <c r="M222" s="19">
        <f t="shared" si="48"/>
        <v>1</v>
      </c>
      <c r="N222" s="665"/>
      <c r="O222" s="19">
        <f t="shared" si="49"/>
        <v>1</v>
      </c>
      <c r="P222" s="665"/>
      <c r="Q222" s="19">
        <f t="shared" si="50"/>
        <v>1</v>
      </c>
      <c r="R222" s="661">
        <f t="shared" si="51"/>
        <v>0</v>
      </c>
      <c r="S222" s="314">
        <f t="shared" si="42"/>
        <v>0</v>
      </c>
    </row>
    <row r="223" spans="1:19">
      <c r="A223" s="148"/>
      <c r="B223" s="52"/>
      <c r="C223" s="19">
        <f t="shared" si="43"/>
        <v>1</v>
      </c>
      <c r="D223" s="665"/>
      <c r="E223" s="19">
        <f t="shared" si="44"/>
        <v>1</v>
      </c>
      <c r="F223" s="665"/>
      <c r="G223" s="19">
        <f t="shared" si="45"/>
        <v>1</v>
      </c>
      <c r="H223" s="665"/>
      <c r="I223" s="19">
        <f t="shared" si="46"/>
        <v>1</v>
      </c>
      <c r="J223" s="665"/>
      <c r="K223" s="19">
        <f t="shared" si="47"/>
        <v>1</v>
      </c>
      <c r="L223" s="665"/>
      <c r="M223" s="19">
        <f t="shared" si="48"/>
        <v>1</v>
      </c>
      <c r="N223" s="665"/>
      <c r="O223" s="19">
        <f t="shared" si="49"/>
        <v>1</v>
      </c>
      <c r="P223" s="665"/>
      <c r="Q223" s="19">
        <f t="shared" si="50"/>
        <v>1</v>
      </c>
      <c r="R223" s="661">
        <f t="shared" si="51"/>
        <v>0</v>
      </c>
      <c r="S223" s="314">
        <f t="shared" ref="S223:S286" si="52">ROUND(R223*B223/10000,0)</f>
        <v>0</v>
      </c>
    </row>
    <row r="224" spans="1:19">
      <c r="A224" s="148"/>
      <c r="B224" s="52"/>
      <c r="C224" s="19">
        <f t="shared" si="43"/>
        <v>1</v>
      </c>
      <c r="D224" s="665"/>
      <c r="E224" s="19">
        <f t="shared" si="44"/>
        <v>1</v>
      </c>
      <c r="F224" s="665"/>
      <c r="G224" s="19">
        <f t="shared" si="45"/>
        <v>1</v>
      </c>
      <c r="H224" s="665"/>
      <c r="I224" s="19">
        <f t="shared" si="46"/>
        <v>1</v>
      </c>
      <c r="J224" s="665"/>
      <c r="K224" s="19">
        <f t="shared" si="47"/>
        <v>1</v>
      </c>
      <c r="L224" s="665"/>
      <c r="M224" s="19">
        <f t="shared" si="48"/>
        <v>1</v>
      </c>
      <c r="N224" s="665"/>
      <c r="O224" s="19">
        <f t="shared" si="49"/>
        <v>1</v>
      </c>
      <c r="P224" s="665"/>
      <c r="Q224" s="19">
        <f t="shared" si="50"/>
        <v>1</v>
      </c>
      <c r="R224" s="661">
        <f t="shared" si="51"/>
        <v>0</v>
      </c>
      <c r="S224" s="314">
        <f t="shared" si="52"/>
        <v>0</v>
      </c>
    </row>
    <row r="225" spans="1:19">
      <c r="A225" s="148"/>
      <c r="B225" s="52"/>
      <c r="C225" s="19">
        <f t="shared" si="43"/>
        <v>1</v>
      </c>
      <c r="D225" s="665"/>
      <c r="E225" s="19">
        <f t="shared" si="44"/>
        <v>1</v>
      </c>
      <c r="F225" s="665"/>
      <c r="G225" s="19">
        <f t="shared" si="45"/>
        <v>1</v>
      </c>
      <c r="H225" s="665"/>
      <c r="I225" s="19">
        <f t="shared" si="46"/>
        <v>1</v>
      </c>
      <c r="J225" s="665"/>
      <c r="K225" s="19">
        <f t="shared" si="47"/>
        <v>1</v>
      </c>
      <c r="L225" s="665"/>
      <c r="M225" s="19">
        <f t="shared" si="48"/>
        <v>1</v>
      </c>
      <c r="N225" s="665"/>
      <c r="O225" s="19">
        <f t="shared" si="49"/>
        <v>1</v>
      </c>
      <c r="P225" s="665"/>
      <c r="Q225" s="19">
        <f t="shared" si="50"/>
        <v>1</v>
      </c>
      <c r="R225" s="661">
        <f t="shared" si="51"/>
        <v>0</v>
      </c>
      <c r="S225" s="314">
        <f t="shared" si="52"/>
        <v>0</v>
      </c>
    </row>
    <row r="226" spans="1:19">
      <c r="A226" s="148"/>
      <c r="B226" s="52"/>
      <c r="C226" s="19">
        <f t="shared" si="43"/>
        <v>1</v>
      </c>
      <c r="D226" s="665"/>
      <c r="E226" s="19">
        <f t="shared" si="44"/>
        <v>1</v>
      </c>
      <c r="F226" s="665"/>
      <c r="G226" s="19">
        <f t="shared" si="45"/>
        <v>1</v>
      </c>
      <c r="H226" s="665"/>
      <c r="I226" s="19">
        <f t="shared" si="46"/>
        <v>1</v>
      </c>
      <c r="J226" s="665"/>
      <c r="K226" s="19">
        <f t="shared" si="47"/>
        <v>1</v>
      </c>
      <c r="L226" s="665"/>
      <c r="M226" s="19">
        <f t="shared" si="48"/>
        <v>1</v>
      </c>
      <c r="N226" s="665"/>
      <c r="O226" s="19">
        <f t="shared" si="49"/>
        <v>1</v>
      </c>
      <c r="P226" s="665"/>
      <c r="Q226" s="19">
        <f t="shared" si="50"/>
        <v>1</v>
      </c>
      <c r="R226" s="661">
        <f t="shared" si="51"/>
        <v>0</v>
      </c>
      <c r="S226" s="314">
        <f t="shared" si="52"/>
        <v>0</v>
      </c>
    </row>
    <row r="227" spans="1:19">
      <c r="A227" s="148"/>
      <c r="B227" s="52"/>
      <c r="C227" s="19">
        <f t="shared" si="43"/>
        <v>1</v>
      </c>
      <c r="D227" s="665"/>
      <c r="E227" s="19">
        <f t="shared" si="44"/>
        <v>1</v>
      </c>
      <c r="F227" s="665"/>
      <c r="G227" s="19">
        <f t="shared" si="45"/>
        <v>1</v>
      </c>
      <c r="H227" s="665"/>
      <c r="I227" s="19">
        <f t="shared" si="46"/>
        <v>1</v>
      </c>
      <c r="J227" s="665"/>
      <c r="K227" s="19">
        <f t="shared" si="47"/>
        <v>1</v>
      </c>
      <c r="L227" s="665"/>
      <c r="M227" s="19">
        <f t="shared" si="48"/>
        <v>1</v>
      </c>
      <c r="N227" s="665"/>
      <c r="O227" s="19">
        <f t="shared" si="49"/>
        <v>1</v>
      </c>
      <c r="P227" s="665"/>
      <c r="Q227" s="19">
        <f t="shared" si="50"/>
        <v>1</v>
      </c>
      <c r="R227" s="661">
        <f t="shared" si="51"/>
        <v>0</v>
      </c>
      <c r="S227" s="314">
        <f t="shared" si="52"/>
        <v>0</v>
      </c>
    </row>
    <row r="228" spans="1:19">
      <c r="A228" s="148"/>
      <c r="B228" s="52"/>
      <c r="C228" s="19">
        <f t="shared" si="43"/>
        <v>1</v>
      </c>
      <c r="D228" s="665"/>
      <c r="E228" s="19">
        <f t="shared" si="44"/>
        <v>1</v>
      </c>
      <c r="F228" s="665"/>
      <c r="G228" s="19">
        <f t="shared" si="45"/>
        <v>1</v>
      </c>
      <c r="H228" s="665"/>
      <c r="I228" s="19">
        <f t="shared" si="46"/>
        <v>1</v>
      </c>
      <c r="J228" s="665"/>
      <c r="K228" s="19">
        <f t="shared" si="47"/>
        <v>1</v>
      </c>
      <c r="L228" s="665"/>
      <c r="M228" s="19">
        <f t="shared" si="48"/>
        <v>1</v>
      </c>
      <c r="N228" s="665"/>
      <c r="O228" s="19">
        <f t="shared" si="49"/>
        <v>1</v>
      </c>
      <c r="P228" s="665"/>
      <c r="Q228" s="19">
        <f t="shared" si="50"/>
        <v>1</v>
      </c>
      <c r="R228" s="661">
        <f t="shared" si="51"/>
        <v>0</v>
      </c>
      <c r="S228" s="314">
        <f t="shared" si="52"/>
        <v>0</v>
      </c>
    </row>
    <row r="229" spans="1:19">
      <c r="A229" s="148"/>
      <c r="B229" s="52"/>
      <c r="C229" s="19">
        <f t="shared" si="43"/>
        <v>1</v>
      </c>
      <c r="D229" s="665"/>
      <c r="E229" s="19">
        <f t="shared" si="44"/>
        <v>1</v>
      </c>
      <c r="F229" s="665"/>
      <c r="G229" s="19">
        <f t="shared" si="45"/>
        <v>1</v>
      </c>
      <c r="H229" s="665"/>
      <c r="I229" s="19">
        <f t="shared" si="46"/>
        <v>1</v>
      </c>
      <c r="J229" s="665"/>
      <c r="K229" s="19">
        <f t="shared" si="47"/>
        <v>1</v>
      </c>
      <c r="L229" s="665"/>
      <c r="M229" s="19">
        <f t="shared" si="48"/>
        <v>1</v>
      </c>
      <c r="N229" s="665"/>
      <c r="O229" s="19">
        <f t="shared" si="49"/>
        <v>1</v>
      </c>
      <c r="P229" s="665"/>
      <c r="Q229" s="19">
        <f t="shared" si="50"/>
        <v>1</v>
      </c>
      <c r="R229" s="661">
        <f t="shared" si="51"/>
        <v>0</v>
      </c>
      <c r="S229" s="314">
        <f t="shared" si="52"/>
        <v>0</v>
      </c>
    </row>
    <row r="230" spans="1:19">
      <c r="A230" s="148"/>
      <c r="B230" s="52"/>
      <c r="C230" s="19">
        <f t="shared" si="43"/>
        <v>1</v>
      </c>
      <c r="D230" s="665"/>
      <c r="E230" s="19">
        <f t="shared" si="44"/>
        <v>1</v>
      </c>
      <c r="F230" s="665"/>
      <c r="G230" s="19">
        <f t="shared" si="45"/>
        <v>1</v>
      </c>
      <c r="H230" s="665"/>
      <c r="I230" s="19">
        <f t="shared" si="46"/>
        <v>1</v>
      </c>
      <c r="J230" s="665"/>
      <c r="K230" s="19">
        <f t="shared" si="47"/>
        <v>1</v>
      </c>
      <c r="L230" s="665"/>
      <c r="M230" s="19">
        <f t="shared" si="48"/>
        <v>1</v>
      </c>
      <c r="N230" s="665"/>
      <c r="O230" s="19">
        <f t="shared" si="49"/>
        <v>1</v>
      </c>
      <c r="P230" s="665"/>
      <c r="Q230" s="19">
        <f t="shared" si="50"/>
        <v>1</v>
      </c>
      <c r="R230" s="661">
        <f t="shared" si="51"/>
        <v>0</v>
      </c>
      <c r="S230" s="314">
        <f t="shared" si="52"/>
        <v>0</v>
      </c>
    </row>
    <row r="231" spans="1:19">
      <c r="A231" s="148"/>
      <c r="B231" s="52"/>
      <c r="C231" s="19">
        <f t="shared" si="43"/>
        <v>1</v>
      </c>
      <c r="D231" s="665"/>
      <c r="E231" s="19">
        <f t="shared" si="44"/>
        <v>1</v>
      </c>
      <c r="F231" s="665"/>
      <c r="G231" s="19">
        <f t="shared" si="45"/>
        <v>1</v>
      </c>
      <c r="H231" s="665"/>
      <c r="I231" s="19">
        <f t="shared" si="46"/>
        <v>1</v>
      </c>
      <c r="J231" s="665"/>
      <c r="K231" s="19">
        <f t="shared" si="47"/>
        <v>1</v>
      </c>
      <c r="L231" s="665"/>
      <c r="M231" s="19">
        <f t="shared" si="48"/>
        <v>1</v>
      </c>
      <c r="N231" s="665"/>
      <c r="O231" s="19">
        <f t="shared" si="49"/>
        <v>1</v>
      </c>
      <c r="P231" s="665"/>
      <c r="Q231" s="19">
        <f t="shared" si="50"/>
        <v>1</v>
      </c>
      <c r="R231" s="661">
        <f t="shared" si="51"/>
        <v>0</v>
      </c>
      <c r="S231" s="314">
        <f t="shared" si="52"/>
        <v>0</v>
      </c>
    </row>
    <row r="232" spans="1:19">
      <c r="A232" s="148"/>
      <c r="B232" s="52"/>
      <c r="C232" s="19">
        <f t="shared" si="43"/>
        <v>1</v>
      </c>
      <c r="D232" s="665"/>
      <c r="E232" s="19">
        <f t="shared" si="44"/>
        <v>1</v>
      </c>
      <c r="F232" s="665"/>
      <c r="G232" s="19">
        <f t="shared" si="45"/>
        <v>1</v>
      </c>
      <c r="H232" s="665"/>
      <c r="I232" s="19">
        <f t="shared" si="46"/>
        <v>1</v>
      </c>
      <c r="J232" s="665"/>
      <c r="K232" s="19">
        <f t="shared" si="47"/>
        <v>1</v>
      </c>
      <c r="L232" s="665"/>
      <c r="M232" s="19">
        <f t="shared" si="48"/>
        <v>1</v>
      </c>
      <c r="N232" s="665"/>
      <c r="O232" s="19">
        <f t="shared" si="49"/>
        <v>1</v>
      </c>
      <c r="P232" s="665"/>
      <c r="Q232" s="19">
        <f t="shared" si="50"/>
        <v>1</v>
      </c>
      <c r="R232" s="661">
        <f t="shared" si="51"/>
        <v>0</v>
      </c>
      <c r="S232" s="314">
        <f t="shared" si="52"/>
        <v>0</v>
      </c>
    </row>
    <row r="233" spans="1:19">
      <c r="A233" s="148"/>
      <c r="B233" s="52"/>
      <c r="C233" s="19">
        <f t="shared" si="43"/>
        <v>1</v>
      </c>
      <c r="D233" s="665"/>
      <c r="E233" s="19">
        <f t="shared" si="44"/>
        <v>1</v>
      </c>
      <c r="F233" s="665"/>
      <c r="G233" s="19">
        <f t="shared" si="45"/>
        <v>1</v>
      </c>
      <c r="H233" s="665"/>
      <c r="I233" s="19">
        <f t="shared" si="46"/>
        <v>1</v>
      </c>
      <c r="J233" s="665"/>
      <c r="K233" s="19">
        <f t="shared" si="47"/>
        <v>1</v>
      </c>
      <c r="L233" s="665"/>
      <c r="M233" s="19">
        <f t="shared" si="48"/>
        <v>1</v>
      </c>
      <c r="N233" s="665"/>
      <c r="O233" s="19">
        <f t="shared" si="49"/>
        <v>1</v>
      </c>
      <c r="P233" s="665"/>
      <c r="Q233" s="19">
        <f t="shared" si="50"/>
        <v>1</v>
      </c>
      <c r="R233" s="661">
        <f t="shared" si="51"/>
        <v>0</v>
      </c>
      <c r="S233" s="314">
        <f t="shared" si="52"/>
        <v>0</v>
      </c>
    </row>
    <row r="234" spans="1:19">
      <c r="A234" s="148"/>
      <c r="B234" s="52"/>
      <c r="C234" s="19">
        <f t="shared" si="43"/>
        <v>1</v>
      </c>
      <c r="D234" s="665"/>
      <c r="E234" s="19">
        <f t="shared" si="44"/>
        <v>1</v>
      </c>
      <c r="F234" s="665"/>
      <c r="G234" s="19">
        <f t="shared" si="45"/>
        <v>1</v>
      </c>
      <c r="H234" s="665"/>
      <c r="I234" s="19">
        <f t="shared" si="46"/>
        <v>1</v>
      </c>
      <c r="J234" s="665"/>
      <c r="K234" s="19">
        <f t="shared" si="47"/>
        <v>1</v>
      </c>
      <c r="L234" s="665"/>
      <c r="M234" s="19">
        <f t="shared" si="48"/>
        <v>1</v>
      </c>
      <c r="N234" s="665"/>
      <c r="O234" s="19">
        <f t="shared" si="49"/>
        <v>1</v>
      </c>
      <c r="P234" s="665"/>
      <c r="Q234" s="19">
        <f t="shared" si="50"/>
        <v>1</v>
      </c>
      <c r="R234" s="661">
        <f t="shared" si="51"/>
        <v>0</v>
      </c>
      <c r="S234" s="314">
        <f t="shared" si="52"/>
        <v>0</v>
      </c>
    </row>
    <row r="235" spans="1:19">
      <c r="A235" s="148"/>
      <c r="B235" s="52"/>
      <c r="C235" s="19">
        <f t="shared" si="43"/>
        <v>1</v>
      </c>
      <c r="D235" s="665"/>
      <c r="E235" s="19">
        <f t="shared" si="44"/>
        <v>1</v>
      </c>
      <c r="F235" s="665"/>
      <c r="G235" s="19">
        <f t="shared" si="45"/>
        <v>1</v>
      </c>
      <c r="H235" s="665"/>
      <c r="I235" s="19">
        <f t="shared" si="46"/>
        <v>1</v>
      </c>
      <c r="J235" s="665"/>
      <c r="K235" s="19">
        <f t="shared" si="47"/>
        <v>1</v>
      </c>
      <c r="L235" s="665"/>
      <c r="M235" s="19">
        <f t="shared" si="48"/>
        <v>1</v>
      </c>
      <c r="N235" s="665"/>
      <c r="O235" s="19">
        <f t="shared" si="49"/>
        <v>1</v>
      </c>
      <c r="P235" s="665"/>
      <c r="Q235" s="19">
        <f t="shared" si="50"/>
        <v>1</v>
      </c>
      <c r="R235" s="661">
        <f t="shared" si="51"/>
        <v>0</v>
      </c>
      <c r="S235" s="314">
        <f t="shared" si="52"/>
        <v>0</v>
      </c>
    </row>
    <row r="236" spans="1:19">
      <c r="A236" s="148"/>
      <c r="B236" s="52"/>
      <c r="C236" s="19">
        <f t="shared" si="43"/>
        <v>1</v>
      </c>
      <c r="D236" s="665"/>
      <c r="E236" s="19">
        <f t="shared" si="44"/>
        <v>1</v>
      </c>
      <c r="F236" s="665"/>
      <c r="G236" s="19">
        <f t="shared" si="45"/>
        <v>1</v>
      </c>
      <c r="H236" s="665"/>
      <c r="I236" s="19">
        <f t="shared" si="46"/>
        <v>1</v>
      </c>
      <c r="J236" s="665"/>
      <c r="K236" s="19">
        <f t="shared" si="47"/>
        <v>1</v>
      </c>
      <c r="L236" s="665"/>
      <c r="M236" s="19">
        <f t="shared" si="48"/>
        <v>1</v>
      </c>
      <c r="N236" s="665"/>
      <c r="O236" s="19">
        <f t="shared" si="49"/>
        <v>1</v>
      </c>
      <c r="P236" s="665"/>
      <c r="Q236" s="19">
        <f t="shared" si="50"/>
        <v>1</v>
      </c>
      <c r="R236" s="661">
        <f t="shared" si="51"/>
        <v>0</v>
      </c>
      <c r="S236" s="314">
        <f t="shared" si="52"/>
        <v>0</v>
      </c>
    </row>
    <row r="237" spans="1:19">
      <c r="A237" s="148"/>
      <c r="B237" s="52"/>
      <c r="C237" s="19">
        <f t="shared" si="43"/>
        <v>1</v>
      </c>
      <c r="D237" s="665"/>
      <c r="E237" s="19">
        <f t="shared" si="44"/>
        <v>1</v>
      </c>
      <c r="F237" s="665"/>
      <c r="G237" s="19">
        <f t="shared" si="45"/>
        <v>1</v>
      </c>
      <c r="H237" s="665"/>
      <c r="I237" s="19">
        <f t="shared" si="46"/>
        <v>1</v>
      </c>
      <c r="J237" s="665"/>
      <c r="K237" s="19">
        <f t="shared" si="47"/>
        <v>1</v>
      </c>
      <c r="L237" s="665"/>
      <c r="M237" s="19">
        <f t="shared" si="48"/>
        <v>1</v>
      </c>
      <c r="N237" s="665"/>
      <c r="O237" s="19">
        <f t="shared" si="49"/>
        <v>1</v>
      </c>
      <c r="P237" s="665"/>
      <c r="Q237" s="19">
        <f t="shared" si="50"/>
        <v>1</v>
      </c>
      <c r="R237" s="661">
        <f t="shared" si="51"/>
        <v>0</v>
      </c>
      <c r="S237" s="314">
        <f t="shared" si="52"/>
        <v>0</v>
      </c>
    </row>
    <row r="238" spans="1:19">
      <c r="A238" s="148"/>
      <c r="B238" s="52"/>
      <c r="C238" s="19">
        <f t="shared" si="43"/>
        <v>1</v>
      </c>
      <c r="D238" s="665"/>
      <c r="E238" s="19">
        <f t="shared" si="44"/>
        <v>1</v>
      </c>
      <c r="F238" s="665"/>
      <c r="G238" s="19">
        <f t="shared" si="45"/>
        <v>1</v>
      </c>
      <c r="H238" s="665"/>
      <c r="I238" s="19">
        <f t="shared" si="46"/>
        <v>1</v>
      </c>
      <c r="J238" s="665"/>
      <c r="K238" s="19">
        <f t="shared" si="47"/>
        <v>1</v>
      </c>
      <c r="L238" s="665"/>
      <c r="M238" s="19">
        <f t="shared" si="48"/>
        <v>1</v>
      </c>
      <c r="N238" s="665"/>
      <c r="O238" s="19">
        <f t="shared" si="49"/>
        <v>1</v>
      </c>
      <c r="P238" s="665"/>
      <c r="Q238" s="19">
        <f t="shared" si="50"/>
        <v>1</v>
      </c>
      <c r="R238" s="661">
        <f t="shared" si="51"/>
        <v>0</v>
      </c>
      <c r="S238" s="314">
        <f t="shared" si="52"/>
        <v>0</v>
      </c>
    </row>
    <row r="239" spans="1:19">
      <c r="A239" s="148"/>
      <c r="B239" s="52"/>
      <c r="C239" s="19">
        <f t="shared" si="43"/>
        <v>1</v>
      </c>
      <c r="D239" s="665"/>
      <c r="E239" s="19">
        <f t="shared" si="44"/>
        <v>1</v>
      </c>
      <c r="F239" s="665"/>
      <c r="G239" s="19">
        <f t="shared" si="45"/>
        <v>1</v>
      </c>
      <c r="H239" s="665"/>
      <c r="I239" s="19">
        <f t="shared" si="46"/>
        <v>1</v>
      </c>
      <c r="J239" s="665"/>
      <c r="K239" s="19">
        <f t="shared" si="47"/>
        <v>1</v>
      </c>
      <c r="L239" s="665"/>
      <c r="M239" s="19">
        <f t="shared" si="48"/>
        <v>1</v>
      </c>
      <c r="N239" s="665"/>
      <c r="O239" s="19">
        <f t="shared" si="49"/>
        <v>1</v>
      </c>
      <c r="P239" s="665"/>
      <c r="Q239" s="19">
        <f t="shared" si="50"/>
        <v>1</v>
      </c>
      <c r="R239" s="661">
        <f t="shared" si="51"/>
        <v>0</v>
      </c>
      <c r="S239" s="314">
        <f t="shared" si="52"/>
        <v>0</v>
      </c>
    </row>
    <row r="240" spans="1:19">
      <c r="A240" s="148"/>
      <c r="B240" s="52"/>
      <c r="C240" s="19">
        <f t="shared" si="43"/>
        <v>1</v>
      </c>
      <c r="D240" s="665"/>
      <c r="E240" s="19">
        <f t="shared" si="44"/>
        <v>1</v>
      </c>
      <c r="F240" s="665"/>
      <c r="G240" s="19">
        <f t="shared" si="45"/>
        <v>1</v>
      </c>
      <c r="H240" s="665"/>
      <c r="I240" s="19">
        <f t="shared" si="46"/>
        <v>1</v>
      </c>
      <c r="J240" s="665"/>
      <c r="K240" s="19">
        <f t="shared" si="47"/>
        <v>1</v>
      </c>
      <c r="L240" s="665"/>
      <c r="M240" s="19">
        <f t="shared" si="48"/>
        <v>1</v>
      </c>
      <c r="N240" s="665"/>
      <c r="O240" s="19">
        <f t="shared" si="49"/>
        <v>1</v>
      </c>
      <c r="P240" s="665"/>
      <c r="Q240" s="19">
        <f t="shared" si="50"/>
        <v>1</v>
      </c>
      <c r="R240" s="661">
        <f t="shared" si="51"/>
        <v>0</v>
      </c>
      <c r="S240" s="314">
        <f t="shared" si="52"/>
        <v>0</v>
      </c>
    </row>
    <row r="241" spans="1:19">
      <c r="A241" s="148"/>
      <c r="B241" s="52"/>
      <c r="C241" s="19">
        <f t="shared" si="43"/>
        <v>1</v>
      </c>
      <c r="D241" s="665"/>
      <c r="E241" s="19">
        <f t="shared" si="44"/>
        <v>1</v>
      </c>
      <c r="F241" s="665"/>
      <c r="G241" s="19">
        <f t="shared" si="45"/>
        <v>1</v>
      </c>
      <c r="H241" s="665"/>
      <c r="I241" s="19">
        <f t="shared" si="46"/>
        <v>1</v>
      </c>
      <c r="J241" s="665"/>
      <c r="K241" s="19">
        <f t="shared" si="47"/>
        <v>1</v>
      </c>
      <c r="L241" s="665"/>
      <c r="M241" s="19">
        <f t="shared" si="48"/>
        <v>1</v>
      </c>
      <c r="N241" s="665"/>
      <c r="O241" s="19">
        <f t="shared" si="49"/>
        <v>1</v>
      </c>
      <c r="P241" s="665"/>
      <c r="Q241" s="19">
        <f t="shared" si="50"/>
        <v>1</v>
      </c>
      <c r="R241" s="661">
        <f t="shared" si="51"/>
        <v>0</v>
      </c>
      <c r="S241" s="314">
        <f t="shared" si="52"/>
        <v>0</v>
      </c>
    </row>
    <row r="242" spans="1:19">
      <c r="A242" s="148"/>
      <c r="B242" s="52"/>
      <c r="C242" s="19">
        <f t="shared" si="43"/>
        <v>1</v>
      </c>
      <c r="D242" s="665"/>
      <c r="E242" s="19">
        <f t="shared" si="44"/>
        <v>1</v>
      </c>
      <c r="F242" s="665"/>
      <c r="G242" s="19">
        <f t="shared" si="45"/>
        <v>1</v>
      </c>
      <c r="H242" s="665"/>
      <c r="I242" s="19">
        <f t="shared" si="46"/>
        <v>1</v>
      </c>
      <c r="J242" s="665"/>
      <c r="K242" s="19">
        <f t="shared" si="47"/>
        <v>1</v>
      </c>
      <c r="L242" s="665"/>
      <c r="M242" s="19">
        <f t="shared" si="48"/>
        <v>1</v>
      </c>
      <c r="N242" s="665"/>
      <c r="O242" s="19">
        <f t="shared" si="49"/>
        <v>1</v>
      </c>
      <c r="P242" s="665"/>
      <c r="Q242" s="19">
        <f t="shared" si="50"/>
        <v>1</v>
      </c>
      <c r="R242" s="661">
        <f t="shared" si="51"/>
        <v>0</v>
      </c>
      <c r="S242" s="314">
        <f t="shared" si="52"/>
        <v>0</v>
      </c>
    </row>
    <row r="243" spans="1:19">
      <c r="A243" s="148"/>
      <c r="B243" s="52"/>
      <c r="C243" s="19">
        <f t="shared" si="43"/>
        <v>1</v>
      </c>
      <c r="D243" s="665"/>
      <c r="E243" s="19">
        <f t="shared" si="44"/>
        <v>1</v>
      </c>
      <c r="F243" s="665"/>
      <c r="G243" s="19">
        <f t="shared" si="45"/>
        <v>1</v>
      </c>
      <c r="H243" s="665"/>
      <c r="I243" s="19">
        <f t="shared" si="46"/>
        <v>1</v>
      </c>
      <c r="J243" s="665"/>
      <c r="K243" s="19">
        <f t="shared" si="47"/>
        <v>1</v>
      </c>
      <c r="L243" s="665"/>
      <c r="M243" s="19">
        <f t="shared" si="48"/>
        <v>1</v>
      </c>
      <c r="N243" s="665"/>
      <c r="O243" s="19">
        <f t="shared" si="49"/>
        <v>1</v>
      </c>
      <c r="P243" s="665"/>
      <c r="Q243" s="19">
        <f t="shared" si="50"/>
        <v>1</v>
      </c>
      <c r="R243" s="661">
        <f t="shared" si="51"/>
        <v>0</v>
      </c>
      <c r="S243" s="314">
        <f t="shared" si="52"/>
        <v>0</v>
      </c>
    </row>
    <row r="244" spans="1:19">
      <c r="A244" s="148"/>
      <c r="B244" s="52"/>
      <c r="C244" s="19">
        <f t="shared" si="43"/>
        <v>1</v>
      </c>
      <c r="D244" s="665"/>
      <c r="E244" s="19">
        <f t="shared" si="44"/>
        <v>1</v>
      </c>
      <c r="F244" s="665"/>
      <c r="G244" s="19">
        <f t="shared" si="45"/>
        <v>1</v>
      </c>
      <c r="H244" s="665"/>
      <c r="I244" s="19">
        <f t="shared" si="46"/>
        <v>1</v>
      </c>
      <c r="J244" s="665"/>
      <c r="K244" s="19">
        <f t="shared" si="47"/>
        <v>1</v>
      </c>
      <c r="L244" s="665"/>
      <c r="M244" s="19">
        <f t="shared" si="48"/>
        <v>1</v>
      </c>
      <c r="N244" s="665"/>
      <c r="O244" s="19">
        <f t="shared" si="49"/>
        <v>1</v>
      </c>
      <c r="P244" s="665"/>
      <c r="Q244" s="19">
        <f t="shared" si="50"/>
        <v>1</v>
      </c>
      <c r="R244" s="661">
        <f t="shared" si="51"/>
        <v>0</v>
      </c>
      <c r="S244" s="314">
        <f t="shared" si="52"/>
        <v>0</v>
      </c>
    </row>
    <row r="245" spans="1:19">
      <c r="A245" s="148"/>
      <c r="B245" s="52"/>
      <c r="C245" s="19">
        <f t="shared" si="43"/>
        <v>1</v>
      </c>
      <c r="D245" s="665"/>
      <c r="E245" s="19">
        <f t="shared" si="44"/>
        <v>1</v>
      </c>
      <c r="F245" s="665"/>
      <c r="G245" s="19">
        <f t="shared" si="45"/>
        <v>1</v>
      </c>
      <c r="H245" s="665"/>
      <c r="I245" s="19">
        <f t="shared" si="46"/>
        <v>1</v>
      </c>
      <c r="J245" s="665"/>
      <c r="K245" s="19">
        <f t="shared" si="47"/>
        <v>1</v>
      </c>
      <c r="L245" s="665"/>
      <c r="M245" s="19">
        <f t="shared" si="48"/>
        <v>1</v>
      </c>
      <c r="N245" s="665"/>
      <c r="O245" s="19">
        <f t="shared" si="49"/>
        <v>1</v>
      </c>
      <c r="P245" s="665"/>
      <c r="Q245" s="19">
        <f t="shared" si="50"/>
        <v>1</v>
      </c>
      <c r="R245" s="661">
        <f t="shared" si="51"/>
        <v>0</v>
      </c>
      <c r="S245" s="314">
        <f t="shared" si="52"/>
        <v>0</v>
      </c>
    </row>
    <row r="246" spans="1:19">
      <c r="A246" s="148"/>
      <c r="B246" s="52"/>
      <c r="C246" s="19">
        <f t="shared" si="43"/>
        <v>1</v>
      </c>
      <c r="D246" s="665"/>
      <c r="E246" s="19">
        <f t="shared" si="44"/>
        <v>1</v>
      </c>
      <c r="F246" s="665"/>
      <c r="G246" s="19">
        <f t="shared" si="45"/>
        <v>1</v>
      </c>
      <c r="H246" s="665"/>
      <c r="I246" s="19">
        <f t="shared" si="46"/>
        <v>1</v>
      </c>
      <c r="J246" s="665"/>
      <c r="K246" s="19">
        <f t="shared" si="47"/>
        <v>1</v>
      </c>
      <c r="L246" s="665"/>
      <c r="M246" s="19">
        <f t="shared" si="48"/>
        <v>1</v>
      </c>
      <c r="N246" s="665"/>
      <c r="O246" s="19">
        <f t="shared" si="49"/>
        <v>1</v>
      </c>
      <c r="P246" s="665"/>
      <c r="Q246" s="19">
        <f t="shared" si="50"/>
        <v>1</v>
      </c>
      <c r="R246" s="661">
        <f t="shared" si="51"/>
        <v>0</v>
      </c>
      <c r="S246" s="314">
        <f t="shared" si="52"/>
        <v>0</v>
      </c>
    </row>
    <row r="247" spans="1:19">
      <c r="A247" s="148"/>
      <c r="B247" s="52"/>
      <c r="C247" s="19">
        <f t="shared" si="43"/>
        <v>1</v>
      </c>
      <c r="D247" s="665"/>
      <c r="E247" s="19">
        <f t="shared" si="44"/>
        <v>1</v>
      </c>
      <c r="F247" s="665"/>
      <c r="G247" s="19">
        <f t="shared" si="45"/>
        <v>1</v>
      </c>
      <c r="H247" s="665"/>
      <c r="I247" s="19">
        <f t="shared" si="46"/>
        <v>1</v>
      </c>
      <c r="J247" s="665"/>
      <c r="K247" s="19">
        <f t="shared" si="47"/>
        <v>1</v>
      </c>
      <c r="L247" s="665"/>
      <c r="M247" s="19">
        <f t="shared" si="48"/>
        <v>1</v>
      </c>
      <c r="N247" s="665"/>
      <c r="O247" s="19">
        <f t="shared" si="49"/>
        <v>1</v>
      </c>
      <c r="P247" s="665"/>
      <c r="Q247" s="19">
        <f t="shared" si="50"/>
        <v>1</v>
      </c>
      <c r="R247" s="661">
        <f t="shared" si="51"/>
        <v>0</v>
      </c>
      <c r="S247" s="314">
        <f t="shared" si="52"/>
        <v>0</v>
      </c>
    </row>
    <row r="248" spans="1:19">
      <c r="A248" s="148"/>
      <c r="B248" s="52"/>
      <c r="C248" s="19">
        <f t="shared" si="43"/>
        <v>1</v>
      </c>
      <c r="D248" s="665"/>
      <c r="E248" s="19">
        <f t="shared" si="44"/>
        <v>1</v>
      </c>
      <c r="F248" s="665"/>
      <c r="G248" s="19">
        <f t="shared" si="45"/>
        <v>1</v>
      </c>
      <c r="H248" s="665"/>
      <c r="I248" s="19">
        <f t="shared" si="46"/>
        <v>1</v>
      </c>
      <c r="J248" s="665"/>
      <c r="K248" s="19">
        <f t="shared" si="47"/>
        <v>1</v>
      </c>
      <c r="L248" s="665"/>
      <c r="M248" s="19">
        <f t="shared" si="48"/>
        <v>1</v>
      </c>
      <c r="N248" s="665"/>
      <c r="O248" s="19">
        <f t="shared" si="49"/>
        <v>1</v>
      </c>
      <c r="P248" s="665"/>
      <c r="Q248" s="19">
        <f t="shared" si="50"/>
        <v>1</v>
      </c>
      <c r="R248" s="661">
        <f t="shared" si="51"/>
        <v>0</v>
      </c>
      <c r="S248" s="314">
        <f t="shared" si="52"/>
        <v>0</v>
      </c>
    </row>
    <row r="249" spans="1:19">
      <c r="A249" s="148"/>
      <c r="B249" s="52"/>
      <c r="C249" s="19">
        <f t="shared" si="43"/>
        <v>1</v>
      </c>
      <c r="D249" s="665"/>
      <c r="E249" s="19">
        <f t="shared" si="44"/>
        <v>1</v>
      </c>
      <c r="F249" s="665"/>
      <c r="G249" s="19">
        <f t="shared" si="45"/>
        <v>1</v>
      </c>
      <c r="H249" s="665"/>
      <c r="I249" s="19">
        <f t="shared" si="46"/>
        <v>1</v>
      </c>
      <c r="J249" s="665"/>
      <c r="K249" s="19">
        <f t="shared" si="47"/>
        <v>1</v>
      </c>
      <c r="L249" s="665"/>
      <c r="M249" s="19">
        <f t="shared" si="48"/>
        <v>1</v>
      </c>
      <c r="N249" s="665"/>
      <c r="O249" s="19">
        <f t="shared" si="49"/>
        <v>1</v>
      </c>
      <c r="P249" s="665"/>
      <c r="Q249" s="19">
        <f t="shared" si="50"/>
        <v>1</v>
      </c>
      <c r="R249" s="661">
        <f t="shared" si="51"/>
        <v>0</v>
      </c>
      <c r="S249" s="314">
        <f t="shared" si="52"/>
        <v>0</v>
      </c>
    </row>
    <row r="250" spans="1:19">
      <c r="A250" s="148"/>
      <c r="B250" s="52"/>
      <c r="C250" s="19">
        <f t="shared" si="43"/>
        <v>1</v>
      </c>
      <c r="D250" s="665"/>
      <c r="E250" s="19">
        <f t="shared" si="44"/>
        <v>1</v>
      </c>
      <c r="F250" s="665"/>
      <c r="G250" s="19">
        <f t="shared" si="45"/>
        <v>1</v>
      </c>
      <c r="H250" s="665"/>
      <c r="I250" s="19">
        <f t="shared" si="46"/>
        <v>1</v>
      </c>
      <c r="J250" s="665"/>
      <c r="K250" s="19">
        <f t="shared" si="47"/>
        <v>1</v>
      </c>
      <c r="L250" s="665"/>
      <c r="M250" s="19">
        <f t="shared" si="48"/>
        <v>1</v>
      </c>
      <c r="N250" s="665"/>
      <c r="O250" s="19">
        <f t="shared" si="49"/>
        <v>1</v>
      </c>
      <c r="P250" s="665"/>
      <c r="Q250" s="19">
        <f t="shared" si="50"/>
        <v>1</v>
      </c>
      <c r="R250" s="661">
        <f t="shared" si="51"/>
        <v>0</v>
      </c>
      <c r="S250" s="314">
        <f t="shared" si="52"/>
        <v>0</v>
      </c>
    </row>
    <row r="251" spans="1:19">
      <c r="A251" s="148"/>
      <c r="B251" s="52"/>
      <c r="C251" s="19">
        <f t="shared" si="43"/>
        <v>1</v>
      </c>
      <c r="D251" s="665"/>
      <c r="E251" s="19">
        <f t="shared" si="44"/>
        <v>1</v>
      </c>
      <c r="F251" s="665"/>
      <c r="G251" s="19">
        <f t="shared" si="45"/>
        <v>1</v>
      </c>
      <c r="H251" s="665"/>
      <c r="I251" s="19">
        <f t="shared" si="46"/>
        <v>1</v>
      </c>
      <c r="J251" s="665"/>
      <c r="K251" s="19">
        <f t="shared" si="47"/>
        <v>1</v>
      </c>
      <c r="L251" s="665"/>
      <c r="M251" s="19">
        <f t="shared" si="48"/>
        <v>1</v>
      </c>
      <c r="N251" s="665"/>
      <c r="O251" s="19">
        <f t="shared" si="49"/>
        <v>1</v>
      </c>
      <c r="P251" s="665"/>
      <c r="Q251" s="19">
        <f t="shared" si="50"/>
        <v>1</v>
      </c>
      <c r="R251" s="661">
        <f t="shared" si="51"/>
        <v>0</v>
      </c>
      <c r="S251" s="314">
        <f t="shared" si="52"/>
        <v>0</v>
      </c>
    </row>
    <row r="252" spans="1:19">
      <c r="A252" s="148"/>
      <c r="B252" s="52"/>
      <c r="C252" s="19">
        <f t="shared" si="43"/>
        <v>1</v>
      </c>
      <c r="D252" s="665"/>
      <c r="E252" s="19">
        <f t="shared" si="44"/>
        <v>1</v>
      </c>
      <c r="F252" s="665"/>
      <c r="G252" s="19">
        <f t="shared" si="45"/>
        <v>1</v>
      </c>
      <c r="H252" s="665"/>
      <c r="I252" s="19">
        <f t="shared" si="46"/>
        <v>1</v>
      </c>
      <c r="J252" s="665"/>
      <c r="K252" s="19">
        <f t="shared" si="47"/>
        <v>1</v>
      </c>
      <c r="L252" s="665"/>
      <c r="M252" s="19">
        <f t="shared" si="48"/>
        <v>1</v>
      </c>
      <c r="N252" s="665"/>
      <c r="O252" s="19">
        <f t="shared" si="49"/>
        <v>1</v>
      </c>
      <c r="P252" s="665"/>
      <c r="Q252" s="19">
        <f t="shared" si="50"/>
        <v>1</v>
      </c>
      <c r="R252" s="661">
        <f t="shared" si="51"/>
        <v>0</v>
      </c>
      <c r="S252" s="314">
        <f t="shared" si="52"/>
        <v>0</v>
      </c>
    </row>
    <row r="253" spans="1:19">
      <c r="A253" s="148"/>
      <c r="B253" s="52"/>
      <c r="C253" s="19">
        <f t="shared" si="43"/>
        <v>1</v>
      </c>
      <c r="D253" s="665"/>
      <c r="E253" s="19">
        <f t="shared" si="44"/>
        <v>1</v>
      </c>
      <c r="F253" s="665"/>
      <c r="G253" s="19">
        <f t="shared" si="45"/>
        <v>1</v>
      </c>
      <c r="H253" s="665"/>
      <c r="I253" s="19">
        <f t="shared" si="46"/>
        <v>1</v>
      </c>
      <c r="J253" s="665"/>
      <c r="K253" s="19">
        <f t="shared" si="47"/>
        <v>1</v>
      </c>
      <c r="L253" s="665"/>
      <c r="M253" s="19">
        <f t="shared" si="48"/>
        <v>1</v>
      </c>
      <c r="N253" s="665"/>
      <c r="O253" s="19">
        <f t="shared" si="49"/>
        <v>1</v>
      </c>
      <c r="P253" s="665"/>
      <c r="Q253" s="19">
        <f t="shared" si="50"/>
        <v>1</v>
      </c>
      <c r="R253" s="661">
        <f t="shared" si="51"/>
        <v>0</v>
      </c>
      <c r="S253" s="314">
        <f t="shared" si="52"/>
        <v>0</v>
      </c>
    </row>
    <row r="254" spans="1:19">
      <c r="A254" s="148"/>
      <c r="B254" s="52"/>
      <c r="C254" s="19">
        <f t="shared" si="43"/>
        <v>1</v>
      </c>
      <c r="D254" s="665"/>
      <c r="E254" s="19">
        <f t="shared" si="44"/>
        <v>1</v>
      </c>
      <c r="F254" s="665"/>
      <c r="G254" s="19">
        <f t="shared" si="45"/>
        <v>1</v>
      </c>
      <c r="H254" s="665"/>
      <c r="I254" s="19">
        <f t="shared" si="46"/>
        <v>1</v>
      </c>
      <c r="J254" s="665"/>
      <c r="K254" s="19">
        <f t="shared" si="47"/>
        <v>1</v>
      </c>
      <c r="L254" s="665"/>
      <c r="M254" s="19">
        <f t="shared" si="48"/>
        <v>1</v>
      </c>
      <c r="N254" s="665"/>
      <c r="O254" s="19">
        <f t="shared" si="49"/>
        <v>1</v>
      </c>
      <c r="P254" s="665"/>
      <c r="Q254" s="19">
        <f t="shared" si="50"/>
        <v>1</v>
      </c>
      <c r="R254" s="661">
        <f t="shared" si="51"/>
        <v>0</v>
      </c>
      <c r="S254" s="314">
        <f t="shared" si="52"/>
        <v>0</v>
      </c>
    </row>
    <row r="255" spans="1:19">
      <c r="A255" s="148"/>
      <c r="B255" s="52"/>
      <c r="C255" s="19">
        <f t="shared" si="43"/>
        <v>1</v>
      </c>
      <c r="D255" s="665"/>
      <c r="E255" s="19">
        <f t="shared" si="44"/>
        <v>1</v>
      </c>
      <c r="F255" s="665"/>
      <c r="G255" s="19">
        <f t="shared" si="45"/>
        <v>1</v>
      </c>
      <c r="H255" s="665"/>
      <c r="I255" s="19">
        <f t="shared" si="46"/>
        <v>1</v>
      </c>
      <c r="J255" s="665"/>
      <c r="K255" s="19">
        <f t="shared" si="47"/>
        <v>1</v>
      </c>
      <c r="L255" s="665"/>
      <c r="M255" s="19">
        <f t="shared" si="48"/>
        <v>1</v>
      </c>
      <c r="N255" s="665"/>
      <c r="O255" s="19">
        <f t="shared" si="49"/>
        <v>1</v>
      </c>
      <c r="P255" s="665"/>
      <c r="Q255" s="19">
        <f t="shared" si="50"/>
        <v>1</v>
      </c>
      <c r="R255" s="661">
        <f t="shared" si="51"/>
        <v>0</v>
      </c>
      <c r="S255" s="314">
        <f t="shared" si="52"/>
        <v>0</v>
      </c>
    </row>
    <row r="256" spans="1:19">
      <c r="A256" s="148"/>
      <c r="B256" s="52"/>
      <c r="C256" s="19">
        <f t="shared" si="43"/>
        <v>1</v>
      </c>
      <c r="D256" s="665"/>
      <c r="E256" s="19">
        <f t="shared" si="44"/>
        <v>1</v>
      </c>
      <c r="F256" s="665"/>
      <c r="G256" s="19">
        <f t="shared" si="45"/>
        <v>1</v>
      </c>
      <c r="H256" s="665"/>
      <c r="I256" s="19">
        <f t="shared" si="46"/>
        <v>1</v>
      </c>
      <c r="J256" s="665"/>
      <c r="K256" s="19">
        <f t="shared" si="47"/>
        <v>1</v>
      </c>
      <c r="L256" s="665"/>
      <c r="M256" s="19">
        <f t="shared" si="48"/>
        <v>1</v>
      </c>
      <c r="N256" s="665"/>
      <c r="O256" s="19">
        <f t="shared" si="49"/>
        <v>1</v>
      </c>
      <c r="P256" s="665"/>
      <c r="Q256" s="19">
        <f t="shared" si="50"/>
        <v>1</v>
      </c>
      <c r="R256" s="661">
        <f t="shared" si="51"/>
        <v>0</v>
      </c>
      <c r="S256" s="314">
        <f t="shared" si="52"/>
        <v>0</v>
      </c>
    </row>
    <row r="257" spans="1:19">
      <c r="A257" s="148"/>
      <c r="B257" s="52"/>
      <c r="C257" s="19">
        <f t="shared" si="43"/>
        <v>1</v>
      </c>
      <c r="D257" s="665"/>
      <c r="E257" s="19">
        <f t="shared" si="44"/>
        <v>1</v>
      </c>
      <c r="F257" s="665"/>
      <c r="G257" s="19">
        <f t="shared" si="45"/>
        <v>1</v>
      </c>
      <c r="H257" s="665"/>
      <c r="I257" s="19">
        <f t="shared" si="46"/>
        <v>1</v>
      </c>
      <c r="J257" s="665"/>
      <c r="K257" s="19">
        <f t="shared" si="47"/>
        <v>1</v>
      </c>
      <c r="L257" s="665"/>
      <c r="M257" s="19">
        <f t="shared" si="48"/>
        <v>1</v>
      </c>
      <c r="N257" s="665"/>
      <c r="O257" s="19">
        <f t="shared" si="49"/>
        <v>1</v>
      </c>
      <c r="P257" s="665"/>
      <c r="Q257" s="19">
        <f t="shared" si="50"/>
        <v>1</v>
      </c>
      <c r="R257" s="661">
        <f t="shared" si="51"/>
        <v>0</v>
      </c>
      <c r="S257" s="314">
        <f t="shared" si="52"/>
        <v>0</v>
      </c>
    </row>
    <row r="258" spans="1:19">
      <c r="A258" s="148"/>
      <c r="B258" s="52"/>
      <c r="C258" s="19">
        <f t="shared" si="43"/>
        <v>1</v>
      </c>
      <c r="D258" s="665"/>
      <c r="E258" s="19">
        <f t="shared" si="44"/>
        <v>1</v>
      </c>
      <c r="F258" s="665"/>
      <c r="G258" s="19">
        <f t="shared" si="45"/>
        <v>1</v>
      </c>
      <c r="H258" s="665"/>
      <c r="I258" s="19">
        <f t="shared" si="46"/>
        <v>1</v>
      </c>
      <c r="J258" s="665"/>
      <c r="K258" s="19">
        <f t="shared" si="47"/>
        <v>1</v>
      </c>
      <c r="L258" s="665"/>
      <c r="M258" s="19">
        <f t="shared" si="48"/>
        <v>1</v>
      </c>
      <c r="N258" s="665"/>
      <c r="O258" s="19">
        <f t="shared" si="49"/>
        <v>1</v>
      </c>
      <c r="P258" s="665"/>
      <c r="Q258" s="19">
        <f t="shared" si="50"/>
        <v>1</v>
      </c>
      <c r="R258" s="661">
        <f t="shared" si="51"/>
        <v>0</v>
      </c>
      <c r="S258" s="314">
        <f t="shared" si="52"/>
        <v>0</v>
      </c>
    </row>
    <row r="259" spans="1:19">
      <c r="A259" s="148"/>
      <c r="B259" s="52"/>
      <c r="C259" s="19">
        <f t="shared" si="43"/>
        <v>1</v>
      </c>
      <c r="D259" s="665"/>
      <c r="E259" s="19">
        <f t="shared" si="44"/>
        <v>1</v>
      </c>
      <c r="F259" s="665"/>
      <c r="G259" s="19">
        <f t="shared" si="45"/>
        <v>1</v>
      </c>
      <c r="H259" s="665"/>
      <c r="I259" s="19">
        <f t="shared" si="46"/>
        <v>1</v>
      </c>
      <c r="J259" s="665"/>
      <c r="K259" s="19">
        <f t="shared" si="47"/>
        <v>1</v>
      </c>
      <c r="L259" s="665"/>
      <c r="M259" s="19">
        <f t="shared" si="48"/>
        <v>1</v>
      </c>
      <c r="N259" s="665"/>
      <c r="O259" s="19">
        <f t="shared" si="49"/>
        <v>1</v>
      </c>
      <c r="P259" s="665"/>
      <c r="Q259" s="19">
        <f t="shared" si="50"/>
        <v>1</v>
      </c>
      <c r="R259" s="661">
        <f t="shared" si="51"/>
        <v>0</v>
      </c>
      <c r="S259" s="314">
        <f t="shared" si="52"/>
        <v>0</v>
      </c>
    </row>
    <row r="260" spans="1:19">
      <c r="A260" s="148"/>
      <c r="B260" s="52"/>
      <c r="C260" s="19">
        <f t="shared" si="43"/>
        <v>1</v>
      </c>
      <c r="D260" s="665"/>
      <c r="E260" s="19">
        <f t="shared" si="44"/>
        <v>1</v>
      </c>
      <c r="F260" s="665"/>
      <c r="G260" s="19">
        <f t="shared" si="45"/>
        <v>1</v>
      </c>
      <c r="H260" s="665"/>
      <c r="I260" s="19">
        <f t="shared" si="46"/>
        <v>1</v>
      </c>
      <c r="J260" s="665"/>
      <c r="K260" s="19">
        <f t="shared" si="47"/>
        <v>1</v>
      </c>
      <c r="L260" s="665"/>
      <c r="M260" s="19">
        <f t="shared" si="48"/>
        <v>1</v>
      </c>
      <c r="N260" s="665"/>
      <c r="O260" s="19">
        <f t="shared" si="49"/>
        <v>1</v>
      </c>
      <c r="P260" s="665"/>
      <c r="Q260" s="19">
        <f t="shared" si="50"/>
        <v>1</v>
      </c>
      <c r="R260" s="661">
        <f t="shared" si="51"/>
        <v>0</v>
      </c>
      <c r="S260" s="314">
        <f t="shared" si="52"/>
        <v>0</v>
      </c>
    </row>
    <row r="261" spans="1:19">
      <c r="A261" s="148"/>
      <c r="B261" s="52"/>
      <c r="C261" s="19">
        <f t="shared" si="43"/>
        <v>1</v>
      </c>
      <c r="D261" s="665"/>
      <c r="E261" s="19">
        <f t="shared" si="44"/>
        <v>1</v>
      </c>
      <c r="F261" s="665"/>
      <c r="G261" s="19">
        <f t="shared" si="45"/>
        <v>1</v>
      </c>
      <c r="H261" s="665"/>
      <c r="I261" s="19">
        <f t="shared" si="46"/>
        <v>1</v>
      </c>
      <c r="J261" s="665"/>
      <c r="K261" s="19">
        <f t="shared" si="47"/>
        <v>1</v>
      </c>
      <c r="L261" s="665"/>
      <c r="M261" s="19">
        <f t="shared" si="48"/>
        <v>1</v>
      </c>
      <c r="N261" s="665"/>
      <c r="O261" s="19">
        <f t="shared" si="49"/>
        <v>1</v>
      </c>
      <c r="P261" s="665"/>
      <c r="Q261" s="19">
        <f t="shared" si="50"/>
        <v>1</v>
      </c>
      <c r="R261" s="661">
        <f t="shared" si="51"/>
        <v>0</v>
      </c>
      <c r="S261" s="314">
        <f t="shared" si="52"/>
        <v>0</v>
      </c>
    </row>
    <row r="262" spans="1:19">
      <c r="A262" s="148"/>
      <c r="B262" s="52"/>
      <c r="C262" s="19">
        <f t="shared" si="43"/>
        <v>1</v>
      </c>
      <c r="D262" s="665"/>
      <c r="E262" s="19">
        <f t="shared" si="44"/>
        <v>1</v>
      </c>
      <c r="F262" s="665"/>
      <c r="G262" s="19">
        <f t="shared" si="45"/>
        <v>1</v>
      </c>
      <c r="H262" s="665"/>
      <c r="I262" s="19">
        <f t="shared" si="46"/>
        <v>1</v>
      </c>
      <c r="J262" s="665"/>
      <c r="K262" s="19">
        <f t="shared" si="47"/>
        <v>1</v>
      </c>
      <c r="L262" s="665"/>
      <c r="M262" s="19">
        <f t="shared" si="48"/>
        <v>1</v>
      </c>
      <c r="N262" s="665"/>
      <c r="O262" s="19">
        <f t="shared" si="49"/>
        <v>1</v>
      </c>
      <c r="P262" s="665"/>
      <c r="Q262" s="19">
        <f t="shared" si="50"/>
        <v>1</v>
      </c>
      <c r="R262" s="661">
        <f t="shared" si="51"/>
        <v>0</v>
      </c>
      <c r="S262" s="314">
        <f t="shared" si="52"/>
        <v>0</v>
      </c>
    </row>
    <row r="263" spans="1:19">
      <c r="A263" s="148"/>
      <c r="B263" s="52"/>
      <c r="C263" s="19">
        <f t="shared" si="43"/>
        <v>1</v>
      </c>
      <c r="D263" s="665"/>
      <c r="E263" s="19">
        <f t="shared" si="44"/>
        <v>1</v>
      </c>
      <c r="F263" s="665"/>
      <c r="G263" s="19">
        <f t="shared" si="45"/>
        <v>1</v>
      </c>
      <c r="H263" s="665"/>
      <c r="I263" s="19">
        <f t="shared" si="46"/>
        <v>1</v>
      </c>
      <c r="J263" s="665"/>
      <c r="K263" s="19">
        <f t="shared" si="47"/>
        <v>1</v>
      </c>
      <c r="L263" s="665"/>
      <c r="M263" s="19">
        <f t="shared" si="48"/>
        <v>1</v>
      </c>
      <c r="N263" s="665"/>
      <c r="O263" s="19">
        <f t="shared" si="49"/>
        <v>1</v>
      </c>
      <c r="P263" s="665"/>
      <c r="Q263" s="19">
        <f t="shared" si="50"/>
        <v>1</v>
      </c>
      <c r="R263" s="661">
        <f t="shared" si="51"/>
        <v>0</v>
      </c>
      <c r="S263" s="314">
        <f t="shared" si="52"/>
        <v>0</v>
      </c>
    </row>
    <row r="264" spans="1:19">
      <c r="A264" s="148"/>
      <c r="B264" s="52"/>
      <c r="C264" s="19">
        <f t="shared" si="43"/>
        <v>1</v>
      </c>
      <c r="D264" s="665"/>
      <c r="E264" s="19">
        <f t="shared" si="44"/>
        <v>1</v>
      </c>
      <c r="F264" s="665"/>
      <c r="G264" s="19">
        <f t="shared" si="45"/>
        <v>1</v>
      </c>
      <c r="H264" s="665"/>
      <c r="I264" s="19">
        <f t="shared" si="46"/>
        <v>1</v>
      </c>
      <c r="J264" s="665"/>
      <c r="K264" s="19">
        <f t="shared" si="47"/>
        <v>1</v>
      </c>
      <c r="L264" s="665"/>
      <c r="M264" s="19">
        <f t="shared" si="48"/>
        <v>1</v>
      </c>
      <c r="N264" s="665"/>
      <c r="O264" s="19">
        <f t="shared" si="49"/>
        <v>1</v>
      </c>
      <c r="P264" s="665"/>
      <c r="Q264" s="19">
        <f t="shared" si="50"/>
        <v>1</v>
      </c>
      <c r="R264" s="661">
        <f t="shared" si="51"/>
        <v>0</v>
      </c>
      <c r="S264" s="314">
        <f t="shared" si="52"/>
        <v>0</v>
      </c>
    </row>
    <row r="265" spans="1:19">
      <c r="A265" s="148"/>
      <c r="B265" s="52"/>
      <c r="C265" s="19">
        <f t="shared" si="43"/>
        <v>1</v>
      </c>
      <c r="D265" s="665"/>
      <c r="E265" s="19">
        <f t="shared" si="44"/>
        <v>1</v>
      </c>
      <c r="F265" s="665"/>
      <c r="G265" s="19">
        <f t="shared" si="45"/>
        <v>1</v>
      </c>
      <c r="H265" s="665"/>
      <c r="I265" s="19">
        <f t="shared" si="46"/>
        <v>1</v>
      </c>
      <c r="J265" s="665"/>
      <c r="K265" s="19">
        <f t="shared" si="47"/>
        <v>1</v>
      </c>
      <c r="L265" s="665"/>
      <c r="M265" s="19">
        <f t="shared" si="48"/>
        <v>1</v>
      </c>
      <c r="N265" s="665"/>
      <c r="O265" s="19">
        <f t="shared" si="49"/>
        <v>1</v>
      </c>
      <c r="P265" s="665"/>
      <c r="Q265" s="19">
        <f t="shared" si="50"/>
        <v>1</v>
      </c>
      <c r="R265" s="661">
        <f t="shared" si="51"/>
        <v>0</v>
      </c>
      <c r="S265" s="314">
        <f t="shared" si="52"/>
        <v>0</v>
      </c>
    </row>
    <row r="266" spans="1:19">
      <c r="A266" s="148"/>
      <c r="B266" s="52"/>
      <c r="C266" s="19">
        <f t="shared" si="43"/>
        <v>1</v>
      </c>
      <c r="D266" s="665"/>
      <c r="E266" s="19">
        <f t="shared" si="44"/>
        <v>1</v>
      </c>
      <c r="F266" s="665"/>
      <c r="G266" s="19">
        <f t="shared" si="45"/>
        <v>1</v>
      </c>
      <c r="H266" s="665"/>
      <c r="I266" s="19">
        <f t="shared" si="46"/>
        <v>1</v>
      </c>
      <c r="J266" s="665"/>
      <c r="K266" s="19">
        <f t="shared" si="47"/>
        <v>1</v>
      </c>
      <c r="L266" s="665"/>
      <c r="M266" s="19">
        <f t="shared" si="48"/>
        <v>1</v>
      </c>
      <c r="N266" s="665"/>
      <c r="O266" s="19">
        <f t="shared" si="49"/>
        <v>1</v>
      </c>
      <c r="P266" s="665"/>
      <c r="Q266" s="19">
        <f t="shared" si="50"/>
        <v>1</v>
      </c>
      <c r="R266" s="661">
        <f t="shared" si="51"/>
        <v>0</v>
      </c>
      <c r="S266" s="314">
        <f t="shared" si="52"/>
        <v>0</v>
      </c>
    </row>
    <row r="267" spans="1:19">
      <c r="A267" s="148"/>
      <c r="B267" s="52"/>
      <c r="C267" s="19">
        <f t="shared" si="43"/>
        <v>1</v>
      </c>
      <c r="D267" s="665"/>
      <c r="E267" s="19">
        <f t="shared" si="44"/>
        <v>1</v>
      </c>
      <c r="F267" s="665"/>
      <c r="G267" s="19">
        <f t="shared" si="45"/>
        <v>1</v>
      </c>
      <c r="H267" s="665"/>
      <c r="I267" s="19">
        <f t="shared" si="46"/>
        <v>1</v>
      </c>
      <c r="J267" s="665"/>
      <c r="K267" s="19">
        <f t="shared" si="47"/>
        <v>1</v>
      </c>
      <c r="L267" s="665"/>
      <c r="M267" s="19">
        <f t="shared" si="48"/>
        <v>1</v>
      </c>
      <c r="N267" s="665"/>
      <c r="O267" s="19">
        <f t="shared" si="49"/>
        <v>1</v>
      </c>
      <c r="P267" s="665"/>
      <c r="Q267" s="19">
        <f t="shared" si="50"/>
        <v>1</v>
      </c>
      <c r="R267" s="661">
        <f t="shared" si="51"/>
        <v>0</v>
      </c>
      <c r="S267" s="314">
        <f t="shared" si="52"/>
        <v>0</v>
      </c>
    </row>
    <row r="268" spans="1:19">
      <c r="A268" s="148"/>
      <c r="B268" s="52"/>
      <c r="C268" s="19">
        <f t="shared" si="43"/>
        <v>1</v>
      </c>
      <c r="D268" s="665"/>
      <c r="E268" s="19">
        <f t="shared" si="44"/>
        <v>1</v>
      </c>
      <c r="F268" s="665"/>
      <c r="G268" s="19">
        <f t="shared" si="45"/>
        <v>1</v>
      </c>
      <c r="H268" s="665"/>
      <c r="I268" s="19">
        <f t="shared" si="46"/>
        <v>1</v>
      </c>
      <c r="J268" s="665"/>
      <c r="K268" s="19">
        <f t="shared" si="47"/>
        <v>1</v>
      </c>
      <c r="L268" s="665"/>
      <c r="M268" s="19">
        <f t="shared" si="48"/>
        <v>1</v>
      </c>
      <c r="N268" s="665"/>
      <c r="O268" s="19">
        <f t="shared" si="49"/>
        <v>1</v>
      </c>
      <c r="P268" s="665"/>
      <c r="Q268" s="19">
        <f t="shared" si="50"/>
        <v>1</v>
      </c>
      <c r="R268" s="661">
        <f t="shared" si="51"/>
        <v>0</v>
      </c>
      <c r="S268" s="314">
        <f t="shared" si="52"/>
        <v>0</v>
      </c>
    </row>
    <row r="269" spans="1:19">
      <c r="A269" s="148"/>
      <c r="B269" s="52"/>
      <c r="C269" s="19">
        <f t="shared" si="43"/>
        <v>1</v>
      </c>
      <c r="D269" s="665"/>
      <c r="E269" s="19">
        <f t="shared" si="44"/>
        <v>1</v>
      </c>
      <c r="F269" s="665"/>
      <c r="G269" s="19">
        <f t="shared" si="45"/>
        <v>1</v>
      </c>
      <c r="H269" s="665"/>
      <c r="I269" s="19">
        <f t="shared" si="46"/>
        <v>1</v>
      </c>
      <c r="J269" s="665"/>
      <c r="K269" s="19">
        <f t="shared" si="47"/>
        <v>1</v>
      </c>
      <c r="L269" s="665"/>
      <c r="M269" s="19">
        <f t="shared" si="48"/>
        <v>1</v>
      </c>
      <c r="N269" s="665"/>
      <c r="O269" s="19">
        <f t="shared" si="49"/>
        <v>1</v>
      </c>
      <c r="P269" s="665"/>
      <c r="Q269" s="19">
        <f t="shared" si="50"/>
        <v>1</v>
      </c>
      <c r="R269" s="661">
        <f t="shared" si="51"/>
        <v>0</v>
      </c>
      <c r="S269" s="314">
        <f t="shared" si="52"/>
        <v>0</v>
      </c>
    </row>
    <row r="270" spans="1:19">
      <c r="A270" s="148"/>
      <c r="B270" s="52"/>
      <c r="C270" s="19">
        <f t="shared" si="43"/>
        <v>1</v>
      </c>
      <c r="D270" s="665"/>
      <c r="E270" s="19">
        <f t="shared" si="44"/>
        <v>1</v>
      </c>
      <c r="F270" s="665"/>
      <c r="G270" s="19">
        <f t="shared" si="45"/>
        <v>1</v>
      </c>
      <c r="H270" s="665"/>
      <c r="I270" s="19">
        <f t="shared" si="46"/>
        <v>1</v>
      </c>
      <c r="J270" s="665"/>
      <c r="K270" s="19">
        <f t="shared" si="47"/>
        <v>1</v>
      </c>
      <c r="L270" s="665"/>
      <c r="M270" s="19">
        <f t="shared" si="48"/>
        <v>1</v>
      </c>
      <c r="N270" s="665"/>
      <c r="O270" s="19">
        <f t="shared" si="49"/>
        <v>1</v>
      </c>
      <c r="P270" s="665"/>
      <c r="Q270" s="19">
        <f t="shared" si="50"/>
        <v>1</v>
      </c>
      <c r="R270" s="661">
        <f t="shared" si="51"/>
        <v>0</v>
      </c>
      <c r="S270" s="314">
        <f t="shared" si="52"/>
        <v>0</v>
      </c>
    </row>
    <row r="271" spans="1:19">
      <c r="A271" s="148"/>
      <c r="B271" s="52"/>
      <c r="C271" s="19">
        <f t="shared" si="43"/>
        <v>1</v>
      </c>
      <c r="D271" s="665"/>
      <c r="E271" s="19">
        <f t="shared" si="44"/>
        <v>1</v>
      </c>
      <c r="F271" s="665"/>
      <c r="G271" s="19">
        <f t="shared" si="45"/>
        <v>1</v>
      </c>
      <c r="H271" s="665"/>
      <c r="I271" s="19">
        <f t="shared" si="46"/>
        <v>1</v>
      </c>
      <c r="J271" s="665"/>
      <c r="K271" s="19">
        <f t="shared" si="47"/>
        <v>1</v>
      </c>
      <c r="L271" s="665"/>
      <c r="M271" s="19">
        <f t="shared" si="48"/>
        <v>1</v>
      </c>
      <c r="N271" s="665"/>
      <c r="O271" s="19">
        <f t="shared" si="49"/>
        <v>1</v>
      </c>
      <c r="P271" s="665"/>
      <c r="Q271" s="19">
        <f t="shared" si="50"/>
        <v>1</v>
      </c>
      <c r="R271" s="661">
        <f t="shared" si="51"/>
        <v>0</v>
      </c>
      <c r="S271" s="314">
        <f t="shared" si="52"/>
        <v>0</v>
      </c>
    </row>
    <row r="272" spans="1:19">
      <c r="A272" s="148"/>
      <c r="B272" s="52"/>
      <c r="C272" s="19">
        <f t="shared" si="43"/>
        <v>1</v>
      </c>
      <c r="D272" s="665"/>
      <c r="E272" s="19">
        <f t="shared" si="44"/>
        <v>1</v>
      </c>
      <c r="F272" s="665"/>
      <c r="G272" s="19">
        <f t="shared" si="45"/>
        <v>1</v>
      </c>
      <c r="H272" s="665"/>
      <c r="I272" s="19">
        <f t="shared" si="46"/>
        <v>1</v>
      </c>
      <c r="J272" s="665"/>
      <c r="K272" s="19">
        <f t="shared" si="47"/>
        <v>1</v>
      </c>
      <c r="L272" s="665"/>
      <c r="M272" s="19">
        <f t="shared" si="48"/>
        <v>1</v>
      </c>
      <c r="N272" s="665"/>
      <c r="O272" s="19">
        <f t="shared" si="49"/>
        <v>1</v>
      </c>
      <c r="P272" s="665"/>
      <c r="Q272" s="19">
        <f t="shared" si="50"/>
        <v>1</v>
      </c>
      <c r="R272" s="661">
        <f t="shared" si="51"/>
        <v>0</v>
      </c>
      <c r="S272" s="314">
        <f t="shared" si="52"/>
        <v>0</v>
      </c>
    </row>
    <row r="273" spans="1:19">
      <c r="A273" s="148"/>
      <c r="B273" s="52"/>
      <c r="C273" s="19">
        <f t="shared" si="43"/>
        <v>1</v>
      </c>
      <c r="D273" s="665"/>
      <c r="E273" s="19">
        <f t="shared" si="44"/>
        <v>1</v>
      </c>
      <c r="F273" s="665"/>
      <c r="G273" s="19">
        <f t="shared" si="45"/>
        <v>1</v>
      </c>
      <c r="H273" s="665"/>
      <c r="I273" s="19">
        <f t="shared" si="46"/>
        <v>1</v>
      </c>
      <c r="J273" s="665"/>
      <c r="K273" s="19">
        <f t="shared" si="47"/>
        <v>1</v>
      </c>
      <c r="L273" s="665"/>
      <c r="M273" s="19">
        <f t="shared" si="48"/>
        <v>1</v>
      </c>
      <c r="N273" s="665"/>
      <c r="O273" s="19">
        <f t="shared" si="49"/>
        <v>1</v>
      </c>
      <c r="P273" s="665"/>
      <c r="Q273" s="19">
        <f t="shared" si="50"/>
        <v>1</v>
      </c>
      <c r="R273" s="661">
        <f t="shared" si="51"/>
        <v>0</v>
      </c>
      <c r="S273" s="314">
        <f t="shared" si="52"/>
        <v>0</v>
      </c>
    </row>
    <row r="274" spans="1:19">
      <c r="A274" s="148"/>
      <c r="B274" s="52"/>
      <c r="C274" s="19">
        <f t="shared" si="43"/>
        <v>1</v>
      </c>
      <c r="D274" s="665"/>
      <c r="E274" s="19">
        <f t="shared" si="44"/>
        <v>1</v>
      </c>
      <c r="F274" s="665"/>
      <c r="G274" s="19">
        <f t="shared" si="45"/>
        <v>1</v>
      </c>
      <c r="H274" s="665"/>
      <c r="I274" s="19">
        <f t="shared" si="46"/>
        <v>1</v>
      </c>
      <c r="J274" s="665"/>
      <c r="K274" s="19">
        <f t="shared" si="47"/>
        <v>1</v>
      </c>
      <c r="L274" s="665"/>
      <c r="M274" s="19">
        <f t="shared" si="48"/>
        <v>1</v>
      </c>
      <c r="N274" s="665"/>
      <c r="O274" s="19">
        <f t="shared" si="49"/>
        <v>1</v>
      </c>
      <c r="P274" s="665"/>
      <c r="Q274" s="19">
        <f t="shared" si="50"/>
        <v>1</v>
      </c>
      <c r="R274" s="661">
        <f t="shared" si="51"/>
        <v>0</v>
      </c>
      <c r="S274" s="314">
        <f t="shared" si="52"/>
        <v>0</v>
      </c>
    </row>
    <row r="275" spans="1:19">
      <c r="A275" s="148"/>
      <c r="B275" s="52"/>
      <c r="C275" s="19">
        <f t="shared" si="43"/>
        <v>1</v>
      </c>
      <c r="D275" s="665"/>
      <c r="E275" s="19">
        <f t="shared" si="44"/>
        <v>1</v>
      </c>
      <c r="F275" s="665"/>
      <c r="G275" s="19">
        <f t="shared" si="45"/>
        <v>1</v>
      </c>
      <c r="H275" s="665"/>
      <c r="I275" s="19">
        <f t="shared" si="46"/>
        <v>1</v>
      </c>
      <c r="J275" s="665"/>
      <c r="K275" s="19">
        <f t="shared" si="47"/>
        <v>1</v>
      </c>
      <c r="L275" s="665"/>
      <c r="M275" s="19">
        <f t="shared" si="48"/>
        <v>1</v>
      </c>
      <c r="N275" s="665"/>
      <c r="O275" s="19">
        <f t="shared" si="49"/>
        <v>1</v>
      </c>
      <c r="P275" s="665"/>
      <c r="Q275" s="19">
        <f t="shared" si="50"/>
        <v>1</v>
      </c>
      <c r="R275" s="661">
        <f t="shared" si="51"/>
        <v>0</v>
      </c>
      <c r="S275" s="314">
        <f t="shared" si="52"/>
        <v>0</v>
      </c>
    </row>
    <row r="276" spans="1:19">
      <c r="A276" s="148"/>
      <c r="B276" s="52"/>
      <c r="C276" s="19">
        <f t="shared" si="43"/>
        <v>1</v>
      </c>
      <c r="D276" s="665"/>
      <c r="E276" s="19">
        <f t="shared" si="44"/>
        <v>1</v>
      </c>
      <c r="F276" s="665"/>
      <c r="G276" s="19">
        <f t="shared" si="45"/>
        <v>1</v>
      </c>
      <c r="H276" s="665"/>
      <c r="I276" s="19">
        <f t="shared" si="46"/>
        <v>1</v>
      </c>
      <c r="J276" s="665"/>
      <c r="K276" s="19">
        <f t="shared" si="47"/>
        <v>1</v>
      </c>
      <c r="L276" s="665"/>
      <c r="M276" s="19">
        <f t="shared" si="48"/>
        <v>1</v>
      </c>
      <c r="N276" s="665"/>
      <c r="O276" s="19">
        <f t="shared" si="49"/>
        <v>1</v>
      </c>
      <c r="P276" s="665"/>
      <c r="Q276" s="19">
        <f t="shared" si="50"/>
        <v>1</v>
      </c>
      <c r="R276" s="661">
        <f t="shared" si="51"/>
        <v>0</v>
      </c>
      <c r="S276" s="314">
        <f t="shared" si="52"/>
        <v>0</v>
      </c>
    </row>
    <row r="277" spans="1:19">
      <c r="A277" s="148"/>
      <c r="B277" s="52"/>
      <c r="C277" s="19">
        <f t="shared" si="43"/>
        <v>1</v>
      </c>
      <c r="D277" s="665"/>
      <c r="E277" s="19">
        <f t="shared" si="44"/>
        <v>1</v>
      </c>
      <c r="F277" s="665"/>
      <c r="G277" s="19">
        <f t="shared" si="45"/>
        <v>1</v>
      </c>
      <c r="H277" s="665"/>
      <c r="I277" s="19">
        <f t="shared" si="46"/>
        <v>1</v>
      </c>
      <c r="J277" s="665"/>
      <c r="K277" s="19">
        <f t="shared" si="47"/>
        <v>1</v>
      </c>
      <c r="L277" s="665"/>
      <c r="M277" s="19">
        <f t="shared" si="48"/>
        <v>1</v>
      </c>
      <c r="N277" s="665"/>
      <c r="O277" s="19">
        <f t="shared" si="49"/>
        <v>1</v>
      </c>
      <c r="P277" s="665"/>
      <c r="Q277" s="19">
        <f t="shared" si="50"/>
        <v>1</v>
      </c>
      <c r="R277" s="661">
        <f t="shared" si="51"/>
        <v>0</v>
      </c>
      <c r="S277" s="314">
        <f t="shared" si="52"/>
        <v>0</v>
      </c>
    </row>
    <row r="278" spans="1:19">
      <c r="A278" s="148"/>
      <c r="B278" s="52"/>
      <c r="C278" s="19">
        <f t="shared" si="43"/>
        <v>1</v>
      </c>
      <c r="D278" s="665"/>
      <c r="E278" s="19">
        <f t="shared" si="44"/>
        <v>1</v>
      </c>
      <c r="F278" s="665"/>
      <c r="G278" s="19">
        <f t="shared" si="45"/>
        <v>1</v>
      </c>
      <c r="H278" s="665"/>
      <c r="I278" s="19">
        <f t="shared" si="46"/>
        <v>1</v>
      </c>
      <c r="J278" s="665"/>
      <c r="K278" s="19">
        <f t="shared" si="47"/>
        <v>1</v>
      </c>
      <c r="L278" s="665"/>
      <c r="M278" s="19">
        <f t="shared" si="48"/>
        <v>1</v>
      </c>
      <c r="N278" s="665"/>
      <c r="O278" s="19">
        <f t="shared" si="49"/>
        <v>1</v>
      </c>
      <c r="P278" s="665"/>
      <c r="Q278" s="19">
        <f t="shared" si="50"/>
        <v>1</v>
      </c>
      <c r="R278" s="661">
        <f t="shared" si="51"/>
        <v>0</v>
      </c>
      <c r="S278" s="314">
        <f t="shared" si="52"/>
        <v>0</v>
      </c>
    </row>
    <row r="279" spans="1:19">
      <c r="A279" s="148"/>
      <c r="B279" s="52"/>
      <c r="C279" s="19">
        <f t="shared" si="43"/>
        <v>1</v>
      </c>
      <c r="D279" s="665"/>
      <c r="E279" s="19">
        <f t="shared" si="44"/>
        <v>1</v>
      </c>
      <c r="F279" s="665"/>
      <c r="G279" s="19">
        <f t="shared" si="45"/>
        <v>1</v>
      </c>
      <c r="H279" s="665"/>
      <c r="I279" s="19">
        <f t="shared" si="46"/>
        <v>1</v>
      </c>
      <c r="J279" s="665"/>
      <c r="K279" s="19">
        <f t="shared" si="47"/>
        <v>1</v>
      </c>
      <c r="L279" s="665"/>
      <c r="M279" s="19">
        <f t="shared" si="48"/>
        <v>1</v>
      </c>
      <c r="N279" s="665"/>
      <c r="O279" s="19">
        <f t="shared" si="49"/>
        <v>1</v>
      </c>
      <c r="P279" s="665"/>
      <c r="Q279" s="19">
        <f t="shared" si="50"/>
        <v>1</v>
      </c>
      <c r="R279" s="661">
        <f t="shared" si="51"/>
        <v>0</v>
      </c>
      <c r="S279" s="314">
        <f t="shared" si="52"/>
        <v>0</v>
      </c>
    </row>
    <row r="280" spans="1:19">
      <c r="A280" s="148"/>
      <c r="B280" s="52"/>
      <c r="C280" s="19">
        <f t="shared" si="43"/>
        <v>1</v>
      </c>
      <c r="D280" s="665"/>
      <c r="E280" s="19">
        <f t="shared" si="44"/>
        <v>1</v>
      </c>
      <c r="F280" s="665"/>
      <c r="G280" s="19">
        <f t="shared" si="45"/>
        <v>1</v>
      </c>
      <c r="H280" s="665"/>
      <c r="I280" s="19">
        <f t="shared" si="46"/>
        <v>1</v>
      </c>
      <c r="J280" s="665"/>
      <c r="K280" s="19">
        <f t="shared" si="47"/>
        <v>1</v>
      </c>
      <c r="L280" s="665"/>
      <c r="M280" s="19">
        <f t="shared" si="48"/>
        <v>1</v>
      </c>
      <c r="N280" s="665"/>
      <c r="O280" s="19">
        <f t="shared" si="49"/>
        <v>1</v>
      </c>
      <c r="P280" s="665"/>
      <c r="Q280" s="19">
        <f t="shared" si="50"/>
        <v>1</v>
      </c>
      <c r="R280" s="661">
        <f t="shared" si="51"/>
        <v>0</v>
      </c>
      <c r="S280" s="314">
        <f t="shared" si="52"/>
        <v>0</v>
      </c>
    </row>
    <row r="281" spans="1:19">
      <c r="A281" s="148"/>
      <c r="B281" s="52"/>
      <c r="C281" s="19">
        <f t="shared" si="43"/>
        <v>1</v>
      </c>
      <c r="D281" s="665"/>
      <c r="E281" s="19">
        <f t="shared" si="44"/>
        <v>1</v>
      </c>
      <c r="F281" s="665"/>
      <c r="G281" s="19">
        <f t="shared" si="45"/>
        <v>1</v>
      </c>
      <c r="H281" s="665"/>
      <c r="I281" s="19">
        <f t="shared" si="46"/>
        <v>1</v>
      </c>
      <c r="J281" s="665"/>
      <c r="K281" s="19">
        <f t="shared" si="47"/>
        <v>1</v>
      </c>
      <c r="L281" s="665"/>
      <c r="M281" s="19">
        <f t="shared" si="48"/>
        <v>1</v>
      </c>
      <c r="N281" s="665"/>
      <c r="O281" s="19">
        <f t="shared" si="49"/>
        <v>1</v>
      </c>
      <c r="P281" s="665"/>
      <c r="Q281" s="19">
        <f t="shared" si="50"/>
        <v>1</v>
      </c>
      <c r="R281" s="661">
        <f t="shared" si="51"/>
        <v>0</v>
      </c>
      <c r="S281" s="314">
        <f t="shared" si="52"/>
        <v>0</v>
      </c>
    </row>
    <row r="282" spans="1:19">
      <c r="A282" s="148"/>
      <c r="B282" s="52"/>
      <c r="C282" s="19">
        <f t="shared" ref="C282:C345" si="53">IF(B282="",1,(LOOKUP(B282,$3:$3,$4:$4)-LOOKUP($B$24,$3:$3,$4:$4)+100)/100)</f>
        <v>1</v>
      </c>
      <c r="D282" s="665"/>
      <c r="E282" s="19">
        <f t="shared" ref="E282:E345" si="54">(SUMIF($5:$5,D282,$6:$6)-SUMIF($5:$5,$D$24,$6:$6)+100)/100</f>
        <v>1</v>
      </c>
      <c r="F282" s="665"/>
      <c r="G282" s="19">
        <f t="shared" ref="G282:G345" si="55">(SUMIF($7:$7,F282,$8:$8)-SUMIF($7:$7,$F$24,$8:$8)+100)/100</f>
        <v>1</v>
      </c>
      <c r="H282" s="665"/>
      <c r="I282" s="19">
        <f t="shared" ref="I282:I345" si="56">(SUMIF($9:$9,H282,$10:$10)-SUMIF($9:$9,$H$24,$10:$10)+100)/100</f>
        <v>1</v>
      </c>
      <c r="J282" s="665"/>
      <c r="K282" s="19">
        <f t="shared" ref="K282:K345" si="57">(SUMIF($11:$11,J282,$12:$12)-SUMIF($11:$11,$J$24,$12:$12)+100)/100</f>
        <v>1</v>
      </c>
      <c r="L282" s="665"/>
      <c r="M282" s="19">
        <f t="shared" ref="M282:M345" si="58">(SUMIF($13:$13,L282,$14:$14)-SUMIF($13:$13,$L$24,$14:$14)+100)/100</f>
        <v>1</v>
      </c>
      <c r="N282" s="665"/>
      <c r="O282" s="19">
        <f t="shared" ref="O282:O345" si="59">(SUMIF($15:$15,N282,$16:$16)-SUMIF($15:$15,$N$24,$16:$16)+100)/100</f>
        <v>1</v>
      </c>
      <c r="P282" s="665"/>
      <c r="Q282" s="19">
        <f t="shared" ref="Q282:Q345" si="60">(SUMIF($17:$17,P282,$18:$18)-SUMIF($17:$17,$P$24,$18:$18)+100)/100</f>
        <v>1</v>
      </c>
      <c r="R282" s="661">
        <f t="shared" ref="R282:R345" si="61">IF(B282="",0,ROUND($R$24*C282*E282*G282*I282*K282*M282*O282*Q282,0))</f>
        <v>0</v>
      </c>
      <c r="S282" s="314">
        <f t="shared" si="52"/>
        <v>0</v>
      </c>
    </row>
    <row r="283" spans="1:19">
      <c r="A283" s="148"/>
      <c r="B283" s="52"/>
      <c r="C283" s="19">
        <f t="shared" si="53"/>
        <v>1</v>
      </c>
      <c r="D283" s="665"/>
      <c r="E283" s="19">
        <f t="shared" si="54"/>
        <v>1</v>
      </c>
      <c r="F283" s="665"/>
      <c r="G283" s="19">
        <f t="shared" si="55"/>
        <v>1</v>
      </c>
      <c r="H283" s="665"/>
      <c r="I283" s="19">
        <f t="shared" si="56"/>
        <v>1</v>
      </c>
      <c r="J283" s="665"/>
      <c r="K283" s="19">
        <f t="shared" si="57"/>
        <v>1</v>
      </c>
      <c r="L283" s="665"/>
      <c r="M283" s="19">
        <f t="shared" si="58"/>
        <v>1</v>
      </c>
      <c r="N283" s="665"/>
      <c r="O283" s="19">
        <f t="shared" si="59"/>
        <v>1</v>
      </c>
      <c r="P283" s="665"/>
      <c r="Q283" s="19">
        <f t="shared" si="60"/>
        <v>1</v>
      </c>
      <c r="R283" s="661">
        <f t="shared" si="61"/>
        <v>0</v>
      </c>
      <c r="S283" s="314">
        <f t="shared" si="52"/>
        <v>0</v>
      </c>
    </row>
    <row r="284" spans="1:19">
      <c r="A284" s="148"/>
      <c r="B284" s="52"/>
      <c r="C284" s="19">
        <f t="shared" si="53"/>
        <v>1</v>
      </c>
      <c r="D284" s="665"/>
      <c r="E284" s="19">
        <f t="shared" si="54"/>
        <v>1</v>
      </c>
      <c r="F284" s="665"/>
      <c r="G284" s="19">
        <f t="shared" si="55"/>
        <v>1</v>
      </c>
      <c r="H284" s="665"/>
      <c r="I284" s="19">
        <f t="shared" si="56"/>
        <v>1</v>
      </c>
      <c r="J284" s="665"/>
      <c r="K284" s="19">
        <f t="shared" si="57"/>
        <v>1</v>
      </c>
      <c r="L284" s="665"/>
      <c r="M284" s="19">
        <f t="shared" si="58"/>
        <v>1</v>
      </c>
      <c r="N284" s="665"/>
      <c r="O284" s="19">
        <f t="shared" si="59"/>
        <v>1</v>
      </c>
      <c r="P284" s="665"/>
      <c r="Q284" s="19">
        <f t="shared" si="60"/>
        <v>1</v>
      </c>
      <c r="R284" s="661">
        <f t="shared" si="61"/>
        <v>0</v>
      </c>
      <c r="S284" s="314">
        <f t="shared" si="52"/>
        <v>0</v>
      </c>
    </row>
    <row r="285" spans="1:19">
      <c r="A285" s="148"/>
      <c r="B285" s="52"/>
      <c r="C285" s="19">
        <f t="shared" si="53"/>
        <v>1</v>
      </c>
      <c r="D285" s="665"/>
      <c r="E285" s="19">
        <f t="shared" si="54"/>
        <v>1</v>
      </c>
      <c r="F285" s="665"/>
      <c r="G285" s="19">
        <f t="shared" si="55"/>
        <v>1</v>
      </c>
      <c r="H285" s="665"/>
      <c r="I285" s="19">
        <f t="shared" si="56"/>
        <v>1</v>
      </c>
      <c r="J285" s="665"/>
      <c r="K285" s="19">
        <f t="shared" si="57"/>
        <v>1</v>
      </c>
      <c r="L285" s="665"/>
      <c r="M285" s="19">
        <f t="shared" si="58"/>
        <v>1</v>
      </c>
      <c r="N285" s="665"/>
      <c r="O285" s="19">
        <f t="shared" si="59"/>
        <v>1</v>
      </c>
      <c r="P285" s="665"/>
      <c r="Q285" s="19">
        <f t="shared" si="60"/>
        <v>1</v>
      </c>
      <c r="R285" s="661">
        <f t="shared" si="61"/>
        <v>0</v>
      </c>
      <c r="S285" s="314">
        <f t="shared" si="52"/>
        <v>0</v>
      </c>
    </row>
    <row r="286" spans="1:19">
      <c r="A286" s="148"/>
      <c r="B286" s="52"/>
      <c r="C286" s="19">
        <f t="shared" si="53"/>
        <v>1</v>
      </c>
      <c r="D286" s="665"/>
      <c r="E286" s="19">
        <f t="shared" si="54"/>
        <v>1</v>
      </c>
      <c r="F286" s="665"/>
      <c r="G286" s="19">
        <f t="shared" si="55"/>
        <v>1</v>
      </c>
      <c r="H286" s="665"/>
      <c r="I286" s="19">
        <f t="shared" si="56"/>
        <v>1</v>
      </c>
      <c r="J286" s="665"/>
      <c r="K286" s="19">
        <f t="shared" si="57"/>
        <v>1</v>
      </c>
      <c r="L286" s="665"/>
      <c r="M286" s="19">
        <f t="shared" si="58"/>
        <v>1</v>
      </c>
      <c r="N286" s="665"/>
      <c r="O286" s="19">
        <f t="shared" si="59"/>
        <v>1</v>
      </c>
      <c r="P286" s="665"/>
      <c r="Q286" s="19">
        <f t="shared" si="60"/>
        <v>1</v>
      </c>
      <c r="R286" s="661">
        <f t="shared" si="61"/>
        <v>0</v>
      </c>
      <c r="S286" s="314">
        <f t="shared" si="52"/>
        <v>0</v>
      </c>
    </row>
    <row r="287" spans="1:19">
      <c r="A287" s="148"/>
      <c r="B287" s="52"/>
      <c r="C287" s="19">
        <f t="shared" si="53"/>
        <v>1</v>
      </c>
      <c r="D287" s="665"/>
      <c r="E287" s="19">
        <f t="shared" si="54"/>
        <v>1</v>
      </c>
      <c r="F287" s="665"/>
      <c r="G287" s="19">
        <f t="shared" si="55"/>
        <v>1</v>
      </c>
      <c r="H287" s="665"/>
      <c r="I287" s="19">
        <f t="shared" si="56"/>
        <v>1</v>
      </c>
      <c r="J287" s="665"/>
      <c r="K287" s="19">
        <f t="shared" si="57"/>
        <v>1</v>
      </c>
      <c r="L287" s="665"/>
      <c r="M287" s="19">
        <f t="shared" si="58"/>
        <v>1</v>
      </c>
      <c r="N287" s="665"/>
      <c r="O287" s="19">
        <f t="shared" si="59"/>
        <v>1</v>
      </c>
      <c r="P287" s="665"/>
      <c r="Q287" s="19">
        <f t="shared" si="60"/>
        <v>1</v>
      </c>
      <c r="R287" s="661">
        <f t="shared" si="61"/>
        <v>0</v>
      </c>
      <c r="S287" s="314">
        <f t="shared" ref="S287:S320" si="62">ROUND(R287*B287/10000,0)</f>
        <v>0</v>
      </c>
    </row>
    <row r="288" spans="1:19">
      <c r="A288" s="148"/>
      <c r="B288" s="52"/>
      <c r="C288" s="19">
        <f t="shared" si="53"/>
        <v>1</v>
      </c>
      <c r="D288" s="665"/>
      <c r="E288" s="19">
        <f t="shared" si="54"/>
        <v>1</v>
      </c>
      <c r="F288" s="665"/>
      <c r="G288" s="19">
        <f t="shared" si="55"/>
        <v>1</v>
      </c>
      <c r="H288" s="665"/>
      <c r="I288" s="19">
        <f t="shared" si="56"/>
        <v>1</v>
      </c>
      <c r="J288" s="665"/>
      <c r="K288" s="19">
        <f t="shared" si="57"/>
        <v>1</v>
      </c>
      <c r="L288" s="665"/>
      <c r="M288" s="19">
        <f t="shared" si="58"/>
        <v>1</v>
      </c>
      <c r="N288" s="665"/>
      <c r="O288" s="19">
        <f t="shared" si="59"/>
        <v>1</v>
      </c>
      <c r="P288" s="665"/>
      <c r="Q288" s="19">
        <f t="shared" si="60"/>
        <v>1</v>
      </c>
      <c r="R288" s="661">
        <f t="shared" si="61"/>
        <v>0</v>
      </c>
      <c r="S288" s="314">
        <f t="shared" si="62"/>
        <v>0</v>
      </c>
    </row>
    <row r="289" spans="1:19">
      <c r="A289" s="148"/>
      <c r="B289" s="52"/>
      <c r="C289" s="19">
        <f t="shared" si="53"/>
        <v>1</v>
      </c>
      <c r="D289" s="665"/>
      <c r="E289" s="19">
        <f t="shared" si="54"/>
        <v>1</v>
      </c>
      <c r="F289" s="665"/>
      <c r="G289" s="19">
        <f t="shared" si="55"/>
        <v>1</v>
      </c>
      <c r="H289" s="665"/>
      <c r="I289" s="19">
        <f t="shared" si="56"/>
        <v>1</v>
      </c>
      <c r="J289" s="665"/>
      <c r="K289" s="19">
        <f t="shared" si="57"/>
        <v>1</v>
      </c>
      <c r="L289" s="665"/>
      <c r="M289" s="19">
        <f t="shared" si="58"/>
        <v>1</v>
      </c>
      <c r="N289" s="665"/>
      <c r="O289" s="19">
        <f t="shared" si="59"/>
        <v>1</v>
      </c>
      <c r="P289" s="665"/>
      <c r="Q289" s="19">
        <f t="shared" si="60"/>
        <v>1</v>
      </c>
      <c r="R289" s="661">
        <f t="shared" si="61"/>
        <v>0</v>
      </c>
      <c r="S289" s="314">
        <f t="shared" si="62"/>
        <v>0</v>
      </c>
    </row>
    <row r="290" spans="1:19">
      <c r="A290" s="148"/>
      <c r="B290" s="52"/>
      <c r="C290" s="19">
        <f t="shared" si="53"/>
        <v>1</v>
      </c>
      <c r="D290" s="665"/>
      <c r="E290" s="19">
        <f t="shared" si="54"/>
        <v>1</v>
      </c>
      <c r="F290" s="665"/>
      <c r="G290" s="19">
        <f t="shared" si="55"/>
        <v>1</v>
      </c>
      <c r="H290" s="665"/>
      <c r="I290" s="19">
        <f t="shared" si="56"/>
        <v>1</v>
      </c>
      <c r="J290" s="665"/>
      <c r="K290" s="19">
        <f t="shared" si="57"/>
        <v>1</v>
      </c>
      <c r="L290" s="665"/>
      <c r="M290" s="19">
        <f t="shared" si="58"/>
        <v>1</v>
      </c>
      <c r="N290" s="665"/>
      <c r="O290" s="19">
        <f t="shared" si="59"/>
        <v>1</v>
      </c>
      <c r="P290" s="665"/>
      <c r="Q290" s="19">
        <f t="shared" si="60"/>
        <v>1</v>
      </c>
      <c r="R290" s="661">
        <f t="shared" si="61"/>
        <v>0</v>
      </c>
      <c r="S290" s="314">
        <f t="shared" si="62"/>
        <v>0</v>
      </c>
    </row>
    <row r="291" spans="1:19">
      <c r="A291" s="148"/>
      <c r="B291" s="52"/>
      <c r="C291" s="19">
        <f t="shared" si="53"/>
        <v>1</v>
      </c>
      <c r="D291" s="665"/>
      <c r="E291" s="19">
        <f t="shared" si="54"/>
        <v>1</v>
      </c>
      <c r="F291" s="665"/>
      <c r="G291" s="19">
        <f t="shared" si="55"/>
        <v>1</v>
      </c>
      <c r="H291" s="665"/>
      <c r="I291" s="19">
        <f t="shared" si="56"/>
        <v>1</v>
      </c>
      <c r="J291" s="665"/>
      <c r="K291" s="19">
        <f t="shared" si="57"/>
        <v>1</v>
      </c>
      <c r="L291" s="665"/>
      <c r="M291" s="19">
        <f t="shared" si="58"/>
        <v>1</v>
      </c>
      <c r="N291" s="665"/>
      <c r="O291" s="19">
        <f t="shared" si="59"/>
        <v>1</v>
      </c>
      <c r="P291" s="665"/>
      <c r="Q291" s="19">
        <f t="shared" si="60"/>
        <v>1</v>
      </c>
      <c r="R291" s="661">
        <f t="shared" si="61"/>
        <v>0</v>
      </c>
      <c r="S291" s="314">
        <f t="shared" si="62"/>
        <v>0</v>
      </c>
    </row>
    <row r="292" spans="1:19">
      <c r="A292" s="148"/>
      <c r="B292" s="52"/>
      <c r="C292" s="19">
        <f t="shared" si="53"/>
        <v>1</v>
      </c>
      <c r="D292" s="665"/>
      <c r="E292" s="19">
        <f t="shared" si="54"/>
        <v>1</v>
      </c>
      <c r="F292" s="665"/>
      <c r="G292" s="19">
        <f t="shared" si="55"/>
        <v>1</v>
      </c>
      <c r="H292" s="665"/>
      <c r="I292" s="19">
        <f t="shared" si="56"/>
        <v>1</v>
      </c>
      <c r="J292" s="665"/>
      <c r="K292" s="19">
        <f t="shared" si="57"/>
        <v>1</v>
      </c>
      <c r="L292" s="665"/>
      <c r="M292" s="19">
        <f t="shared" si="58"/>
        <v>1</v>
      </c>
      <c r="N292" s="665"/>
      <c r="O292" s="19">
        <f t="shared" si="59"/>
        <v>1</v>
      </c>
      <c r="P292" s="665"/>
      <c r="Q292" s="19">
        <f t="shared" si="60"/>
        <v>1</v>
      </c>
      <c r="R292" s="661">
        <f t="shared" si="61"/>
        <v>0</v>
      </c>
      <c r="S292" s="314">
        <f t="shared" si="62"/>
        <v>0</v>
      </c>
    </row>
    <row r="293" spans="1:19">
      <c r="A293" s="148"/>
      <c r="B293" s="52"/>
      <c r="C293" s="19">
        <f t="shared" si="53"/>
        <v>1</v>
      </c>
      <c r="D293" s="665"/>
      <c r="E293" s="19">
        <f t="shared" si="54"/>
        <v>1</v>
      </c>
      <c r="F293" s="665"/>
      <c r="G293" s="19">
        <f t="shared" si="55"/>
        <v>1</v>
      </c>
      <c r="H293" s="665"/>
      <c r="I293" s="19">
        <f t="shared" si="56"/>
        <v>1</v>
      </c>
      <c r="J293" s="665"/>
      <c r="K293" s="19">
        <f t="shared" si="57"/>
        <v>1</v>
      </c>
      <c r="L293" s="665"/>
      <c r="M293" s="19">
        <f t="shared" si="58"/>
        <v>1</v>
      </c>
      <c r="N293" s="665"/>
      <c r="O293" s="19">
        <f t="shared" si="59"/>
        <v>1</v>
      </c>
      <c r="P293" s="665"/>
      <c r="Q293" s="19">
        <f t="shared" si="60"/>
        <v>1</v>
      </c>
      <c r="R293" s="661">
        <f t="shared" si="61"/>
        <v>0</v>
      </c>
      <c r="S293" s="314">
        <f t="shared" si="62"/>
        <v>0</v>
      </c>
    </row>
    <row r="294" spans="1:19">
      <c r="A294" s="148"/>
      <c r="B294" s="52"/>
      <c r="C294" s="19">
        <f t="shared" si="53"/>
        <v>1</v>
      </c>
      <c r="D294" s="665"/>
      <c r="E294" s="19">
        <f t="shared" si="54"/>
        <v>1</v>
      </c>
      <c r="F294" s="665"/>
      <c r="G294" s="19">
        <f t="shared" si="55"/>
        <v>1</v>
      </c>
      <c r="H294" s="665"/>
      <c r="I294" s="19">
        <f t="shared" si="56"/>
        <v>1</v>
      </c>
      <c r="J294" s="665"/>
      <c r="K294" s="19">
        <f t="shared" si="57"/>
        <v>1</v>
      </c>
      <c r="L294" s="665"/>
      <c r="M294" s="19">
        <f t="shared" si="58"/>
        <v>1</v>
      </c>
      <c r="N294" s="665"/>
      <c r="O294" s="19">
        <f t="shared" si="59"/>
        <v>1</v>
      </c>
      <c r="P294" s="665"/>
      <c r="Q294" s="19">
        <f t="shared" si="60"/>
        <v>1</v>
      </c>
      <c r="R294" s="661">
        <f t="shared" si="61"/>
        <v>0</v>
      </c>
      <c r="S294" s="314">
        <f t="shared" si="62"/>
        <v>0</v>
      </c>
    </row>
    <row r="295" spans="1:19">
      <c r="A295" s="148"/>
      <c r="B295" s="52"/>
      <c r="C295" s="19">
        <f t="shared" si="53"/>
        <v>1</v>
      </c>
      <c r="D295" s="665"/>
      <c r="E295" s="19">
        <f t="shared" si="54"/>
        <v>1</v>
      </c>
      <c r="F295" s="665"/>
      <c r="G295" s="19">
        <f t="shared" si="55"/>
        <v>1</v>
      </c>
      <c r="H295" s="665"/>
      <c r="I295" s="19">
        <f t="shared" si="56"/>
        <v>1</v>
      </c>
      <c r="J295" s="665"/>
      <c r="K295" s="19">
        <f t="shared" si="57"/>
        <v>1</v>
      </c>
      <c r="L295" s="665"/>
      <c r="M295" s="19">
        <f t="shared" si="58"/>
        <v>1</v>
      </c>
      <c r="N295" s="665"/>
      <c r="O295" s="19">
        <f t="shared" si="59"/>
        <v>1</v>
      </c>
      <c r="P295" s="665"/>
      <c r="Q295" s="19">
        <f t="shared" si="60"/>
        <v>1</v>
      </c>
      <c r="R295" s="661">
        <f t="shared" si="61"/>
        <v>0</v>
      </c>
      <c r="S295" s="314">
        <f t="shared" si="62"/>
        <v>0</v>
      </c>
    </row>
    <row r="296" spans="1:19">
      <c r="A296" s="148"/>
      <c r="B296" s="52"/>
      <c r="C296" s="19">
        <f t="shared" si="53"/>
        <v>1</v>
      </c>
      <c r="D296" s="665"/>
      <c r="E296" s="19">
        <f t="shared" si="54"/>
        <v>1</v>
      </c>
      <c r="F296" s="665"/>
      <c r="G296" s="19">
        <f t="shared" si="55"/>
        <v>1</v>
      </c>
      <c r="H296" s="665"/>
      <c r="I296" s="19">
        <f t="shared" si="56"/>
        <v>1</v>
      </c>
      <c r="J296" s="665"/>
      <c r="K296" s="19">
        <f t="shared" si="57"/>
        <v>1</v>
      </c>
      <c r="L296" s="665"/>
      <c r="M296" s="19">
        <f t="shared" si="58"/>
        <v>1</v>
      </c>
      <c r="N296" s="665"/>
      <c r="O296" s="19">
        <f t="shared" si="59"/>
        <v>1</v>
      </c>
      <c r="P296" s="665"/>
      <c r="Q296" s="19">
        <f t="shared" si="60"/>
        <v>1</v>
      </c>
      <c r="R296" s="661">
        <f t="shared" si="61"/>
        <v>0</v>
      </c>
      <c r="S296" s="314">
        <f t="shared" si="62"/>
        <v>0</v>
      </c>
    </row>
    <row r="297" spans="1:19">
      <c r="A297" s="148"/>
      <c r="B297" s="52"/>
      <c r="C297" s="19">
        <f t="shared" si="53"/>
        <v>1</v>
      </c>
      <c r="D297" s="665"/>
      <c r="E297" s="19">
        <f t="shared" si="54"/>
        <v>1</v>
      </c>
      <c r="F297" s="665"/>
      <c r="G297" s="19">
        <f t="shared" si="55"/>
        <v>1</v>
      </c>
      <c r="H297" s="665"/>
      <c r="I297" s="19">
        <f t="shared" si="56"/>
        <v>1</v>
      </c>
      <c r="J297" s="665"/>
      <c r="K297" s="19">
        <f t="shared" si="57"/>
        <v>1</v>
      </c>
      <c r="L297" s="665"/>
      <c r="M297" s="19">
        <f t="shared" si="58"/>
        <v>1</v>
      </c>
      <c r="N297" s="665"/>
      <c r="O297" s="19">
        <f t="shared" si="59"/>
        <v>1</v>
      </c>
      <c r="P297" s="665"/>
      <c r="Q297" s="19">
        <f t="shared" si="60"/>
        <v>1</v>
      </c>
      <c r="R297" s="661">
        <f t="shared" si="61"/>
        <v>0</v>
      </c>
      <c r="S297" s="314">
        <f t="shared" si="62"/>
        <v>0</v>
      </c>
    </row>
    <row r="298" spans="1:19">
      <c r="A298" s="148"/>
      <c r="B298" s="52"/>
      <c r="C298" s="19">
        <f t="shared" si="53"/>
        <v>1</v>
      </c>
      <c r="D298" s="665"/>
      <c r="E298" s="19">
        <f t="shared" si="54"/>
        <v>1</v>
      </c>
      <c r="F298" s="665"/>
      <c r="G298" s="19">
        <f t="shared" si="55"/>
        <v>1</v>
      </c>
      <c r="H298" s="665"/>
      <c r="I298" s="19">
        <f t="shared" si="56"/>
        <v>1</v>
      </c>
      <c r="J298" s="665"/>
      <c r="K298" s="19">
        <f t="shared" si="57"/>
        <v>1</v>
      </c>
      <c r="L298" s="665"/>
      <c r="M298" s="19">
        <f t="shared" si="58"/>
        <v>1</v>
      </c>
      <c r="N298" s="665"/>
      <c r="O298" s="19">
        <f t="shared" si="59"/>
        <v>1</v>
      </c>
      <c r="P298" s="665"/>
      <c r="Q298" s="19">
        <f t="shared" si="60"/>
        <v>1</v>
      </c>
      <c r="R298" s="661">
        <f t="shared" si="61"/>
        <v>0</v>
      </c>
      <c r="S298" s="314">
        <f t="shared" si="62"/>
        <v>0</v>
      </c>
    </row>
    <row r="299" spans="1:19">
      <c r="A299" s="148"/>
      <c r="B299" s="52"/>
      <c r="C299" s="19">
        <f t="shared" si="53"/>
        <v>1</v>
      </c>
      <c r="D299" s="665"/>
      <c r="E299" s="19">
        <f t="shared" si="54"/>
        <v>1</v>
      </c>
      <c r="F299" s="665"/>
      <c r="G299" s="19">
        <f t="shared" si="55"/>
        <v>1</v>
      </c>
      <c r="H299" s="665"/>
      <c r="I299" s="19">
        <f t="shared" si="56"/>
        <v>1</v>
      </c>
      <c r="J299" s="665"/>
      <c r="K299" s="19">
        <f t="shared" si="57"/>
        <v>1</v>
      </c>
      <c r="L299" s="665"/>
      <c r="M299" s="19">
        <f t="shared" si="58"/>
        <v>1</v>
      </c>
      <c r="N299" s="665"/>
      <c r="O299" s="19">
        <f t="shared" si="59"/>
        <v>1</v>
      </c>
      <c r="P299" s="665"/>
      <c r="Q299" s="19">
        <f t="shared" si="60"/>
        <v>1</v>
      </c>
      <c r="R299" s="661">
        <f t="shared" si="61"/>
        <v>0</v>
      </c>
      <c r="S299" s="314">
        <f t="shared" si="62"/>
        <v>0</v>
      </c>
    </row>
    <row r="300" spans="1:19">
      <c r="A300" s="148"/>
      <c r="B300" s="52"/>
      <c r="C300" s="19">
        <f t="shared" si="53"/>
        <v>1</v>
      </c>
      <c r="D300" s="665"/>
      <c r="E300" s="19">
        <f t="shared" si="54"/>
        <v>1</v>
      </c>
      <c r="F300" s="665"/>
      <c r="G300" s="19">
        <f t="shared" si="55"/>
        <v>1</v>
      </c>
      <c r="H300" s="665"/>
      <c r="I300" s="19">
        <f t="shared" si="56"/>
        <v>1</v>
      </c>
      <c r="J300" s="665"/>
      <c r="K300" s="19">
        <f t="shared" si="57"/>
        <v>1</v>
      </c>
      <c r="L300" s="665"/>
      <c r="M300" s="19">
        <f t="shared" si="58"/>
        <v>1</v>
      </c>
      <c r="N300" s="665"/>
      <c r="O300" s="19">
        <f t="shared" si="59"/>
        <v>1</v>
      </c>
      <c r="P300" s="665"/>
      <c r="Q300" s="19">
        <f t="shared" si="60"/>
        <v>1</v>
      </c>
      <c r="R300" s="661">
        <f t="shared" si="61"/>
        <v>0</v>
      </c>
      <c r="S300" s="314">
        <f t="shared" si="62"/>
        <v>0</v>
      </c>
    </row>
    <row r="301" spans="1:19">
      <c r="A301" s="148"/>
      <c r="B301" s="52"/>
      <c r="C301" s="19">
        <f t="shared" si="53"/>
        <v>1</v>
      </c>
      <c r="D301" s="665"/>
      <c r="E301" s="19">
        <f t="shared" si="54"/>
        <v>1</v>
      </c>
      <c r="F301" s="665"/>
      <c r="G301" s="19">
        <f t="shared" si="55"/>
        <v>1</v>
      </c>
      <c r="H301" s="665"/>
      <c r="I301" s="19">
        <f t="shared" si="56"/>
        <v>1</v>
      </c>
      <c r="J301" s="665"/>
      <c r="K301" s="19">
        <f t="shared" si="57"/>
        <v>1</v>
      </c>
      <c r="L301" s="665"/>
      <c r="M301" s="19">
        <f t="shared" si="58"/>
        <v>1</v>
      </c>
      <c r="N301" s="665"/>
      <c r="O301" s="19">
        <f t="shared" si="59"/>
        <v>1</v>
      </c>
      <c r="P301" s="665"/>
      <c r="Q301" s="19">
        <f t="shared" si="60"/>
        <v>1</v>
      </c>
      <c r="R301" s="661">
        <f t="shared" si="61"/>
        <v>0</v>
      </c>
      <c r="S301" s="314">
        <f t="shared" si="62"/>
        <v>0</v>
      </c>
    </row>
    <row r="302" spans="1:19">
      <c r="A302" s="148"/>
      <c r="B302" s="52"/>
      <c r="C302" s="19">
        <f t="shared" si="53"/>
        <v>1</v>
      </c>
      <c r="D302" s="665"/>
      <c r="E302" s="19">
        <f t="shared" si="54"/>
        <v>1</v>
      </c>
      <c r="F302" s="665"/>
      <c r="G302" s="19">
        <f t="shared" si="55"/>
        <v>1</v>
      </c>
      <c r="H302" s="665"/>
      <c r="I302" s="19">
        <f t="shared" si="56"/>
        <v>1</v>
      </c>
      <c r="J302" s="665"/>
      <c r="K302" s="19">
        <f t="shared" si="57"/>
        <v>1</v>
      </c>
      <c r="L302" s="665"/>
      <c r="M302" s="19">
        <f t="shared" si="58"/>
        <v>1</v>
      </c>
      <c r="N302" s="665"/>
      <c r="O302" s="19">
        <f t="shared" si="59"/>
        <v>1</v>
      </c>
      <c r="P302" s="665"/>
      <c r="Q302" s="19">
        <f t="shared" si="60"/>
        <v>1</v>
      </c>
      <c r="R302" s="661">
        <f t="shared" si="61"/>
        <v>0</v>
      </c>
      <c r="S302" s="314">
        <f t="shared" si="62"/>
        <v>0</v>
      </c>
    </row>
    <row r="303" spans="1:19">
      <c r="A303" s="148"/>
      <c r="B303" s="52"/>
      <c r="C303" s="19">
        <f t="shared" si="53"/>
        <v>1</v>
      </c>
      <c r="D303" s="665"/>
      <c r="E303" s="19">
        <f t="shared" si="54"/>
        <v>1</v>
      </c>
      <c r="F303" s="665"/>
      <c r="G303" s="19">
        <f t="shared" si="55"/>
        <v>1</v>
      </c>
      <c r="H303" s="665"/>
      <c r="I303" s="19">
        <f t="shared" si="56"/>
        <v>1</v>
      </c>
      <c r="J303" s="665"/>
      <c r="K303" s="19">
        <f t="shared" si="57"/>
        <v>1</v>
      </c>
      <c r="L303" s="665"/>
      <c r="M303" s="19">
        <f t="shared" si="58"/>
        <v>1</v>
      </c>
      <c r="N303" s="665"/>
      <c r="O303" s="19">
        <f t="shared" si="59"/>
        <v>1</v>
      </c>
      <c r="P303" s="665"/>
      <c r="Q303" s="19">
        <f t="shared" si="60"/>
        <v>1</v>
      </c>
      <c r="R303" s="661">
        <f t="shared" si="61"/>
        <v>0</v>
      </c>
      <c r="S303" s="314">
        <f t="shared" si="62"/>
        <v>0</v>
      </c>
    </row>
    <row r="304" spans="1:19">
      <c r="A304" s="148"/>
      <c r="B304" s="52"/>
      <c r="C304" s="19">
        <f t="shared" si="53"/>
        <v>1</v>
      </c>
      <c r="D304" s="665"/>
      <c r="E304" s="19">
        <f t="shared" si="54"/>
        <v>1</v>
      </c>
      <c r="F304" s="665"/>
      <c r="G304" s="19">
        <f t="shared" si="55"/>
        <v>1</v>
      </c>
      <c r="H304" s="665"/>
      <c r="I304" s="19">
        <f t="shared" si="56"/>
        <v>1</v>
      </c>
      <c r="J304" s="665"/>
      <c r="K304" s="19">
        <f t="shared" si="57"/>
        <v>1</v>
      </c>
      <c r="L304" s="665"/>
      <c r="M304" s="19">
        <f t="shared" si="58"/>
        <v>1</v>
      </c>
      <c r="N304" s="665"/>
      <c r="O304" s="19">
        <f t="shared" si="59"/>
        <v>1</v>
      </c>
      <c r="P304" s="665"/>
      <c r="Q304" s="19">
        <f t="shared" si="60"/>
        <v>1</v>
      </c>
      <c r="R304" s="661">
        <f t="shared" si="61"/>
        <v>0</v>
      </c>
      <c r="S304" s="314">
        <f t="shared" si="62"/>
        <v>0</v>
      </c>
    </row>
    <row r="305" spans="1:19">
      <c r="A305" s="148"/>
      <c r="B305" s="52"/>
      <c r="C305" s="19">
        <f t="shared" si="53"/>
        <v>1</v>
      </c>
      <c r="D305" s="665"/>
      <c r="E305" s="19">
        <f t="shared" si="54"/>
        <v>1</v>
      </c>
      <c r="F305" s="665"/>
      <c r="G305" s="19">
        <f t="shared" si="55"/>
        <v>1</v>
      </c>
      <c r="H305" s="665"/>
      <c r="I305" s="19">
        <f t="shared" si="56"/>
        <v>1</v>
      </c>
      <c r="J305" s="665"/>
      <c r="K305" s="19">
        <f t="shared" si="57"/>
        <v>1</v>
      </c>
      <c r="L305" s="665"/>
      <c r="M305" s="19">
        <f t="shared" si="58"/>
        <v>1</v>
      </c>
      <c r="N305" s="665"/>
      <c r="O305" s="19">
        <f t="shared" si="59"/>
        <v>1</v>
      </c>
      <c r="P305" s="665"/>
      <c r="Q305" s="19">
        <f t="shared" si="60"/>
        <v>1</v>
      </c>
      <c r="R305" s="661">
        <f t="shared" si="61"/>
        <v>0</v>
      </c>
      <c r="S305" s="314">
        <f t="shared" si="62"/>
        <v>0</v>
      </c>
    </row>
    <row r="306" spans="1:19">
      <c r="A306" s="148"/>
      <c r="B306" s="52"/>
      <c r="C306" s="19">
        <f t="shared" si="53"/>
        <v>1</v>
      </c>
      <c r="D306" s="665"/>
      <c r="E306" s="19">
        <f t="shared" si="54"/>
        <v>1</v>
      </c>
      <c r="F306" s="665"/>
      <c r="G306" s="19">
        <f t="shared" si="55"/>
        <v>1</v>
      </c>
      <c r="H306" s="665"/>
      <c r="I306" s="19">
        <f t="shared" si="56"/>
        <v>1</v>
      </c>
      <c r="J306" s="665"/>
      <c r="K306" s="19">
        <f t="shared" si="57"/>
        <v>1</v>
      </c>
      <c r="L306" s="665"/>
      <c r="M306" s="19">
        <f t="shared" si="58"/>
        <v>1</v>
      </c>
      <c r="N306" s="665"/>
      <c r="O306" s="19">
        <f t="shared" si="59"/>
        <v>1</v>
      </c>
      <c r="P306" s="665"/>
      <c r="Q306" s="19">
        <f t="shared" si="60"/>
        <v>1</v>
      </c>
      <c r="R306" s="661">
        <f t="shared" si="61"/>
        <v>0</v>
      </c>
      <c r="S306" s="314">
        <f t="shared" si="62"/>
        <v>0</v>
      </c>
    </row>
    <row r="307" spans="1:19">
      <c r="A307" s="148"/>
      <c r="B307" s="52"/>
      <c r="C307" s="19">
        <f t="shared" si="53"/>
        <v>1</v>
      </c>
      <c r="D307" s="665"/>
      <c r="E307" s="19">
        <f t="shared" si="54"/>
        <v>1</v>
      </c>
      <c r="F307" s="665"/>
      <c r="G307" s="19">
        <f t="shared" si="55"/>
        <v>1</v>
      </c>
      <c r="H307" s="665"/>
      <c r="I307" s="19">
        <f t="shared" si="56"/>
        <v>1</v>
      </c>
      <c r="J307" s="665"/>
      <c r="K307" s="19">
        <f t="shared" si="57"/>
        <v>1</v>
      </c>
      <c r="L307" s="665"/>
      <c r="M307" s="19">
        <f t="shared" si="58"/>
        <v>1</v>
      </c>
      <c r="N307" s="665"/>
      <c r="O307" s="19">
        <f t="shared" si="59"/>
        <v>1</v>
      </c>
      <c r="P307" s="665"/>
      <c r="Q307" s="19">
        <f t="shared" si="60"/>
        <v>1</v>
      </c>
      <c r="R307" s="661">
        <f t="shared" si="61"/>
        <v>0</v>
      </c>
      <c r="S307" s="314">
        <f t="shared" si="62"/>
        <v>0</v>
      </c>
    </row>
    <row r="308" spans="1:19">
      <c r="A308" s="148"/>
      <c r="B308" s="52"/>
      <c r="C308" s="19">
        <f t="shared" si="53"/>
        <v>1</v>
      </c>
      <c r="D308" s="665"/>
      <c r="E308" s="19">
        <f t="shared" si="54"/>
        <v>1</v>
      </c>
      <c r="F308" s="665"/>
      <c r="G308" s="19">
        <f t="shared" si="55"/>
        <v>1</v>
      </c>
      <c r="H308" s="665"/>
      <c r="I308" s="19">
        <f t="shared" si="56"/>
        <v>1</v>
      </c>
      <c r="J308" s="665"/>
      <c r="K308" s="19">
        <f t="shared" si="57"/>
        <v>1</v>
      </c>
      <c r="L308" s="665"/>
      <c r="M308" s="19">
        <f t="shared" si="58"/>
        <v>1</v>
      </c>
      <c r="N308" s="665"/>
      <c r="O308" s="19">
        <f t="shared" si="59"/>
        <v>1</v>
      </c>
      <c r="P308" s="665"/>
      <c r="Q308" s="19">
        <f t="shared" si="60"/>
        <v>1</v>
      </c>
      <c r="R308" s="661">
        <f t="shared" si="61"/>
        <v>0</v>
      </c>
      <c r="S308" s="314">
        <f t="shared" si="62"/>
        <v>0</v>
      </c>
    </row>
    <row r="309" spans="1:19">
      <c r="A309" s="148"/>
      <c r="B309" s="52"/>
      <c r="C309" s="19">
        <f t="shared" si="53"/>
        <v>1</v>
      </c>
      <c r="D309" s="665"/>
      <c r="E309" s="19">
        <f t="shared" si="54"/>
        <v>1</v>
      </c>
      <c r="F309" s="665"/>
      <c r="G309" s="19">
        <f t="shared" si="55"/>
        <v>1</v>
      </c>
      <c r="H309" s="665"/>
      <c r="I309" s="19">
        <f t="shared" si="56"/>
        <v>1</v>
      </c>
      <c r="J309" s="665"/>
      <c r="K309" s="19">
        <f t="shared" si="57"/>
        <v>1</v>
      </c>
      <c r="L309" s="665"/>
      <c r="M309" s="19">
        <f t="shared" si="58"/>
        <v>1</v>
      </c>
      <c r="N309" s="665"/>
      <c r="O309" s="19">
        <f t="shared" si="59"/>
        <v>1</v>
      </c>
      <c r="P309" s="665"/>
      <c r="Q309" s="19">
        <f t="shared" si="60"/>
        <v>1</v>
      </c>
      <c r="R309" s="661">
        <f t="shared" si="61"/>
        <v>0</v>
      </c>
      <c r="S309" s="314">
        <f t="shared" si="62"/>
        <v>0</v>
      </c>
    </row>
    <row r="310" spans="1:19">
      <c r="A310" s="148"/>
      <c r="B310" s="52"/>
      <c r="C310" s="19">
        <f t="shared" si="53"/>
        <v>1</v>
      </c>
      <c r="D310" s="665"/>
      <c r="E310" s="19">
        <f t="shared" si="54"/>
        <v>1</v>
      </c>
      <c r="F310" s="665"/>
      <c r="G310" s="19">
        <f t="shared" si="55"/>
        <v>1</v>
      </c>
      <c r="H310" s="665"/>
      <c r="I310" s="19">
        <f t="shared" si="56"/>
        <v>1</v>
      </c>
      <c r="J310" s="665"/>
      <c r="K310" s="19">
        <f t="shared" si="57"/>
        <v>1</v>
      </c>
      <c r="L310" s="665"/>
      <c r="M310" s="19">
        <f t="shared" si="58"/>
        <v>1</v>
      </c>
      <c r="N310" s="665"/>
      <c r="O310" s="19">
        <f t="shared" si="59"/>
        <v>1</v>
      </c>
      <c r="P310" s="665"/>
      <c r="Q310" s="19">
        <f t="shared" si="60"/>
        <v>1</v>
      </c>
      <c r="R310" s="661">
        <f t="shared" si="61"/>
        <v>0</v>
      </c>
      <c r="S310" s="314">
        <f t="shared" si="62"/>
        <v>0</v>
      </c>
    </row>
    <row r="311" spans="1:19">
      <c r="A311" s="148"/>
      <c r="B311" s="52"/>
      <c r="C311" s="19">
        <f t="shared" si="53"/>
        <v>1</v>
      </c>
      <c r="D311" s="665"/>
      <c r="E311" s="19">
        <f t="shared" si="54"/>
        <v>1</v>
      </c>
      <c r="F311" s="665"/>
      <c r="G311" s="19">
        <f t="shared" si="55"/>
        <v>1</v>
      </c>
      <c r="H311" s="665"/>
      <c r="I311" s="19">
        <f t="shared" si="56"/>
        <v>1</v>
      </c>
      <c r="J311" s="665"/>
      <c r="K311" s="19">
        <f t="shared" si="57"/>
        <v>1</v>
      </c>
      <c r="L311" s="665"/>
      <c r="M311" s="19">
        <f t="shared" si="58"/>
        <v>1</v>
      </c>
      <c r="N311" s="665"/>
      <c r="O311" s="19">
        <f t="shared" si="59"/>
        <v>1</v>
      </c>
      <c r="P311" s="665"/>
      <c r="Q311" s="19">
        <f t="shared" si="60"/>
        <v>1</v>
      </c>
      <c r="R311" s="661">
        <f t="shared" si="61"/>
        <v>0</v>
      </c>
      <c r="S311" s="314">
        <f t="shared" si="62"/>
        <v>0</v>
      </c>
    </row>
    <row r="312" spans="1:19">
      <c r="A312" s="148"/>
      <c r="B312" s="52"/>
      <c r="C312" s="19">
        <f t="shared" si="53"/>
        <v>1</v>
      </c>
      <c r="D312" s="665"/>
      <c r="E312" s="19">
        <f t="shared" si="54"/>
        <v>1</v>
      </c>
      <c r="F312" s="665"/>
      <c r="G312" s="19">
        <f t="shared" si="55"/>
        <v>1</v>
      </c>
      <c r="H312" s="665"/>
      <c r="I312" s="19">
        <f t="shared" si="56"/>
        <v>1</v>
      </c>
      <c r="J312" s="665"/>
      <c r="K312" s="19">
        <f t="shared" si="57"/>
        <v>1</v>
      </c>
      <c r="L312" s="665"/>
      <c r="M312" s="19">
        <f t="shared" si="58"/>
        <v>1</v>
      </c>
      <c r="N312" s="665"/>
      <c r="O312" s="19">
        <f t="shared" si="59"/>
        <v>1</v>
      </c>
      <c r="P312" s="665"/>
      <c r="Q312" s="19">
        <f t="shared" si="60"/>
        <v>1</v>
      </c>
      <c r="R312" s="661">
        <f t="shared" si="61"/>
        <v>0</v>
      </c>
      <c r="S312" s="314">
        <f t="shared" si="62"/>
        <v>0</v>
      </c>
    </row>
    <row r="313" spans="1:19">
      <c r="A313" s="148"/>
      <c r="B313" s="52"/>
      <c r="C313" s="19">
        <f t="shared" si="53"/>
        <v>1</v>
      </c>
      <c r="D313" s="665"/>
      <c r="E313" s="19">
        <f t="shared" si="54"/>
        <v>1</v>
      </c>
      <c r="F313" s="665"/>
      <c r="G313" s="19">
        <f t="shared" si="55"/>
        <v>1</v>
      </c>
      <c r="H313" s="665"/>
      <c r="I313" s="19">
        <f t="shared" si="56"/>
        <v>1</v>
      </c>
      <c r="J313" s="665"/>
      <c r="K313" s="19">
        <f t="shared" si="57"/>
        <v>1</v>
      </c>
      <c r="L313" s="665"/>
      <c r="M313" s="19">
        <f t="shared" si="58"/>
        <v>1</v>
      </c>
      <c r="N313" s="665"/>
      <c r="O313" s="19">
        <f t="shared" si="59"/>
        <v>1</v>
      </c>
      <c r="P313" s="665"/>
      <c r="Q313" s="19">
        <f t="shared" si="60"/>
        <v>1</v>
      </c>
      <c r="R313" s="661">
        <f t="shared" si="61"/>
        <v>0</v>
      </c>
      <c r="S313" s="314">
        <f t="shared" si="62"/>
        <v>0</v>
      </c>
    </row>
    <row r="314" spans="1:19">
      <c r="A314" s="148"/>
      <c r="B314" s="52"/>
      <c r="C314" s="19">
        <f t="shared" si="53"/>
        <v>1</v>
      </c>
      <c r="D314" s="665"/>
      <c r="E314" s="19">
        <f t="shared" si="54"/>
        <v>1</v>
      </c>
      <c r="F314" s="665"/>
      <c r="G314" s="19">
        <f t="shared" si="55"/>
        <v>1</v>
      </c>
      <c r="H314" s="665"/>
      <c r="I314" s="19">
        <f t="shared" si="56"/>
        <v>1</v>
      </c>
      <c r="J314" s="665"/>
      <c r="K314" s="19">
        <f t="shared" si="57"/>
        <v>1</v>
      </c>
      <c r="L314" s="665"/>
      <c r="M314" s="19">
        <f t="shared" si="58"/>
        <v>1</v>
      </c>
      <c r="N314" s="665"/>
      <c r="O314" s="19">
        <f t="shared" si="59"/>
        <v>1</v>
      </c>
      <c r="P314" s="665"/>
      <c r="Q314" s="19">
        <f t="shared" si="60"/>
        <v>1</v>
      </c>
      <c r="R314" s="661">
        <f t="shared" si="61"/>
        <v>0</v>
      </c>
      <c r="S314" s="314">
        <f t="shared" si="62"/>
        <v>0</v>
      </c>
    </row>
    <row r="315" spans="1:19">
      <c r="A315" s="148"/>
      <c r="B315" s="52"/>
      <c r="C315" s="19">
        <f t="shared" si="53"/>
        <v>1</v>
      </c>
      <c r="D315" s="665"/>
      <c r="E315" s="19">
        <f t="shared" si="54"/>
        <v>1</v>
      </c>
      <c r="F315" s="665"/>
      <c r="G315" s="19">
        <f t="shared" si="55"/>
        <v>1</v>
      </c>
      <c r="H315" s="665"/>
      <c r="I315" s="19">
        <f t="shared" si="56"/>
        <v>1</v>
      </c>
      <c r="J315" s="665"/>
      <c r="K315" s="19">
        <f t="shared" si="57"/>
        <v>1</v>
      </c>
      <c r="L315" s="665"/>
      <c r="M315" s="19">
        <f t="shared" si="58"/>
        <v>1</v>
      </c>
      <c r="N315" s="665"/>
      <c r="O315" s="19">
        <f t="shared" si="59"/>
        <v>1</v>
      </c>
      <c r="P315" s="665"/>
      <c r="Q315" s="19">
        <f t="shared" si="60"/>
        <v>1</v>
      </c>
      <c r="R315" s="661">
        <f t="shared" si="61"/>
        <v>0</v>
      </c>
      <c r="S315" s="314">
        <f t="shared" si="62"/>
        <v>0</v>
      </c>
    </row>
    <row r="316" spans="1:19">
      <c r="A316" s="148"/>
      <c r="B316" s="52"/>
      <c r="C316" s="19">
        <f t="shared" si="53"/>
        <v>1</v>
      </c>
      <c r="D316" s="665"/>
      <c r="E316" s="19">
        <f t="shared" si="54"/>
        <v>1</v>
      </c>
      <c r="F316" s="665"/>
      <c r="G316" s="19">
        <f t="shared" si="55"/>
        <v>1</v>
      </c>
      <c r="H316" s="665"/>
      <c r="I316" s="19">
        <f t="shared" si="56"/>
        <v>1</v>
      </c>
      <c r="J316" s="665"/>
      <c r="K316" s="19">
        <f t="shared" si="57"/>
        <v>1</v>
      </c>
      <c r="L316" s="665"/>
      <c r="M316" s="19">
        <f t="shared" si="58"/>
        <v>1</v>
      </c>
      <c r="N316" s="665"/>
      <c r="O316" s="19">
        <f t="shared" si="59"/>
        <v>1</v>
      </c>
      <c r="P316" s="665"/>
      <c r="Q316" s="19">
        <f t="shared" si="60"/>
        <v>1</v>
      </c>
      <c r="R316" s="661">
        <f t="shared" si="61"/>
        <v>0</v>
      </c>
      <c r="S316" s="314">
        <f t="shared" si="62"/>
        <v>0</v>
      </c>
    </row>
    <row r="317" spans="1:19">
      <c r="A317" s="148"/>
      <c r="B317" s="52"/>
      <c r="C317" s="19">
        <f t="shared" si="53"/>
        <v>1</v>
      </c>
      <c r="D317" s="665"/>
      <c r="E317" s="19">
        <f t="shared" si="54"/>
        <v>1</v>
      </c>
      <c r="F317" s="665"/>
      <c r="G317" s="19">
        <f t="shared" si="55"/>
        <v>1</v>
      </c>
      <c r="H317" s="665"/>
      <c r="I317" s="19">
        <f t="shared" si="56"/>
        <v>1</v>
      </c>
      <c r="J317" s="665"/>
      <c r="K317" s="19">
        <f t="shared" si="57"/>
        <v>1</v>
      </c>
      <c r="L317" s="665"/>
      <c r="M317" s="19">
        <f t="shared" si="58"/>
        <v>1</v>
      </c>
      <c r="N317" s="665"/>
      <c r="O317" s="19">
        <f t="shared" si="59"/>
        <v>1</v>
      </c>
      <c r="P317" s="665"/>
      <c r="Q317" s="19">
        <f t="shared" si="60"/>
        <v>1</v>
      </c>
      <c r="R317" s="661">
        <f t="shared" si="61"/>
        <v>0</v>
      </c>
      <c r="S317" s="314">
        <f t="shared" si="62"/>
        <v>0</v>
      </c>
    </row>
    <row r="318" spans="1:19">
      <c r="A318" s="148"/>
      <c r="B318" s="52"/>
      <c r="C318" s="19">
        <f t="shared" si="53"/>
        <v>1</v>
      </c>
      <c r="D318" s="665"/>
      <c r="E318" s="19">
        <f t="shared" si="54"/>
        <v>1</v>
      </c>
      <c r="F318" s="665"/>
      <c r="G318" s="19">
        <f t="shared" si="55"/>
        <v>1</v>
      </c>
      <c r="H318" s="665"/>
      <c r="I318" s="19">
        <f t="shared" si="56"/>
        <v>1</v>
      </c>
      <c r="J318" s="665"/>
      <c r="K318" s="19">
        <f t="shared" si="57"/>
        <v>1</v>
      </c>
      <c r="L318" s="665"/>
      <c r="M318" s="19">
        <f t="shared" si="58"/>
        <v>1</v>
      </c>
      <c r="N318" s="665"/>
      <c r="O318" s="19">
        <f t="shared" si="59"/>
        <v>1</v>
      </c>
      <c r="P318" s="665"/>
      <c r="Q318" s="19">
        <f t="shared" si="60"/>
        <v>1</v>
      </c>
      <c r="R318" s="661">
        <f t="shared" si="61"/>
        <v>0</v>
      </c>
      <c r="S318" s="314">
        <f t="shared" si="62"/>
        <v>0</v>
      </c>
    </row>
    <row r="319" spans="1:19">
      <c r="A319" s="148"/>
      <c r="B319" s="52"/>
      <c r="C319" s="19">
        <f t="shared" si="53"/>
        <v>1</v>
      </c>
      <c r="D319" s="665"/>
      <c r="E319" s="19">
        <f t="shared" si="54"/>
        <v>1</v>
      </c>
      <c r="F319" s="665"/>
      <c r="G319" s="19">
        <f t="shared" si="55"/>
        <v>1</v>
      </c>
      <c r="H319" s="665"/>
      <c r="I319" s="19">
        <f t="shared" si="56"/>
        <v>1</v>
      </c>
      <c r="J319" s="665"/>
      <c r="K319" s="19">
        <f t="shared" si="57"/>
        <v>1</v>
      </c>
      <c r="L319" s="665"/>
      <c r="M319" s="19">
        <f t="shared" si="58"/>
        <v>1</v>
      </c>
      <c r="N319" s="665"/>
      <c r="O319" s="19">
        <f t="shared" si="59"/>
        <v>1</v>
      </c>
      <c r="P319" s="665"/>
      <c r="Q319" s="19">
        <f t="shared" si="60"/>
        <v>1</v>
      </c>
      <c r="R319" s="661">
        <f t="shared" si="61"/>
        <v>0</v>
      </c>
      <c r="S319" s="314">
        <f t="shared" si="62"/>
        <v>0</v>
      </c>
    </row>
    <row r="320" spans="1:19">
      <c r="A320" s="148"/>
      <c r="B320" s="52"/>
      <c r="C320" s="19">
        <f t="shared" si="53"/>
        <v>1</v>
      </c>
      <c r="D320" s="665"/>
      <c r="E320" s="19">
        <f t="shared" si="54"/>
        <v>1</v>
      </c>
      <c r="F320" s="665"/>
      <c r="G320" s="19">
        <f t="shared" si="55"/>
        <v>1</v>
      </c>
      <c r="H320" s="665"/>
      <c r="I320" s="19">
        <f t="shared" si="56"/>
        <v>1</v>
      </c>
      <c r="J320" s="665"/>
      <c r="K320" s="19">
        <f t="shared" si="57"/>
        <v>1</v>
      </c>
      <c r="L320" s="665"/>
      <c r="M320" s="19">
        <f t="shared" si="58"/>
        <v>1</v>
      </c>
      <c r="N320" s="665"/>
      <c r="O320" s="19">
        <f t="shared" si="59"/>
        <v>1</v>
      </c>
      <c r="P320" s="665"/>
      <c r="Q320" s="19">
        <f t="shared" si="60"/>
        <v>1</v>
      </c>
      <c r="R320" s="661">
        <f t="shared" si="61"/>
        <v>0</v>
      </c>
      <c r="S320" s="314">
        <f t="shared" si="62"/>
        <v>0</v>
      </c>
    </row>
    <row r="321" spans="1:19">
      <c r="A321" s="148"/>
      <c r="B321" s="52"/>
      <c r="C321" s="19">
        <f t="shared" si="53"/>
        <v>1</v>
      </c>
      <c r="D321" s="665"/>
      <c r="E321" s="19">
        <f t="shared" si="54"/>
        <v>1</v>
      </c>
      <c r="F321" s="665"/>
      <c r="G321" s="19">
        <f t="shared" si="55"/>
        <v>1</v>
      </c>
      <c r="H321" s="665"/>
      <c r="I321" s="19">
        <f t="shared" si="56"/>
        <v>1</v>
      </c>
      <c r="J321" s="665"/>
      <c r="K321" s="19">
        <f t="shared" si="57"/>
        <v>1</v>
      </c>
      <c r="L321" s="665"/>
      <c r="M321" s="19">
        <f t="shared" si="58"/>
        <v>1</v>
      </c>
      <c r="N321" s="665"/>
      <c r="O321" s="19">
        <f t="shared" si="59"/>
        <v>1</v>
      </c>
      <c r="P321" s="665"/>
      <c r="Q321" s="19">
        <f t="shared" si="60"/>
        <v>1</v>
      </c>
      <c r="R321" s="661">
        <f t="shared" si="61"/>
        <v>0</v>
      </c>
      <c r="S321" s="314">
        <f t="shared" ref="S321:S384" si="63">ROUND(R321*B321/10000,0)</f>
        <v>0</v>
      </c>
    </row>
    <row r="322" spans="1:19">
      <c r="A322" s="148"/>
      <c r="B322" s="52"/>
      <c r="C322" s="19">
        <f t="shared" si="53"/>
        <v>1</v>
      </c>
      <c r="D322" s="665"/>
      <c r="E322" s="19">
        <f t="shared" si="54"/>
        <v>1</v>
      </c>
      <c r="F322" s="665"/>
      <c r="G322" s="19">
        <f t="shared" si="55"/>
        <v>1</v>
      </c>
      <c r="H322" s="665"/>
      <c r="I322" s="19">
        <f t="shared" si="56"/>
        <v>1</v>
      </c>
      <c r="J322" s="665"/>
      <c r="K322" s="19">
        <f t="shared" si="57"/>
        <v>1</v>
      </c>
      <c r="L322" s="665"/>
      <c r="M322" s="19">
        <f t="shared" si="58"/>
        <v>1</v>
      </c>
      <c r="N322" s="665"/>
      <c r="O322" s="19">
        <f t="shared" si="59"/>
        <v>1</v>
      </c>
      <c r="P322" s="665"/>
      <c r="Q322" s="19">
        <f t="shared" si="60"/>
        <v>1</v>
      </c>
      <c r="R322" s="661">
        <f t="shared" si="61"/>
        <v>0</v>
      </c>
      <c r="S322" s="314">
        <f t="shared" si="63"/>
        <v>0</v>
      </c>
    </row>
    <row r="323" spans="1:19">
      <c r="A323" s="148"/>
      <c r="B323" s="52"/>
      <c r="C323" s="19">
        <f t="shared" si="53"/>
        <v>1</v>
      </c>
      <c r="D323" s="665"/>
      <c r="E323" s="19">
        <f t="shared" si="54"/>
        <v>1</v>
      </c>
      <c r="F323" s="665"/>
      <c r="G323" s="19">
        <f t="shared" si="55"/>
        <v>1</v>
      </c>
      <c r="H323" s="665"/>
      <c r="I323" s="19">
        <f t="shared" si="56"/>
        <v>1</v>
      </c>
      <c r="J323" s="665"/>
      <c r="K323" s="19">
        <f t="shared" si="57"/>
        <v>1</v>
      </c>
      <c r="L323" s="665"/>
      <c r="M323" s="19">
        <f t="shared" si="58"/>
        <v>1</v>
      </c>
      <c r="N323" s="665"/>
      <c r="O323" s="19">
        <f t="shared" si="59"/>
        <v>1</v>
      </c>
      <c r="P323" s="665"/>
      <c r="Q323" s="19">
        <f t="shared" si="60"/>
        <v>1</v>
      </c>
      <c r="R323" s="661">
        <f t="shared" si="61"/>
        <v>0</v>
      </c>
      <c r="S323" s="314">
        <f t="shared" si="63"/>
        <v>0</v>
      </c>
    </row>
    <row r="324" spans="1:19">
      <c r="A324" s="148"/>
      <c r="B324" s="52"/>
      <c r="C324" s="19">
        <f t="shared" si="53"/>
        <v>1</v>
      </c>
      <c r="D324" s="665"/>
      <c r="E324" s="19">
        <f t="shared" si="54"/>
        <v>1</v>
      </c>
      <c r="F324" s="665"/>
      <c r="G324" s="19">
        <f t="shared" si="55"/>
        <v>1</v>
      </c>
      <c r="H324" s="665"/>
      <c r="I324" s="19">
        <f t="shared" si="56"/>
        <v>1</v>
      </c>
      <c r="J324" s="665"/>
      <c r="K324" s="19">
        <f t="shared" si="57"/>
        <v>1</v>
      </c>
      <c r="L324" s="665"/>
      <c r="M324" s="19">
        <f t="shared" si="58"/>
        <v>1</v>
      </c>
      <c r="N324" s="665"/>
      <c r="O324" s="19">
        <f t="shared" si="59"/>
        <v>1</v>
      </c>
      <c r="P324" s="665"/>
      <c r="Q324" s="19">
        <f t="shared" si="60"/>
        <v>1</v>
      </c>
      <c r="R324" s="661">
        <f t="shared" si="61"/>
        <v>0</v>
      </c>
      <c r="S324" s="314">
        <f t="shared" si="63"/>
        <v>0</v>
      </c>
    </row>
    <row r="325" spans="1:19">
      <c r="A325" s="148"/>
      <c r="B325" s="52"/>
      <c r="C325" s="19">
        <f t="shared" si="53"/>
        <v>1</v>
      </c>
      <c r="D325" s="665"/>
      <c r="E325" s="19">
        <f t="shared" si="54"/>
        <v>1</v>
      </c>
      <c r="F325" s="665"/>
      <c r="G325" s="19">
        <f t="shared" si="55"/>
        <v>1</v>
      </c>
      <c r="H325" s="665"/>
      <c r="I325" s="19">
        <f t="shared" si="56"/>
        <v>1</v>
      </c>
      <c r="J325" s="665"/>
      <c r="K325" s="19">
        <f t="shared" si="57"/>
        <v>1</v>
      </c>
      <c r="L325" s="665"/>
      <c r="M325" s="19">
        <f t="shared" si="58"/>
        <v>1</v>
      </c>
      <c r="N325" s="665"/>
      <c r="O325" s="19">
        <f t="shared" si="59"/>
        <v>1</v>
      </c>
      <c r="P325" s="665"/>
      <c r="Q325" s="19">
        <f t="shared" si="60"/>
        <v>1</v>
      </c>
      <c r="R325" s="661">
        <f t="shared" si="61"/>
        <v>0</v>
      </c>
      <c r="S325" s="314">
        <f t="shared" si="63"/>
        <v>0</v>
      </c>
    </row>
    <row r="326" spans="1:19">
      <c r="A326" s="148"/>
      <c r="B326" s="52"/>
      <c r="C326" s="19">
        <f t="shared" si="53"/>
        <v>1</v>
      </c>
      <c r="D326" s="665"/>
      <c r="E326" s="19">
        <f t="shared" si="54"/>
        <v>1</v>
      </c>
      <c r="F326" s="665"/>
      <c r="G326" s="19">
        <f t="shared" si="55"/>
        <v>1</v>
      </c>
      <c r="H326" s="665"/>
      <c r="I326" s="19">
        <f t="shared" si="56"/>
        <v>1</v>
      </c>
      <c r="J326" s="665"/>
      <c r="K326" s="19">
        <f t="shared" si="57"/>
        <v>1</v>
      </c>
      <c r="L326" s="665"/>
      <c r="M326" s="19">
        <f t="shared" si="58"/>
        <v>1</v>
      </c>
      <c r="N326" s="665"/>
      <c r="O326" s="19">
        <f t="shared" si="59"/>
        <v>1</v>
      </c>
      <c r="P326" s="665"/>
      <c r="Q326" s="19">
        <f t="shared" si="60"/>
        <v>1</v>
      </c>
      <c r="R326" s="661">
        <f t="shared" si="61"/>
        <v>0</v>
      </c>
      <c r="S326" s="314">
        <f t="shared" si="63"/>
        <v>0</v>
      </c>
    </row>
    <row r="327" spans="1:19">
      <c r="A327" s="148"/>
      <c r="B327" s="52"/>
      <c r="C327" s="19">
        <f t="shared" si="53"/>
        <v>1</v>
      </c>
      <c r="D327" s="665"/>
      <c r="E327" s="19">
        <f t="shared" si="54"/>
        <v>1</v>
      </c>
      <c r="F327" s="665"/>
      <c r="G327" s="19">
        <f t="shared" si="55"/>
        <v>1</v>
      </c>
      <c r="H327" s="665"/>
      <c r="I327" s="19">
        <f t="shared" si="56"/>
        <v>1</v>
      </c>
      <c r="J327" s="665"/>
      <c r="K327" s="19">
        <f t="shared" si="57"/>
        <v>1</v>
      </c>
      <c r="L327" s="665"/>
      <c r="M327" s="19">
        <f t="shared" si="58"/>
        <v>1</v>
      </c>
      <c r="N327" s="665"/>
      <c r="O327" s="19">
        <f t="shared" si="59"/>
        <v>1</v>
      </c>
      <c r="P327" s="665"/>
      <c r="Q327" s="19">
        <f t="shared" si="60"/>
        <v>1</v>
      </c>
      <c r="R327" s="661">
        <f t="shared" si="61"/>
        <v>0</v>
      </c>
      <c r="S327" s="314">
        <f t="shared" si="63"/>
        <v>0</v>
      </c>
    </row>
    <row r="328" spans="1:19">
      <c r="A328" s="148"/>
      <c r="B328" s="52"/>
      <c r="C328" s="19">
        <f t="shared" si="53"/>
        <v>1</v>
      </c>
      <c r="D328" s="665"/>
      <c r="E328" s="19">
        <f t="shared" si="54"/>
        <v>1</v>
      </c>
      <c r="F328" s="665"/>
      <c r="G328" s="19">
        <f t="shared" si="55"/>
        <v>1</v>
      </c>
      <c r="H328" s="665"/>
      <c r="I328" s="19">
        <f t="shared" si="56"/>
        <v>1</v>
      </c>
      <c r="J328" s="665"/>
      <c r="K328" s="19">
        <f t="shared" si="57"/>
        <v>1</v>
      </c>
      <c r="L328" s="665"/>
      <c r="M328" s="19">
        <f t="shared" si="58"/>
        <v>1</v>
      </c>
      <c r="N328" s="665"/>
      <c r="O328" s="19">
        <f t="shared" si="59"/>
        <v>1</v>
      </c>
      <c r="P328" s="665"/>
      <c r="Q328" s="19">
        <f t="shared" si="60"/>
        <v>1</v>
      </c>
      <c r="R328" s="661">
        <f t="shared" si="61"/>
        <v>0</v>
      </c>
      <c r="S328" s="314">
        <f t="shared" si="63"/>
        <v>0</v>
      </c>
    </row>
    <row r="329" spans="1:19">
      <c r="A329" s="148"/>
      <c r="B329" s="52"/>
      <c r="C329" s="19">
        <f t="shared" si="53"/>
        <v>1</v>
      </c>
      <c r="D329" s="665"/>
      <c r="E329" s="19">
        <f t="shared" si="54"/>
        <v>1</v>
      </c>
      <c r="F329" s="665"/>
      <c r="G329" s="19">
        <f t="shared" si="55"/>
        <v>1</v>
      </c>
      <c r="H329" s="665"/>
      <c r="I329" s="19">
        <f t="shared" si="56"/>
        <v>1</v>
      </c>
      <c r="J329" s="665"/>
      <c r="K329" s="19">
        <f t="shared" si="57"/>
        <v>1</v>
      </c>
      <c r="L329" s="665"/>
      <c r="M329" s="19">
        <f t="shared" si="58"/>
        <v>1</v>
      </c>
      <c r="N329" s="665"/>
      <c r="O329" s="19">
        <f t="shared" si="59"/>
        <v>1</v>
      </c>
      <c r="P329" s="665"/>
      <c r="Q329" s="19">
        <f t="shared" si="60"/>
        <v>1</v>
      </c>
      <c r="R329" s="661">
        <f t="shared" si="61"/>
        <v>0</v>
      </c>
      <c r="S329" s="314">
        <f t="shared" si="63"/>
        <v>0</v>
      </c>
    </row>
    <row r="330" spans="1:19">
      <c r="A330" s="148"/>
      <c r="B330" s="52"/>
      <c r="C330" s="19">
        <f t="shared" si="53"/>
        <v>1</v>
      </c>
      <c r="D330" s="665"/>
      <c r="E330" s="19">
        <f t="shared" si="54"/>
        <v>1</v>
      </c>
      <c r="F330" s="665"/>
      <c r="G330" s="19">
        <f t="shared" si="55"/>
        <v>1</v>
      </c>
      <c r="H330" s="665"/>
      <c r="I330" s="19">
        <f t="shared" si="56"/>
        <v>1</v>
      </c>
      <c r="J330" s="665"/>
      <c r="K330" s="19">
        <f t="shared" si="57"/>
        <v>1</v>
      </c>
      <c r="L330" s="665"/>
      <c r="M330" s="19">
        <f t="shared" si="58"/>
        <v>1</v>
      </c>
      <c r="N330" s="665"/>
      <c r="O330" s="19">
        <f t="shared" si="59"/>
        <v>1</v>
      </c>
      <c r="P330" s="665"/>
      <c r="Q330" s="19">
        <f t="shared" si="60"/>
        <v>1</v>
      </c>
      <c r="R330" s="661">
        <f t="shared" si="61"/>
        <v>0</v>
      </c>
      <c r="S330" s="314">
        <f t="shared" si="63"/>
        <v>0</v>
      </c>
    </row>
    <row r="331" spans="1:19">
      <c r="A331" s="148"/>
      <c r="B331" s="52"/>
      <c r="C331" s="19">
        <f t="shared" si="53"/>
        <v>1</v>
      </c>
      <c r="D331" s="665"/>
      <c r="E331" s="19">
        <f t="shared" si="54"/>
        <v>1</v>
      </c>
      <c r="F331" s="665"/>
      <c r="G331" s="19">
        <f t="shared" si="55"/>
        <v>1</v>
      </c>
      <c r="H331" s="665"/>
      <c r="I331" s="19">
        <f t="shared" si="56"/>
        <v>1</v>
      </c>
      <c r="J331" s="665"/>
      <c r="K331" s="19">
        <f t="shared" si="57"/>
        <v>1</v>
      </c>
      <c r="L331" s="665"/>
      <c r="M331" s="19">
        <f t="shared" si="58"/>
        <v>1</v>
      </c>
      <c r="N331" s="665"/>
      <c r="O331" s="19">
        <f t="shared" si="59"/>
        <v>1</v>
      </c>
      <c r="P331" s="665"/>
      <c r="Q331" s="19">
        <f t="shared" si="60"/>
        <v>1</v>
      </c>
      <c r="R331" s="661">
        <f t="shared" si="61"/>
        <v>0</v>
      </c>
      <c r="S331" s="314">
        <f t="shared" si="63"/>
        <v>0</v>
      </c>
    </row>
    <row r="332" spans="1:19">
      <c r="A332" s="148"/>
      <c r="B332" s="52"/>
      <c r="C332" s="19">
        <f t="shared" si="53"/>
        <v>1</v>
      </c>
      <c r="D332" s="665"/>
      <c r="E332" s="19">
        <f t="shared" si="54"/>
        <v>1</v>
      </c>
      <c r="F332" s="665"/>
      <c r="G332" s="19">
        <f t="shared" si="55"/>
        <v>1</v>
      </c>
      <c r="H332" s="665"/>
      <c r="I332" s="19">
        <f t="shared" si="56"/>
        <v>1</v>
      </c>
      <c r="J332" s="665"/>
      <c r="K332" s="19">
        <f t="shared" si="57"/>
        <v>1</v>
      </c>
      <c r="L332" s="665"/>
      <c r="M332" s="19">
        <f t="shared" si="58"/>
        <v>1</v>
      </c>
      <c r="N332" s="665"/>
      <c r="O332" s="19">
        <f t="shared" si="59"/>
        <v>1</v>
      </c>
      <c r="P332" s="665"/>
      <c r="Q332" s="19">
        <f t="shared" si="60"/>
        <v>1</v>
      </c>
      <c r="R332" s="661">
        <f t="shared" si="61"/>
        <v>0</v>
      </c>
      <c r="S332" s="314">
        <f t="shared" si="63"/>
        <v>0</v>
      </c>
    </row>
    <row r="333" spans="1:19">
      <c r="A333" s="148"/>
      <c r="B333" s="52"/>
      <c r="C333" s="19">
        <f t="shared" si="53"/>
        <v>1</v>
      </c>
      <c r="D333" s="665"/>
      <c r="E333" s="19">
        <f t="shared" si="54"/>
        <v>1</v>
      </c>
      <c r="F333" s="665"/>
      <c r="G333" s="19">
        <f t="shared" si="55"/>
        <v>1</v>
      </c>
      <c r="H333" s="665"/>
      <c r="I333" s="19">
        <f t="shared" si="56"/>
        <v>1</v>
      </c>
      <c r="J333" s="665"/>
      <c r="K333" s="19">
        <f t="shared" si="57"/>
        <v>1</v>
      </c>
      <c r="L333" s="665"/>
      <c r="M333" s="19">
        <f t="shared" si="58"/>
        <v>1</v>
      </c>
      <c r="N333" s="665"/>
      <c r="O333" s="19">
        <f t="shared" si="59"/>
        <v>1</v>
      </c>
      <c r="P333" s="665"/>
      <c r="Q333" s="19">
        <f t="shared" si="60"/>
        <v>1</v>
      </c>
      <c r="R333" s="661">
        <f t="shared" si="61"/>
        <v>0</v>
      </c>
      <c r="S333" s="314">
        <f t="shared" si="63"/>
        <v>0</v>
      </c>
    </row>
    <row r="334" spans="1:19">
      <c r="A334" s="148"/>
      <c r="B334" s="52"/>
      <c r="C334" s="19">
        <f t="shared" si="53"/>
        <v>1</v>
      </c>
      <c r="D334" s="665"/>
      <c r="E334" s="19">
        <f t="shared" si="54"/>
        <v>1</v>
      </c>
      <c r="F334" s="665"/>
      <c r="G334" s="19">
        <f t="shared" si="55"/>
        <v>1</v>
      </c>
      <c r="H334" s="665"/>
      <c r="I334" s="19">
        <f t="shared" si="56"/>
        <v>1</v>
      </c>
      <c r="J334" s="665"/>
      <c r="K334" s="19">
        <f t="shared" si="57"/>
        <v>1</v>
      </c>
      <c r="L334" s="665"/>
      <c r="M334" s="19">
        <f t="shared" si="58"/>
        <v>1</v>
      </c>
      <c r="N334" s="665"/>
      <c r="O334" s="19">
        <f t="shared" si="59"/>
        <v>1</v>
      </c>
      <c r="P334" s="665"/>
      <c r="Q334" s="19">
        <f t="shared" si="60"/>
        <v>1</v>
      </c>
      <c r="R334" s="661">
        <f t="shared" si="61"/>
        <v>0</v>
      </c>
      <c r="S334" s="314">
        <f t="shared" si="63"/>
        <v>0</v>
      </c>
    </row>
    <row r="335" spans="1:19">
      <c r="A335" s="148"/>
      <c r="B335" s="52"/>
      <c r="C335" s="19">
        <f t="shared" si="53"/>
        <v>1</v>
      </c>
      <c r="D335" s="665"/>
      <c r="E335" s="19">
        <f t="shared" si="54"/>
        <v>1</v>
      </c>
      <c r="F335" s="665"/>
      <c r="G335" s="19">
        <f t="shared" si="55"/>
        <v>1</v>
      </c>
      <c r="H335" s="665"/>
      <c r="I335" s="19">
        <f t="shared" si="56"/>
        <v>1</v>
      </c>
      <c r="J335" s="665"/>
      <c r="K335" s="19">
        <f t="shared" si="57"/>
        <v>1</v>
      </c>
      <c r="L335" s="665"/>
      <c r="M335" s="19">
        <f t="shared" si="58"/>
        <v>1</v>
      </c>
      <c r="N335" s="665"/>
      <c r="O335" s="19">
        <f t="shared" si="59"/>
        <v>1</v>
      </c>
      <c r="P335" s="665"/>
      <c r="Q335" s="19">
        <f t="shared" si="60"/>
        <v>1</v>
      </c>
      <c r="R335" s="661">
        <f t="shared" si="61"/>
        <v>0</v>
      </c>
      <c r="S335" s="314">
        <f t="shared" si="63"/>
        <v>0</v>
      </c>
    </row>
    <row r="336" spans="1:19">
      <c r="A336" s="148"/>
      <c r="B336" s="52"/>
      <c r="C336" s="19">
        <f t="shared" si="53"/>
        <v>1</v>
      </c>
      <c r="D336" s="665"/>
      <c r="E336" s="19">
        <f t="shared" si="54"/>
        <v>1</v>
      </c>
      <c r="F336" s="665"/>
      <c r="G336" s="19">
        <f t="shared" si="55"/>
        <v>1</v>
      </c>
      <c r="H336" s="665"/>
      <c r="I336" s="19">
        <f t="shared" si="56"/>
        <v>1</v>
      </c>
      <c r="J336" s="665"/>
      <c r="K336" s="19">
        <f t="shared" si="57"/>
        <v>1</v>
      </c>
      <c r="L336" s="665"/>
      <c r="M336" s="19">
        <f t="shared" si="58"/>
        <v>1</v>
      </c>
      <c r="N336" s="665"/>
      <c r="O336" s="19">
        <f t="shared" si="59"/>
        <v>1</v>
      </c>
      <c r="P336" s="665"/>
      <c r="Q336" s="19">
        <f t="shared" si="60"/>
        <v>1</v>
      </c>
      <c r="R336" s="661">
        <f t="shared" si="61"/>
        <v>0</v>
      </c>
      <c r="S336" s="314">
        <f t="shared" si="63"/>
        <v>0</v>
      </c>
    </row>
    <row r="337" spans="1:19">
      <c r="A337" s="148"/>
      <c r="B337" s="52"/>
      <c r="C337" s="19">
        <f t="shared" si="53"/>
        <v>1</v>
      </c>
      <c r="D337" s="665"/>
      <c r="E337" s="19">
        <f t="shared" si="54"/>
        <v>1</v>
      </c>
      <c r="F337" s="665"/>
      <c r="G337" s="19">
        <f t="shared" si="55"/>
        <v>1</v>
      </c>
      <c r="H337" s="665"/>
      <c r="I337" s="19">
        <f t="shared" si="56"/>
        <v>1</v>
      </c>
      <c r="J337" s="665"/>
      <c r="K337" s="19">
        <f t="shared" si="57"/>
        <v>1</v>
      </c>
      <c r="L337" s="665"/>
      <c r="M337" s="19">
        <f t="shared" si="58"/>
        <v>1</v>
      </c>
      <c r="N337" s="665"/>
      <c r="O337" s="19">
        <f t="shared" si="59"/>
        <v>1</v>
      </c>
      <c r="P337" s="665"/>
      <c r="Q337" s="19">
        <f t="shared" si="60"/>
        <v>1</v>
      </c>
      <c r="R337" s="661">
        <f t="shared" si="61"/>
        <v>0</v>
      </c>
      <c r="S337" s="314">
        <f t="shared" si="63"/>
        <v>0</v>
      </c>
    </row>
    <row r="338" spans="1:19">
      <c r="A338" s="148"/>
      <c r="B338" s="52"/>
      <c r="C338" s="19">
        <f t="shared" si="53"/>
        <v>1</v>
      </c>
      <c r="D338" s="665"/>
      <c r="E338" s="19">
        <f t="shared" si="54"/>
        <v>1</v>
      </c>
      <c r="F338" s="665"/>
      <c r="G338" s="19">
        <f t="shared" si="55"/>
        <v>1</v>
      </c>
      <c r="H338" s="665"/>
      <c r="I338" s="19">
        <f t="shared" si="56"/>
        <v>1</v>
      </c>
      <c r="J338" s="665"/>
      <c r="K338" s="19">
        <f t="shared" si="57"/>
        <v>1</v>
      </c>
      <c r="L338" s="665"/>
      <c r="M338" s="19">
        <f t="shared" si="58"/>
        <v>1</v>
      </c>
      <c r="N338" s="665"/>
      <c r="O338" s="19">
        <f t="shared" si="59"/>
        <v>1</v>
      </c>
      <c r="P338" s="665"/>
      <c r="Q338" s="19">
        <f t="shared" si="60"/>
        <v>1</v>
      </c>
      <c r="R338" s="661">
        <f t="shared" si="61"/>
        <v>0</v>
      </c>
      <c r="S338" s="314">
        <f t="shared" si="63"/>
        <v>0</v>
      </c>
    </row>
    <row r="339" spans="1:19">
      <c r="A339" s="148"/>
      <c r="B339" s="52"/>
      <c r="C339" s="19">
        <f t="shared" si="53"/>
        <v>1</v>
      </c>
      <c r="D339" s="665"/>
      <c r="E339" s="19">
        <f t="shared" si="54"/>
        <v>1</v>
      </c>
      <c r="F339" s="665"/>
      <c r="G339" s="19">
        <f t="shared" si="55"/>
        <v>1</v>
      </c>
      <c r="H339" s="665"/>
      <c r="I339" s="19">
        <f t="shared" si="56"/>
        <v>1</v>
      </c>
      <c r="J339" s="665"/>
      <c r="K339" s="19">
        <f t="shared" si="57"/>
        <v>1</v>
      </c>
      <c r="L339" s="665"/>
      <c r="M339" s="19">
        <f t="shared" si="58"/>
        <v>1</v>
      </c>
      <c r="N339" s="665"/>
      <c r="O339" s="19">
        <f t="shared" si="59"/>
        <v>1</v>
      </c>
      <c r="P339" s="665"/>
      <c r="Q339" s="19">
        <f t="shared" si="60"/>
        <v>1</v>
      </c>
      <c r="R339" s="661">
        <f t="shared" si="61"/>
        <v>0</v>
      </c>
      <c r="S339" s="314">
        <f t="shared" si="63"/>
        <v>0</v>
      </c>
    </row>
    <row r="340" spans="1:19">
      <c r="A340" s="148"/>
      <c r="B340" s="52"/>
      <c r="C340" s="19">
        <f t="shared" si="53"/>
        <v>1</v>
      </c>
      <c r="D340" s="665"/>
      <c r="E340" s="19">
        <f t="shared" si="54"/>
        <v>1</v>
      </c>
      <c r="F340" s="665"/>
      <c r="G340" s="19">
        <f t="shared" si="55"/>
        <v>1</v>
      </c>
      <c r="H340" s="665"/>
      <c r="I340" s="19">
        <f t="shared" si="56"/>
        <v>1</v>
      </c>
      <c r="J340" s="665"/>
      <c r="K340" s="19">
        <f t="shared" si="57"/>
        <v>1</v>
      </c>
      <c r="L340" s="665"/>
      <c r="M340" s="19">
        <f t="shared" si="58"/>
        <v>1</v>
      </c>
      <c r="N340" s="665"/>
      <c r="O340" s="19">
        <f t="shared" si="59"/>
        <v>1</v>
      </c>
      <c r="P340" s="665"/>
      <c r="Q340" s="19">
        <f t="shared" si="60"/>
        <v>1</v>
      </c>
      <c r="R340" s="661">
        <f t="shared" si="61"/>
        <v>0</v>
      </c>
      <c r="S340" s="314">
        <f t="shared" si="63"/>
        <v>0</v>
      </c>
    </row>
    <row r="341" spans="1:19">
      <c r="A341" s="148"/>
      <c r="B341" s="52"/>
      <c r="C341" s="19">
        <f t="shared" si="53"/>
        <v>1</v>
      </c>
      <c r="D341" s="665"/>
      <c r="E341" s="19">
        <f t="shared" si="54"/>
        <v>1</v>
      </c>
      <c r="F341" s="665"/>
      <c r="G341" s="19">
        <f t="shared" si="55"/>
        <v>1</v>
      </c>
      <c r="H341" s="665"/>
      <c r="I341" s="19">
        <f t="shared" si="56"/>
        <v>1</v>
      </c>
      <c r="J341" s="665"/>
      <c r="K341" s="19">
        <f t="shared" si="57"/>
        <v>1</v>
      </c>
      <c r="L341" s="665"/>
      <c r="M341" s="19">
        <f t="shared" si="58"/>
        <v>1</v>
      </c>
      <c r="N341" s="665"/>
      <c r="O341" s="19">
        <f t="shared" si="59"/>
        <v>1</v>
      </c>
      <c r="P341" s="665"/>
      <c r="Q341" s="19">
        <f t="shared" si="60"/>
        <v>1</v>
      </c>
      <c r="R341" s="661">
        <f t="shared" si="61"/>
        <v>0</v>
      </c>
      <c r="S341" s="314">
        <f t="shared" si="63"/>
        <v>0</v>
      </c>
    </row>
    <row r="342" spans="1:19">
      <c r="A342" s="148"/>
      <c r="B342" s="52"/>
      <c r="C342" s="19">
        <f t="shared" si="53"/>
        <v>1</v>
      </c>
      <c r="D342" s="665"/>
      <c r="E342" s="19">
        <f t="shared" si="54"/>
        <v>1</v>
      </c>
      <c r="F342" s="665"/>
      <c r="G342" s="19">
        <f t="shared" si="55"/>
        <v>1</v>
      </c>
      <c r="H342" s="665"/>
      <c r="I342" s="19">
        <f t="shared" si="56"/>
        <v>1</v>
      </c>
      <c r="J342" s="665"/>
      <c r="K342" s="19">
        <f t="shared" si="57"/>
        <v>1</v>
      </c>
      <c r="L342" s="665"/>
      <c r="M342" s="19">
        <f t="shared" si="58"/>
        <v>1</v>
      </c>
      <c r="N342" s="665"/>
      <c r="O342" s="19">
        <f t="shared" si="59"/>
        <v>1</v>
      </c>
      <c r="P342" s="665"/>
      <c r="Q342" s="19">
        <f t="shared" si="60"/>
        <v>1</v>
      </c>
      <c r="R342" s="661">
        <f t="shared" si="61"/>
        <v>0</v>
      </c>
      <c r="S342" s="314">
        <f t="shared" si="63"/>
        <v>0</v>
      </c>
    </row>
    <row r="343" spans="1:19">
      <c r="A343" s="148"/>
      <c r="B343" s="52"/>
      <c r="C343" s="19">
        <f t="shared" si="53"/>
        <v>1</v>
      </c>
      <c r="D343" s="665"/>
      <c r="E343" s="19">
        <f t="shared" si="54"/>
        <v>1</v>
      </c>
      <c r="F343" s="665"/>
      <c r="G343" s="19">
        <f t="shared" si="55"/>
        <v>1</v>
      </c>
      <c r="H343" s="665"/>
      <c r="I343" s="19">
        <f t="shared" si="56"/>
        <v>1</v>
      </c>
      <c r="J343" s="665"/>
      <c r="K343" s="19">
        <f t="shared" si="57"/>
        <v>1</v>
      </c>
      <c r="L343" s="665"/>
      <c r="M343" s="19">
        <f t="shared" si="58"/>
        <v>1</v>
      </c>
      <c r="N343" s="665"/>
      <c r="O343" s="19">
        <f t="shared" si="59"/>
        <v>1</v>
      </c>
      <c r="P343" s="665"/>
      <c r="Q343" s="19">
        <f t="shared" si="60"/>
        <v>1</v>
      </c>
      <c r="R343" s="661">
        <f t="shared" si="61"/>
        <v>0</v>
      </c>
      <c r="S343" s="314">
        <f t="shared" si="63"/>
        <v>0</v>
      </c>
    </row>
    <row r="344" spans="1:19">
      <c r="A344" s="148"/>
      <c r="B344" s="52"/>
      <c r="C344" s="19">
        <f t="shared" si="53"/>
        <v>1</v>
      </c>
      <c r="D344" s="665"/>
      <c r="E344" s="19">
        <f t="shared" si="54"/>
        <v>1</v>
      </c>
      <c r="F344" s="665"/>
      <c r="G344" s="19">
        <f t="shared" si="55"/>
        <v>1</v>
      </c>
      <c r="H344" s="665"/>
      <c r="I344" s="19">
        <f t="shared" si="56"/>
        <v>1</v>
      </c>
      <c r="J344" s="665"/>
      <c r="K344" s="19">
        <f t="shared" si="57"/>
        <v>1</v>
      </c>
      <c r="L344" s="665"/>
      <c r="M344" s="19">
        <f t="shared" si="58"/>
        <v>1</v>
      </c>
      <c r="N344" s="665"/>
      <c r="O344" s="19">
        <f t="shared" si="59"/>
        <v>1</v>
      </c>
      <c r="P344" s="665"/>
      <c r="Q344" s="19">
        <f t="shared" si="60"/>
        <v>1</v>
      </c>
      <c r="R344" s="661">
        <f t="shared" si="61"/>
        <v>0</v>
      </c>
      <c r="S344" s="314">
        <f t="shared" si="63"/>
        <v>0</v>
      </c>
    </row>
    <row r="345" spans="1:19">
      <c r="A345" s="148"/>
      <c r="B345" s="52"/>
      <c r="C345" s="19">
        <f t="shared" si="53"/>
        <v>1</v>
      </c>
      <c r="D345" s="665"/>
      <c r="E345" s="19">
        <f t="shared" si="54"/>
        <v>1</v>
      </c>
      <c r="F345" s="665"/>
      <c r="G345" s="19">
        <f t="shared" si="55"/>
        <v>1</v>
      </c>
      <c r="H345" s="665"/>
      <c r="I345" s="19">
        <f t="shared" si="56"/>
        <v>1</v>
      </c>
      <c r="J345" s="665"/>
      <c r="K345" s="19">
        <f t="shared" si="57"/>
        <v>1</v>
      </c>
      <c r="L345" s="665"/>
      <c r="M345" s="19">
        <f t="shared" si="58"/>
        <v>1</v>
      </c>
      <c r="N345" s="665"/>
      <c r="O345" s="19">
        <f t="shared" si="59"/>
        <v>1</v>
      </c>
      <c r="P345" s="665"/>
      <c r="Q345" s="19">
        <f t="shared" si="60"/>
        <v>1</v>
      </c>
      <c r="R345" s="661">
        <f t="shared" si="61"/>
        <v>0</v>
      </c>
      <c r="S345" s="314">
        <f t="shared" si="63"/>
        <v>0</v>
      </c>
    </row>
    <row r="346" spans="1:19">
      <c r="A346" s="148"/>
      <c r="B346" s="52"/>
      <c r="C346" s="19">
        <f t="shared" ref="C346:C409" si="64">IF(B346="",1,(LOOKUP(B346,$3:$3,$4:$4)-LOOKUP($B$24,$3:$3,$4:$4)+100)/100)</f>
        <v>1</v>
      </c>
      <c r="D346" s="665"/>
      <c r="E346" s="19">
        <f t="shared" ref="E346:E409" si="65">(SUMIF($5:$5,D346,$6:$6)-SUMIF($5:$5,$D$24,$6:$6)+100)/100</f>
        <v>1</v>
      </c>
      <c r="F346" s="665"/>
      <c r="G346" s="19">
        <f t="shared" ref="G346:G409" si="66">(SUMIF($7:$7,F346,$8:$8)-SUMIF($7:$7,$F$24,$8:$8)+100)/100</f>
        <v>1</v>
      </c>
      <c r="H346" s="665"/>
      <c r="I346" s="19">
        <f t="shared" ref="I346:I409" si="67">(SUMIF($9:$9,H346,$10:$10)-SUMIF($9:$9,$H$24,$10:$10)+100)/100</f>
        <v>1</v>
      </c>
      <c r="J346" s="665"/>
      <c r="K346" s="19">
        <f t="shared" ref="K346:K409" si="68">(SUMIF($11:$11,J346,$12:$12)-SUMIF($11:$11,$J$24,$12:$12)+100)/100</f>
        <v>1</v>
      </c>
      <c r="L346" s="665"/>
      <c r="M346" s="19">
        <f t="shared" ref="M346:M409" si="69">(SUMIF($13:$13,L346,$14:$14)-SUMIF($13:$13,$L$24,$14:$14)+100)/100</f>
        <v>1</v>
      </c>
      <c r="N346" s="665"/>
      <c r="O346" s="19">
        <f t="shared" ref="O346:O409" si="70">(SUMIF($15:$15,N346,$16:$16)-SUMIF($15:$15,$N$24,$16:$16)+100)/100</f>
        <v>1</v>
      </c>
      <c r="P346" s="665"/>
      <c r="Q346" s="19">
        <f t="shared" ref="Q346:Q409" si="71">(SUMIF($17:$17,P346,$18:$18)-SUMIF($17:$17,$P$24,$18:$18)+100)/100</f>
        <v>1</v>
      </c>
      <c r="R346" s="661">
        <f t="shared" ref="R346:R409" si="72">IF(B346="",0,ROUND($R$24*C346*E346*G346*I346*K346*M346*O346*Q346,0))</f>
        <v>0</v>
      </c>
      <c r="S346" s="314">
        <f t="shared" si="63"/>
        <v>0</v>
      </c>
    </row>
    <row r="347" spans="1:19">
      <c r="A347" s="148"/>
      <c r="B347" s="52"/>
      <c r="C347" s="19">
        <f t="shared" si="64"/>
        <v>1</v>
      </c>
      <c r="D347" s="665"/>
      <c r="E347" s="19">
        <f t="shared" si="65"/>
        <v>1</v>
      </c>
      <c r="F347" s="665"/>
      <c r="G347" s="19">
        <f t="shared" si="66"/>
        <v>1</v>
      </c>
      <c r="H347" s="665"/>
      <c r="I347" s="19">
        <f t="shared" si="67"/>
        <v>1</v>
      </c>
      <c r="J347" s="665"/>
      <c r="K347" s="19">
        <f t="shared" si="68"/>
        <v>1</v>
      </c>
      <c r="L347" s="665"/>
      <c r="M347" s="19">
        <f t="shared" si="69"/>
        <v>1</v>
      </c>
      <c r="N347" s="665"/>
      <c r="O347" s="19">
        <f t="shared" si="70"/>
        <v>1</v>
      </c>
      <c r="P347" s="665"/>
      <c r="Q347" s="19">
        <f t="shared" si="71"/>
        <v>1</v>
      </c>
      <c r="R347" s="661">
        <f t="shared" si="72"/>
        <v>0</v>
      </c>
      <c r="S347" s="314">
        <f t="shared" si="63"/>
        <v>0</v>
      </c>
    </row>
    <row r="348" spans="1:19">
      <c r="A348" s="148"/>
      <c r="B348" s="52"/>
      <c r="C348" s="19">
        <f t="shared" si="64"/>
        <v>1</v>
      </c>
      <c r="D348" s="665"/>
      <c r="E348" s="19">
        <f t="shared" si="65"/>
        <v>1</v>
      </c>
      <c r="F348" s="665"/>
      <c r="G348" s="19">
        <f t="shared" si="66"/>
        <v>1</v>
      </c>
      <c r="H348" s="665"/>
      <c r="I348" s="19">
        <f t="shared" si="67"/>
        <v>1</v>
      </c>
      <c r="J348" s="665"/>
      <c r="K348" s="19">
        <f t="shared" si="68"/>
        <v>1</v>
      </c>
      <c r="L348" s="665"/>
      <c r="M348" s="19">
        <f t="shared" si="69"/>
        <v>1</v>
      </c>
      <c r="N348" s="665"/>
      <c r="O348" s="19">
        <f t="shared" si="70"/>
        <v>1</v>
      </c>
      <c r="P348" s="665"/>
      <c r="Q348" s="19">
        <f t="shared" si="71"/>
        <v>1</v>
      </c>
      <c r="R348" s="661">
        <f t="shared" si="72"/>
        <v>0</v>
      </c>
      <c r="S348" s="314">
        <f t="shared" si="63"/>
        <v>0</v>
      </c>
    </row>
    <row r="349" spans="1:19">
      <c r="A349" s="148"/>
      <c r="B349" s="52"/>
      <c r="C349" s="19">
        <f t="shared" si="64"/>
        <v>1</v>
      </c>
      <c r="D349" s="665"/>
      <c r="E349" s="19">
        <f t="shared" si="65"/>
        <v>1</v>
      </c>
      <c r="F349" s="665"/>
      <c r="G349" s="19">
        <f t="shared" si="66"/>
        <v>1</v>
      </c>
      <c r="H349" s="665"/>
      <c r="I349" s="19">
        <f t="shared" si="67"/>
        <v>1</v>
      </c>
      <c r="J349" s="665"/>
      <c r="K349" s="19">
        <f t="shared" si="68"/>
        <v>1</v>
      </c>
      <c r="L349" s="665"/>
      <c r="M349" s="19">
        <f t="shared" si="69"/>
        <v>1</v>
      </c>
      <c r="N349" s="665"/>
      <c r="O349" s="19">
        <f t="shared" si="70"/>
        <v>1</v>
      </c>
      <c r="P349" s="665"/>
      <c r="Q349" s="19">
        <f t="shared" si="71"/>
        <v>1</v>
      </c>
      <c r="R349" s="661">
        <f t="shared" si="72"/>
        <v>0</v>
      </c>
      <c r="S349" s="314">
        <f t="shared" si="63"/>
        <v>0</v>
      </c>
    </row>
    <row r="350" spans="1:19">
      <c r="A350" s="148"/>
      <c r="B350" s="52"/>
      <c r="C350" s="19">
        <f t="shared" si="64"/>
        <v>1</v>
      </c>
      <c r="D350" s="665"/>
      <c r="E350" s="19">
        <f t="shared" si="65"/>
        <v>1</v>
      </c>
      <c r="F350" s="665"/>
      <c r="G350" s="19">
        <f t="shared" si="66"/>
        <v>1</v>
      </c>
      <c r="H350" s="665"/>
      <c r="I350" s="19">
        <f t="shared" si="67"/>
        <v>1</v>
      </c>
      <c r="J350" s="665"/>
      <c r="K350" s="19">
        <f t="shared" si="68"/>
        <v>1</v>
      </c>
      <c r="L350" s="665"/>
      <c r="M350" s="19">
        <f t="shared" si="69"/>
        <v>1</v>
      </c>
      <c r="N350" s="665"/>
      <c r="O350" s="19">
        <f t="shared" si="70"/>
        <v>1</v>
      </c>
      <c r="P350" s="665"/>
      <c r="Q350" s="19">
        <f t="shared" si="71"/>
        <v>1</v>
      </c>
      <c r="R350" s="661">
        <f t="shared" si="72"/>
        <v>0</v>
      </c>
      <c r="S350" s="314">
        <f t="shared" si="63"/>
        <v>0</v>
      </c>
    </row>
    <row r="351" spans="1:19">
      <c r="A351" s="148"/>
      <c r="B351" s="52"/>
      <c r="C351" s="19">
        <f t="shared" si="64"/>
        <v>1</v>
      </c>
      <c r="D351" s="665"/>
      <c r="E351" s="19">
        <f t="shared" si="65"/>
        <v>1</v>
      </c>
      <c r="F351" s="665"/>
      <c r="G351" s="19">
        <f t="shared" si="66"/>
        <v>1</v>
      </c>
      <c r="H351" s="665"/>
      <c r="I351" s="19">
        <f t="shared" si="67"/>
        <v>1</v>
      </c>
      <c r="J351" s="665"/>
      <c r="K351" s="19">
        <f t="shared" si="68"/>
        <v>1</v>
      </c>
      <c r="L351" s="665"/>
      <c r="M351" s="19">
        <f t="shared" si="69"/>
        <v>1</v>
      </c>
      <c r="N351" s="665"/>
      <c r="O351" s="19">
        <f t="shared" si="70"/>
        <v>1</v>
      </c>
      <c r="P351" s="665"/>
      <c r="Q351" s="19">
        <f t="shared" si="71"/>
        <v>1</v>
      </c>
      <c r="R351" s="661">
        <f t="shared" si="72"/>
        <v>0</v>
      </c>
      <c r="S351" s="314">
        <f t="shared" si="63"/>
        <v>0</v>
      </c>
    </row>
    <row r="352" spans="1:19">
      <c r="A352" s="148"/>
      <c r="B352" s="52"/>
      <c r="C352" s="19">
        <f t="shared" si="64"/>
        <v>1</v>
      </c>
      <c r="D352" s="665"/>
      <c r="E352" s="19">
        <f t="shared" si="65"/>
        <v>1</v>
      </c>
      <c r="F352" s="665"/>
      <c r="G352" s="19">
        <f t="shared" si="66"/>
        <v>1</v>
      </c>
      <c r="H352" s="665"/>
      <c r="I352" s="19">
        <f t="shared" si="67"/>
        <v>1</v>
      </c>
      <c r="J352" s="665"/>
      <c r="K352" s="19">
        <f t="shared" si="68"/>
        <v>1</v>
      </c>
      <c r="L352" s="665"/>
      <c r="M352" s="19">
        <f t="shared" si="69"/>
        <v>1</v>
      </c>
      <c r="N352" s="665"/>
      <c r="O352" s="19">
        <f t="shared" si="70"/>
        <v>1</v>
      </c>
      <c r="P352" s="665"/>
      <c r="Q352" s="19">
        <f t="shared" si="71"/>
        <v>1</v>
      </c>
      <c r="R352" s="661">
        <f t="shared" si="72"/>
        <v>0</v>
      </c>
      <c r="S352" s="314">
        <f t="shared" si="63"/>
        <v>0</v>
      </c>
    </row>
    <row r="353" spans="1:19">
      <c r="A353" s="148"/>
      <c r="B353" s="52"/>
      <c r="C353" s="19">
        <f t="shared" si="64"/>
        <v>1</v>
      </c>
      <c r="D353" s="665"/>
      <c r="E353" s="19">
        <f t="shared" si="65"/>
        <v>1</v>
      </c>
      <c r="F353" s="665"/>
      <c r="G353" s="19">
        <f t="shared" si="66"/>
        <v>1</v>
      </c>
      <c r="H353" s="665"/>
      <c r="I353" s="19">
        <f t="shared" si="67"/>
        <v>1</v>
      </c>
      <c r="J353" s="665"/>
      <c r="K353" s="19">
        <f t="shared" si="68"/>
        <v>1</v>
      </c>
      <c r="L353" s="665"/>
      <c r="M353" s="19">
        <f t="shared" si="69"/>
        <v>1</v>
      </c>
      <c r="N353" s="665"/>
      <c r="O353" s="19">
        <f t="shared" si="70"/>
        <v>1</v>
      </c>
      <c r="P353" s="665"/>
      <c r="Q353" s="19">
        <f t="shared" si="71"/>
        <v>1</v>
      </c>
      <c r="R353" s="661">
        <f t="shared" si="72"/>
        <v>0</v>
      </c>
      <c r="S353" s="314">
        <f t="shared" si="63"/>
        <v>0</v>
      </c>
    </row>
    <row r="354" spans="1:19">
      <c r="A354" s="148"/>
      <c r="B354" s="52"/>
      <c r="C354" s="19">
        <f t="shared" si="64"/>
        <v>1</v>
      </c>
      <c r="D354" s="665"/>
      <c r="E354" s="19">
        <f t="shared" si="65"/>
        <v>1</v>
      </c>
      <c r="F354" s="665"/>
      <c r="G354" s="19">
        <f t="shared" si="66"/>
        <v>1</v>
      </c>
      <c r="H354" s="665"/>
      <c r="I354" s="19">
        <f t="shared" si="67"/>
        <v>1</v>
      </c>
      <c r="J354" s="665"/>
      <c r="K354" s="19">
        <f t="shared" si="68"/>
        <v>1</v>
      </c>
      <c r="L354" s="665"/>
      <c r="M354" s="19">
        <f t="shared" si="69"/>
        <v>1</v>
      </c>
      <c r="N354" s="665"/>
      <c r="O354" s="19">
        <f t="shared" si="70"/>
        <v>1</v>
      </c>
      <c r="P354" s="665"/>
      <c r="Q354" s="19">
        <f t="shared" si="71"/>
        <v>1</v>
      </c>
      <c r="R354" s="661">
        <f t="shared" si="72"/>
        <v>0</v>
      </c>
      <c r="S354" s="314">
        <f t="shared" si="63"/>
        <v>0</v>
      </c>
    </row>
    <row r="355" spans="1:19">
      <c r="A355" s="148"/>
      <c r="B355" s="52"/>
      <c r="C355" s="19">
        <f t="shared" si="64"/>
        <v>1</v>
      </c>
      <c r="D355" s="665"/>
      <c r="E355" s="19">
        <f t="shared" si="65"/>
        <v>1</v>
      </c>
      <c r="F355" s="665"/>
      <c r="G355" s="19">
        <f t="shared" si="66"/>
        <v>1</v>
      </c>
      <c r="H355" s="665"/>
      <c r="I355" s="19">
        <f t="shared" si="67"/>
        <v>1</v>
      </c>
      <c r="J355" s="665"/>
      <c r="K355" s="19">
        <f t="shared" si="68"/>
        <v>1</v>
      </c>
      <c r="L355" s="665"/>
      <c r="M355" s="19">
        <f t="shared" si="69"/>
        <v>1</v>
      </c>
      <c r="N355" s="665"/>
      <c r="O355" s="19">
        <f t="shared" si="70"/>
        <v>1</v>
      </c>
      <c r="P355" s="665"/>
      <c r="Q355" s="19">
        <f t="shared" si="71"/>
        <v>1</v>
      </c>
      <c r="R355" s="661">
        <f t="shared" si="72"/>
        <v>0</v>
      </c>
      <c r="S355" s="314">
        <f t="shared" si="63"/>
        <v>0</v>
      </c>
    </row>
    <row r="356" spans="1:19">
      <c r="A356" s="148"/>
      <c r="B356" s="52"/>
      <c r="C356" s="19">
        <f t="shared" si="64"/>
        <v>1</v>
      </c>
      <c r="D356" s="665"/>
      <c r="E356" s="19">
        <f t="shared" si="65"/>
        <v>1</v>
      </c>
      <c r="F356" s="665"/>
      <c r="G356" s="19">
        <f t="shared" si="66"/>
        <v>1</v>
      </c>
      <c r="H356" s="665"/>
      <c r="I356" s="19">
        <f t="shared" si="67"/>
        <v>1</v>
      </c>
      <c r="J356" s="665"/>
      <c r="K356" s="19">
        <f t="shared" si="68"/>
        <v>1</v>
      </c>
      <c r="L356" s="665"/>
      <c r="M356" s="19">
        <f t="shared" si="69"/>
        <v>1</v>
      </c>
      <c r="N356" s="665"/>
      <c r="O356" s="19">
        <f t="shared" si="70"/>
        <v>1</v>
      </c>
      <c r="P356" s="665"/>
      <c r="Q356" s="19">
        <f t="shared" si="71"/>
        <v>1</v>
      </c>
      <c r="R356" s="661">
        <f t="shared" si="72"/>
        <v>0</v>
      </c>
      <c r="S356" s="314">
        <f t="shared" si="63"/>
        <v>0</v>
      </c>
    </row>
    <row r="357" spans="1:19">
      <c r="A357" s="148"/>
      <c r="B357" s="52"/>
      <c r="C357" s="19">
        <f t="shared" si="64"/>
        <v>1</v>
      </c>
      <c r="D357" s="665"/>
      <c r="E357" s="19">
        <f t="shared" si="65"/>
        <v>1</v>
      </c>
      <c r="F357" s="665"/>
      <c r="G357" s="19">
        <f t="shared" si="66"/>
        <v>1</v>
      </c>
      <c r="H357" s="665"/>
      <c r="I357" s="19">
        <f t="shared" si="67"/>
        <v>1</v>
      </c>
      <c r="J357" s="665"/>
      <c r="K357" s="19">
        <f t="shared" si="68"/>
        <v>1</v>
      </c>
      <c r="L357" s="665"/>
      <c r="M357" s="19">
        <f t="shared" si="69"/>
        <v>1</v>
      </c>
      <c r="N357" s="665"/>
      <c r="O357" s="19">
        <f t="shared" si="70"/>
        <v>1</v>
      </c>
      <c r="P357" s="665"/>
      <c r="Q357" s="19">
        <f t="shared" si="71"/>
        <v>1</v>
      </c>
      <c r="R357" s="661">
        <f t="shared" si="72"/>
        <v>0</v>
      </c>
      <c r="S357" s="314">
        <f t="shared" si="63"/>
        <v>0</v>
      </c>
    </row>
    <row r="358" spans="1:19">
      <c r="A358" s="148"/>
      <c r="B358" s="52"/>
      <c r="C358" s="19">
        <f t="shared" si="64"/>
        <v>1</v>
      </c>
      <c r="D358" s="665"/>
      <c r="E358" s="19">
        <f t="shared" si="65"/>
        <v>1</v>
      </c>
      <c r="F358" s="665"/>
      <c r="G358" s="19">
        <f t="shared" si="66"/>
        <v>1</v>
      </c>
      <c r="H358" s="665"/>
      <c r="I358" s="19">
        <f t="shared" si="67"/>
        <v>1</v>
      </c>
      <c r="J358" s="665"/>
      <c r="K358" s="19">
        <f t="shared" si="68"/>
        <v>1</v>
      </c>
      <c r="L358" s="665"/>
      <c r="M358" s="19">
        <f t="shared" si="69"/>
        <v>1</v>
      </c>
      <c r="N358" s="665"/>
      <c r="O358" s="19">
        <f t="shared" si="70"/>
        <v>1</v>
      </c>
      <c r="P358" s="665"/>
      <c r="Q358" s="19">
        <f t="shared" si="71"/>
        <v>1</v>
      </c>
      <c r="R358" s="661">
        <f t="shared" si="72"/>
        <v>0</v>
      </c>
      <c r="S358" s="314">
        <f t="shared" si="63"/>
        <v>0</v>
      </c>
    </row>
    <row r="359" spans="1:19">
      <c r="A359" s="148"/>
      <c r="B359" s="52"/>
      <c r="C359" s="19">
        <f t="shared" si="64"/>
        <v>1</v>
      </c>
      <c r="D359" s="665"/>
      <c r="E359" s="19">
        <f t="shared" si="65"/>
        <v>1</v>
      </c>
      <c r="F359" s="665"/>
      <c r="G359" s="19">
        <f t="shared" si="66"/>
        <v>1</v>
      </c>
      <c r="H359" s="665"/>
      <c r="I359" s="19">
        <f t="shared" si="67"/>
        <v>1</v>
      </c>
      <c r="J359" s="665"/>
      <c r="K359" s="19">
        <f t="shared" si="68"/>
        <v>1</v>
      </c>
      <c r="L359" s="665"/>
      <c r="M359" s="19">
        <f t="shared" si="69"/>
        <v>1</v>
      </c>
      <c r="N359" s="665"/>
      <c r="O359" s="19">
        <f t="shared" si="70"/>
        <v>1</v>
      </c>
      <c r="P359" s="665"/>
      <c r="Q359" s="19">
        <f t="shared" si="71"/>
        <v>1</v>
      </c>
      <c r="R359" s="661">
        <f t="shared" si="72"/>
        <v>0</v>
      </c>
      <c r="S359" s="314">
        <f t="shared" si="63"/>
        <v>0</v>
      </c>
    </row>
    <row r="360" spans="1:19">
      <c r="A360" s="148"/>
      <c r="B360" s="52"/>
      <c r="C360" s="19">
        <f t="shared" si="64"/>
        <v>1</v>
      </c>
      <c r="D360" s="665"/>
      <c r="E360" s="19">
        <f t="shared" si="65"/>
        <v>1</v>
      </c>
      <c r="F360" s="665"/>
      <c r="G360" s="19">
        <f t="shared" si="66"/>
        <v>1</v>
      </c>
      <c r="H360" s="665"/>
      <c r="I360" s="19">
        <f t="shared" si="67"/>
        <v>1</v>
      </c>
      <c r="J360" s="665"/>
      <c r="K360" s="19">
        <f t="shared" si="68"/>
        <v>1</v>
      </c>
      <c r="L360" s="665"/>
      <c r="M360" s="19">
        <f t="shared" si="69"/>
        <v>1</v>
      </c>
      <c r="N360" s="665"/>
      <c r="O360" s="19">
        <f t="shared" si="70"/>
        <v>1</v>
      </c>
      <c r="P360" s="665"/>
      <c r="Q360" s="19">
        <f t="shared" si="71"/>
        <v>1</v>
      </c>
      <c r="R360" s="661">
        <f t="shared" si="72"/>
        <v>0</v>
      </c>
      <c r="S360" s="314">
        <f t="shared" si="63"/>
        <v>0</v>
      </c>
    </row>
    <row r="361" spans="1:19">
      <c r="A361" s="148"/>
      <c r="B361" s="52"/>
      <c r="C361" s="19">
        <f t="shared" si="64"/>
        <v>1</v>
      </c>
      <c r="D361" s="665"/>
      <c r="E361" s="19">
        <f t="shared" si="65"/>
        <v>1</v>
      </c>
      <c r="F361" s="665"/>
      <c r="G361" s="19">
        <f t="shared" si="66"/>
        <v>1</v>
      </c>
      <c r="H361" s="665"/>
      <c r="I361" s="19">
        <f t="shared" si="67"/>
        <v>1</v>
      </c>
      <c r="J361" s="665"/>
      <c r="K361" s="19">
        <f t="shared" si="68"/>
        <v>1</v>
      </c>
      <c r="L361" s="665"/>
      <c r="M361" s="19">
        <f t="shared" si="69"/>
        <v>1</v>
      </c>
      <c r="N361" s="665"/>
      <c r="O361" s="19">
        <f t="shared" si="70"/>
        <v>1</v>
      </c>
      <c r="P361" s="665"/>
      <c r="Q361" s="19">
        <f t="shared" si="71"/>
        <v>1</v>
      </c>
      <c r="R361" s="661">
        <f t="shared" si="72"/>
        <v>0</v>
      </c>
      <c r="S361" s="314">
        <f t="shared" si="63"/>
        <v>0</v>
      </c>
    </row>
    <row r="362" spans="1:19">
      <c r="A362" s="148"/>
      <c r="B362" s="52"/>
      <c r="C362" s="19">
        <f t="shared" si="64"/>
        <v>1</v>
      </c>
      <c r="D362" s="665"/>
      <c r="E362" s="19">
        <f t="shared" si="65"/>
        <v>1</v>
      </c>
      <c r="F362" s="665"/>
      <c r="G362" s="19">
        <f t="shared" si="66"/>
        <v>1</v>
      </c>
      <c r="H362" s="665"/>
      <c r="I362" s="19">
        <f t="shared" si="67"/>
        <v>1</v>
      </c>
      <c r="J362" s="665"/>
      <c r="K362" s="19">
        <f t="shared" si="68"/>
        <v>1</v>
      </c>
      <c r="L362" s="665"/>
      <c r="M362" s="19">
        <f t="shared" si="69"/>
        <v>1</v>
      </c>
      <c r="N362" s="665"/>
      <c r="O362" s="19">
        <f t="shared" si="70"/>
        <v>1</v>
      </c>
      <c r="P362" s="665"/>
      <c r="Q362" s="19">
        <f t="shared" si="71"/>
        <v>1</v>
      </c>
      <c r="R362" s="661">
        <f t="shared" si="72"/>
        <v>0</v>
      </c>
      <c r="S362" s="314">
        <f t="shared" si="63"/>
        <v>0</v>
      </c>
    </row>
    <row r="363" spans="1:19">
      <c r="A363" s="148"/>
      <c r="B363" s="52"/>
      <c r="C363" s="19">
        <f t="shared" si="64"/>
        <v>1</v>
      </c>
      <c r="D363" s="665"/>
      <c r="E363" s="19">
        <f t="shared" si="65"/>
        <v>1</v>
      </c>
      <c r="F363" s="665"/>
      <c r="G363" s="19">
        <f t="shared" si="66"/>
        <v>1</v>
      </c>
      <c r="H363" s="665"/>
      <c r="I363" s="19">
        <f t="shared" si="67"/>
        <v>1</v>
      </c>
      <c r="J363" s="665"/>
      <c r="K363" s="19">
        <f t="shared" si="68"/>
        <v>1</v>
      </c>
      <c r="L363" s="665"/>
      <c r="M363" s="19">
        <f t="shared" si="69"/>
        <v>1</v>
      </c>
      <c r="N363" s="665"/>
      <c r="O363" s="19">
        <f t="shared" si="70"/>
        <v>1</v>
      </c>
      <c r="P363" s="665"/>
      <c r="Q363" s="19">
        <f t="shared" si="71"/>
        <v>1</v>
      </c>
      <c r="R363" s="661">
        <f t="shared" si="72"/>
        <v>0</v>
      </c>
      <c r="S363" s="314">
        <f t="shared" si="63"/>
        <v>0</v>
      </c>
    </row>
    <row r="364" spans="1:19">
      <c r="A364" s="148"/>
      <c r="B364" s="52"/>
      <c r="C364" s="19">
        <f t="shared" si="64"/>
        <v>1</v>
      </c>
      <c r="D364" s="665"/>
      <c r="E364" s="19">
        <f t="shared" si="65"/>
        <v>1</v>
      </c>
      <c r="F364" s="665"/>
      <c r="G364" s="19">
        <f t="shared" si="66"/>
        <v>1</v>
      </c>
      <c r="H364" s="665"/>
      <c r="I364" s="19">
        <f t="shared" si="67"/>
        <v>1</v>
      </c>
      <c r="J364" s="665"/>
      <c r="K364" s="19">
        <f t="shared" si="68"/>
        <v>1</v>
      </c>
      <c r="L364" s="665"/>
      <c r="M364" s="19">
        <f t="shared" si="69"/>
        <v>1</v>
      </c>
      <c r="N364" s="665"/>
      <c r="O364" s="19">
        <f t="shared" si="70"/>
        <v>1</v>
      </c>
      <c r="P364" s="665"/>
      <c r="Q364" s="19">
        <f t="shared" si="71"/>
        <v>1</v>
      </c>
      <c r="R364" s="661">
        <f t="shared" si="72"/>
        <v>0</v>
      </c>
      <c r="S364" s="314">
        <f t="shared" si="63"/>
        <v>0</v>
      </c>
    </row>
    <row r="365" spans="1:19">
      <c r="A365" s="148"/>
      <c r="B365" s="52"/>
      <c r="C365" s="19">
        <f t="shared" si="64"/>
        <v>1</v>
      </c>
      <c r="D365" s="665"/>
      <c r="E365" s="19">
        <f t="shared" si="65"/>
        <v>1</v>
      </c>
      <c r="F365" s="665"/>
      <c r="G365" s="19">
        <f t="shared" si="66"/>
        <v>1</v>
      </c>
      <c r="H365" s="665"/>
      <c r="I365" s="19">
        <f t="shared" si="67"/>
        <v>1</v>
      </c>
      <c r="J365" s="665"/>
      <c r="K365" s="19">
        <f t="shared" si="68"/>
        <v>1</v>
      </c>
      <c r="L365" s="665"/>
      <c r="M365" s="19">
        <f t="shared" si="69"/>
        <v>1</v>
      </c>
      <c r="N365" s="665"/>
      <c r="O365" s="19">
        <f t="shared" si="70"/>
        <v>1</v>
      </c>
      <c r="P365" s="665"/>
      <c r="Q365" s="19">
        <f t="shared" si="71"/>
        <v>1</v>
      </c>
      <c r="R365" s="661">
        <f t="shared" si="72"/>
        <v>0</v>
      </c>
      <c r="S365" s="314">
        <f t="shared" si="63"/>
        <v>0</v>
      </c>
    </row>
    <row r="366" spans="1:19">
      <c r="A366" s="148"/>
      <c r="B366" s="52"/>
      <c r="C366" s="19">
        <f t="shared" si="64"/>
        <v>1</v>
      </c>
      <c r="D366" s="665"/>
      <c r="E366" s="19">
        <f t="shared" si="65"/>
        <v>1</v>
      </c>
      <c r="F366" s="665"/>
      <c r="G366" s="19">
        <f t="shared" si="66"/>
        <v>1</v>
      </c>
      <c r="H366" s="665"/>
      <c r="I366" s="19">
        <f t="shared" si="67"/>
        <v>1</v>
      </c>
      <c r="J366" s="665"/>
      <c r="K366" s="19">
        <f t="shared" si="68"/>
        <v>1</v>
      </c>
      <c r="L366" s="665"/>
      <c r="M366" s="19">
        <f t="shared" si="69"/>
        <v>1</v>
      </c>
      <c r="N366" s="665"/>
      <c r="O366" s="19">
        <f t="shared" si="70"/>
        <v>1</v>
      </c>
      <c r="P366" s="665"/>
      <c r="Q366" s="19">
        <f t="shared" si="71"/>
        <v>1</v>
      </c>
      <c r="R366" s="661">
        <f t="shared" si="72"/>
        <v>0</v>
      </c>
      <c r="S366" s="314">
        <f t="shared" si="63"/>
        <v>0</v>
      </c>
    </row>
    <row r="367" spans="1:19">
      <c r="A367" s="148"/>
      <c r="B367" s="52"/>
      <c r="C367" s="19">
        <f t="shared" si="64"/>
        <v>1</v>
      </c>
      <c r="D367" s="665"/>
      <c r="E367" s="19">
        <f t="shared" si="65"/>
        <v>1</v>
      </c>
      <c r="F367" s="665"/>
      <c r="G367" s="19">
        <f t="shared" si="66"/>
        <v>1</v>
      </c>
      <c r="H367" s="665"/>
      <c r="I367" s="19">
        <f t="shared" si="67"/>
        <v>1</v>
      </c>
      <c r="J367" s="665"/>
      <c r="K367" s="19">
        <f t="shared" si="68"/>
        <v>1</v>
      </c>
      <c r="L367" s="665"/>
      <c r="M367" s="19">
        <f t="shared" si="69"/>
        <v>1</v>
      </c>
      <c r="N367" s="665"/>
      <c r="O367" s="19">
        <f t="shared" si="70"/>
        <v>1</v>
      </c>
      <c r="P367" s="665"/>
      <c r="Q367" s="19">
        <f t="shared" si="71"/>
        <v>1</v>
      </c>
      <c r="R367" s="661">
        <f t="shared" si="72"/>
        <v>0</v>
      </c>
      <c r="S367" s="314">
        <f t="shared" si="63"/>
        <v>0</v>
      </c>
    </row>
    <row r="368" spans="1:19">
      <c r="A368" s="148"/>
      <c r="B368" s="52"/>
      <c r="C368" s="19">
        <f t="shared" si="64"/>
        <v>1</v>
      </c>
      <c r="D368" s="665"/>
      <c r="E368" s="19">
        <f t="shared" si="65"/>
        <v>1</v>
      </c>
      <c r="F368" s="665"/>
      <c r="G368" s="19">
        <f t="shared" si="66"/>
        <v>1</v>
      </c>
      <c r="H368" s="665"/>
      <c r="I368" s="19">
        <f t="shared" si="67"/>
        <v>1</v>
      </c>
      <c r="J368" s="665"/>
      <c r="K368" s="19">
        <f t="shared" si="68"/>
        <v>1</v>
      </c>
      <c r="L368" s="665"/>
      <c r="M368" s="19">
        <f t="shared" si="69"/>
        <v>1</v>
      </c>
      <c r="N368" s="665"/>
      <c r="O368" s="19">
        <f t="shared" si="70"/>
        <v>1</v>
      </c>
      <c r="P368" s="665"/>
      <c r="Q368" s="19">
        <f t="shared" si="71"/>
        <v>1</v>
      </c>
      <c r="R368" s="661">
        <f t="shared" si="72"/>
        <v>0</v>
      </c>
      <c r="S368" s="314">
        <f t="shared" si="63"/>
        <v>0</v>
      </c>
    </row>
    <row r="369" spans="1:19">
      <c r="A369" s="148"/>
      <c r="B369" s="52"/>
      <c r="C369" s="19">
        <f t="shared" si="64"/>
        <v>1</v>
      </c>
      <c r="D369" s="665"/>
      <c r="E369" s="19">
        <f t="shared" si="65"/>
        <v>1</v>
      </c>
      <c r="F369" s="665"/>
      <c r="G369" s="19">
        <f t="shared" si="66"/>
        <v>1</v>
      </c>
      <c r="H369" s="665"/>
      <c r="I369" s="19">
        <f t="shared" si="67"/>
        <v>1</v>
      </c>
      <c r="J369" s="665"/>
      <c r="K369" s="19">
        <f t="shared" si="68"/>
        <v>1</v>
      </c>
      <c r="L369" s="665"/>
      <c r="M369" s="19">
        <f t="shared" si="69"/>
        <v>1</v>
      </c>
      <c r="N369" s="665"/>
      <c r="O369" s="19">
        <f t="shared" si="70"/>
        <v>1</v>
      </c>
      <c r="P369" s="665"/>
      <c r="Q369" s="19">
        <f t="shared" si="71"/>
        <v>1</v>
      </c>
      <c r="R369" s="661">
        <f t="shared" si="72"/>
        <v>0</v>
      </c>
      <c r="S369" s="314">
        <f t="shared" si="63"/>
        <v>0</v>
      </c>
    </row>
    <row r="370" spans="1:19">
      <c r="A370" s="148"/>
      <c r="B370" s="52"/>
      <c r="C370" s="19">
        <f t="shared" si="64"/>
        <v>1</v>
      </c>
      <c r="D370" s="665"/>
      <c r="E370" s="19">
        <f t="shared" si="65"/>
        <v>1</v>
      </c>
      <c r="F370" s="665"/>
      <c r="G370" s="19">
        <f t="shared" si="66"/>
        <v>1</v>
      </c>
      <c r="H370" s="665"/>
      <c r="I370" s="19">
        <f t="shared" si="67"/>
        <v>1</v>
      </c>
      <c r="J370" s="665"/>
      <c r="K370" s="19">
        <f t="shared" si="68"/>
        <v>1</v>
      </c>
      <c r="L370" s="665"/>
      <c r="M370" s="19">
        <f t="shared" si="69"/>
        <v>1</v>
      </c>
      <c r="N370" s="665"/>
      <c r="O370" s="19">
        <f t="shared" si="70"/>
        <v>1</v>
      </c>
      <c r="P370" s="665"/>
      <c r="Q370" s="19">
        <f t="shared" si="71"/>
        <v>1</v>
      </c>
      <c r="R370" s="661">
        <f t="shared" si="72"/>
        <v>0</v>
      </c>
      <c r="S370" s="314">
        <f t="shared" si="63"/>
        <v>0</v>
      </c>
    </row>
    <row r="371" spans="1:19">
      <c r="A371" s="148"/>
      <c r="B371" s="52"/>
      <c r="C371" s="19">
        <f t="shared" si="64"/>
        <v>1</v>
      </c>
      <c r="D371" s="665"/>
      <c r="E371" s="19">
        <f t="shared" si="65"/>
        <v>1</v>
      </c>
      <c r="F371" s="665"/>
      <c r="G371" s="19">
        <f t="shared" si="66"/>
        <v>1</v>
      </c>
      <c r="H371" s="665"/>
      <c r="I371" s="19">
        <f t="shared" si="67"/>
        <v>1</v>
      </c>
      <c r="J371" s="665"/>
      <c r="K371" s="19">
        <f t="shared" si="68"/>
        <v>1</v>
      </c>
      <c r="L371" s="665"/>
      <c r="M371" s="19">
        <f t="shared" si="69"/>
        <v>1</v>
      </c>
      <c r="N371" s="665"/>
      <c r="O371" s="19">
        <f t="shared" si="70"/>
        <v>1</v>
      </c>
      <c r="P371" s="665"/>
      <c r="Q371" s="19">
        <f t="shared" si="71"/>
        <v>1</v>
      </c>
      <c r="R371" s="661">
        <f t="shared" si="72"/>
        <v>0</v>
      </c>
      <c r="S371" s="314">
        <f t="shared" si="63"/>
        <v>0</v>
      </c>
    </row>
    <row r="372" spans="1:19">
      <c r="A372" s="148"/>
      <c r="B372" s="52"/>
      <c r="C372" s="19">
        <f t="shared" si="64"/>
        <v>1</v>
      </c>
      <c r="D372" s="665"/>
      <c r="E372" s="19">
        <f t="shared" si="65"/>
        <v>1</v>
      </c>
      <c r="F372" s="665"/>
      <c r="G372" s="19">
        <f t="shared" si="66"/>
        <v>1</v>
      </c>
      <c r="H372" s="665"/>
      <c r="I372" s="19">
        <f t="shared" si="67"/>
        <v>1</v>
      </c>
      <c r="J372" s="665"/>
      <c r="K372" s="19">
        <f t="shared" si="68"/>
        <v>1</v>
      </c>
      <c r="L372" s="665"/>
      <c r="M372" s="19">
        <f t="shared" si="69"/>
        <v>1</v>
      </c>
      <c r="N372" s="665"/>
      <c r="O372" s="19">
        <f t="shared" si="70"/>
        <v>1</v>
      </c>
      <c r="P372" s="665"/>
      <c r="Q372" s="19">
        <f t="shared" si="71"/>
        <v>1</v>
      </c>
      <c r="R372" s="661">
        <f t="shared" si="72"/>
        <v>0</v>
      </c>
      <c r="S372" s="314">
        <f t="shared" si="63"/>
        <v>0</v>
      </c>
    </row>
    <row r="373" spans="1:19">
      <c r="A373" s="148"/>
      <c r="B373" s="52"/>
      <c r="C373" s="19">
        <f t="shared" si="64"/>
        <v>1</v>
      </c>
      <c r="D373" s="665"/>
      <c r="E373" s="19">
        <f t="shared" si="65"/>
        <v>1</v>
      </c>
      <c r="F373" s="665"/>
      <c r="G373" s="19">
        <f t="shared" si="66"/>
        <v>1</v>
      </c>
      <c r="H373" s="665"/>
      <c r="I373" s="19">
        <f t="shared" si="67"/>
        <v>1</v>
      </c>
      <c r="J373" s="665"/>
      <c r="K373" s="19">
        <f t="shared" si="68"/>
        <v>1</v>
      </c>
      <c r="L373" s="665"/>
      <c r="M373" s="19">
        <f t="shared" si="69"/>
        <v>1</v>
      </c>
      <c r="N373" s="665"/>
      <c r="O373" s="19">
        <f t="shared" si="70"/>
        <v>1</v>
      </c>
      <c r="P373" s="665"/>
      <c r="Q373" s="19">
        <f t="shared" si="71"/>
        <v>1</v>
      </c>
      <c r="R373" s="661">
        <f t="shared" si="72"/>
        <v>0</v>
      </c>
      <c r="S373" s="314">
        <f t="shared" si="63"/>
        <v>0</v>
      </c>
    </row>
    <row r="374" spans="1:19">
      <c r="A374" s="148"/>
      <c r="B374" s="52"/>
      <c r="C374" s="19">
        <f t="shared" si="64"/>
        <v>1</v>
      </c>
      <c r="D374" s="665"/>
      <c r="E374" s="19">
        <f t="shared" si="65"/>
        <v>1</v>
      </c>
      <c r="F374" s="665"/>
      <c r="G374" s="19">
        <f t="shared" si="66"/>
        <v>1</v>
      </c>
      <c r="H374" s="665"/>
      <c r="I374" s="19">
        <f t="shared" si="67"/>
        <v>1</v>
      </c>
      <c r="J374" s="665"/>
      <c r="K374" s="19">
        <f t="shared" si="68"/>
        <v>1</v>
      </c>
      <c r="L374" s="665"/>
      <c r="M374" s="19">
        <f t="shared" si="69"/>
        <v>1</v>
      </c>
      <c r="N374" s="665"/>
      <c r="O374" s="19">
        <f t="shared" si="70"/>
        <v>1</v>
      </c>
      <c r="P374" s="665"/>
      <c r="Q374" s="19">
        <f t="shared" si="71"/>
        <v>1</v>
      </c>
      <c r="R374" s="661">
        <f t="shared" si="72"/>
        <v>0</v>
      </c>
      <c r="S374" s="314">
        <f t="shared" si="63"/>
        <v>0</v>
      </c>
    </row>
    <row r="375" spans="1:19">
      <c r="A375" s="148"/>
      <c r="B375" s="52"/>
      <c r="C375" s="19">
        <f t="shared" si="64"/>
        <v>1</v>
      </c>
      <c r="D375" s="665"/>
      <c r="E375" s="19">
        <f t="shared" si="65"/>
        <v>1</v>
      </c>
      <c r="F375" s="665"/>
      <c r="G375" s="19">
        <f t="shared" si="66"/>
        <v>1</v>
      </c>
      <c r="H375" s="665"/>
      <c r="I375" s="19">
        <f t="shared" si="67"/>
        <v>1</v>
      </c>
      <c r="J375" s="665"/>
      <c r="K375" s="19">
        <f t="shared" si="68"/>
        <v>1</v>
      </c>
      <c r="L375" s="665"/>
      <c r="M375" s="19">
        <f t="shared" si="69"/>
        <v>1</v>
      </c>
      <c r="N375" s="665"/>
      <c r="O375" s="19">
        <f t="shared" si="70"/>
        <v>1</v>
      </c>
      <c r="P375" s="665"/>
      <c r="Q375" s="19">
        <f t="shared" si="71"/>
        <v>1</v>
      </c>
      <c r="R375" s="661">
        <f t="shared" si="72"/>
        <v>0</v>
      </c>
      <c r="S375" s="314">
        <f t="shared" si="63"/>
        <v>0</v>
      </c>
    </row>
    <row r="376" spans="1:19">
      <c r="A376" s="148"/>
      <c r="B376" s="52"/>
      <c r="C376" s="19">
        <f t="shared" si="64"/>
        <v>1</v>
      </c>
      <c r="D376" s="665"/>
      <c r="E376" s="19">
        <f t="shared" si="65"/>
        <v>1</v>
      </c>
      <c r="F376" s="665"/>
      <c r="G376" s="19">
        <f t="shared" si="66"/>
        <v>1</v>
      </c>
      <c r="H376" s="665"/>
      <c r="I376" s="19">
        <f t="shared" si="67"/>
        <v>1</v>
      </c>
      <c r="J376" s="665"/>
      <c r="K376" s="19">
        <f t="shared" si="68"/>
        <v>1</v>
      </c>
      <c r="L376" s="665"/>
      <c r="M376" s="19">
        <f t="shared" si="69"/>
        <v>1</v>
      </c>
      <c r="N376" s="665"/>
      <c r="O376" s="19">
        <f t="shared" si="70"/>
        <v>1</v>
      </c>
      <c r="P376" s="665"/>
      <c r="Q376" s="19">
        <f t="shared" si="71"/>
        <v>1</v>
      </c>
      <c r="R376" s="661">
        <f t="shared" si="72"/>
        <v>0</v>
      </c>
      <c r="S376" s="314">
        <f t="shared" si="63"/>
        <v>0</v>
      </c>
    </row>
    <row r="377" spans="1:19">
      <c r="A377" s="148"/>
      <c r="B377" s="52"/>
      <c r="C377" s="19">
        <f t="shared" si="64"/>
        <v>1</v>
      </c>
      <c r="D377" s="665"/>
      <c r="E377" s="19">
        <f t="shared" si="65"/>
        <v>1</v>
      </c>
      <c r="F377" s="665"/>
      <c r="G377" s="19">
        <f t="shared" si="66"/>
        <v>1</v>
      </c>
      <c r="H377" s="665"/>
      <c r="I377" s="19">
        <f t="shared" si="67"/>
        <v>1</v>
      </c>
      <c r="J377" s="665"/>
      <c r="K377" s="19">
        <f t="shared" si="68"/>
        <v>1</v>
      </c>
      <c r="L377" s="665"/>
      <c r="M377" s="19">
        <f t="shared" si="69"/>
        <v>1</v>
      </c>
      <c r="N377" s="665"/>
      <c r="O377" s="19">
        <f t="shared" si="70"/>
        <v>1</v>
      </c>
      <c r="P377" s="665"/>
      <c r="Q377" s="19">
        <f t="shared" si="71"/>
        <v>1</v>
      </c>
      <c r="R377" s="661">
        <f t="shared" si="72"/>
        <v>0</v>
      </c>
      <c r="S377" s="314">
        <f t="shared" si="63"/>
        <v>0</v>
      </c>
    </row>
    <row r="378" spans="1:19">
      <c r="A378" s="148"/>
      <c r="B378" s="52"/>
      <c r="C378" s="19">
        <f t="shared" si="64"/>
        <v>1</v>
      </c>
      <c r="D378" s="665"/>
      <c r="E378" s="19">
        <f t="shared" si="65"/>
        <v>1</v>
      </c>
      <c r="F378" s="665"/>
      <c r="G378" s="19">
        <f t="shared" si="66"/>
        <v>1</v>
      </c>
      <c r="H378" s="665"/>
      <c r="I378" s="19">
        <f t="shared" si="67"/>
        <v>1</v>
      </c>
      <c r="J378" s="665"/>
      <c r="K378" s="19">
        <f t="shared" si="68"/>
        <v>1</v>
      </c>
      <c r="L378" s="665"/>
      <c r="M378" s="19">
        <f t="shared" si="69"/>
        <v>1</v>
      </c>
      <c r="N378" s="665"/>
      <c r="O378" s="19">
        <f t="shared" si="70"/>
        <v>1</v>
      </c>
      <c r="P378" s="665"/>
      <c r="Q378" s="19">
        <f t="shared" si="71"/>
        <v>1</v>
      </c>
      <c r="R378" s="661">
        <f t="shared" si="72"/>
        <v>0</v>
      </c>
      <c r="S378" s="314">
        <f t="shared" si="63"/>
        <v>0</v>
      </c>
    </row>
    <row r="379" spans="1:19">
      <c r="A379" s="148"/>
      <c r="B379" s="52"/>
      <c r="C379" s="19">
        <f t="shared" si="64"/>
        <v>1</v>
      </c>
      <c r="D379" s="665"/>
      <c r="E379" s="19">
        <f t="shared" si="65"/>
        <v>1</v>
      </c>
      <c r="F379" s="665"/>
      <c r="G379" s="19">
        <f t="shared" si="66"/>
        <v>1</v>
      </c>
      <c r="H379" s="665"/>
      <c r="I379" s="19">
        <f t="shared" si="67"/>
        <v>1</v>
      </c>
      <c r="J379" s="665"/>
      <c r="K379" s="19">
        <f t="shared" si="68"/>
        <v>1</v>
      </c>
      <c r="L379" s="665"/>
      <c r="M379" s="19">
        <f t="shared" si="69"/>
        <v>1</v>
      </c>
      <c r="N379" s="665"/>
      <c r="O379" s="19">
        <f t="shared" si="70"/>
        <v>1</v>
      </c>
      <c r="P379" s="665"/>
      <c r="Q379" s="19">
        <f t="shared" si="71"/>
        <v>1</v>
      </c>
      <c r="R379" s="661">
        <f t="shared" si="72"/>
        <v>0</v>
      </c>
      <c r="S379" s="314">
        <f t="shared" si="63"/>
        <v>0</v>
      </c>
    </row>
    <row r="380" spans="1:19">
      <c r="A380" s="148"/>
      <c r="B380" s="52"/>
      <c r="C380" s="19">
        <f t="shared" si="64"/>
        <v>1</v>
      </c>
      <c r="D380" s="665"/>
      <c r="E380" s="19">
        <f t="shared" si="65"/>
        <v>1</v>
      </c>
      <c r="F380" s="665"/>
      <c r="G380" s="19">
        <f t="shared" si="66"/>
        <v>1</v>
      </c>
      <c r="H380" s="665"/>
      <c r="I380" s="19">
        <f t="shared" si="67"/>
        <v>1</v>
      </c>
      <c r="J380" s="665"/>
      <c r="K380" s="19">
        <f t="shared" si="68"/>
        <v>1</v>
      </c>
      <c r="L380" s="665"/>
      <c r="M380" s="19">
        <f t="shared" si="69"/>
        <v>1</v>
      </c>
      <c r="N380" s="665"/>
      <c r="O380" s="19">
        <f t="shared" si="70"/>
        <v>1</v>
      </c>
      <c r="P380" s="665"/>
      <c r="Q380" s="19">
        <f t="shared" si="71"/>
        <v>1</v>
      </c>
      <c r="R380" s="661">
        <f t="shared" si="72"/>
        <v>0</v>
      </c>
      <c r="S380" s="314">
        <f t="shared" si="63"/>
        <v>0</v>
      </c>
    </row>
    <row r="381" spans="1:19">
      <c r="A381" s="148"/>
      <c r="B381" s="52"/>
      <c r="C381" s="19">
        <f t="shared" si="64"/>
        <v>1</v>
      </c>
      <c r="D381" s="665"/>
      <c r="E381" s="19">
        <f t="shared" si="65"/>
        <v>1</v>
      </c>
      <c r="F381" s="665"/>
      <c r="G381" s="19">
        <f t="shared" si="66"/>
        <v>1</v>
      </c>
      <c r="H381" s="665"/>
      <c r="I381" s="19">
        <f t="shared" si="67"/>
        <v>1</v>
      </c>
      <c r="J381" s="665"/>
      <c r="K381" s="19">
        <f t="shared" si="68"/>
        <v>1</v>
      </c>
      <c r="L381" s="665"/>
      <c r="M381" s="19">
        <f t="shared" si="69"/>
        <v>1</v>
      </c>
      <c r="N381" s="665"/>
      <c r="O381" s="19">
        <f t="shared" si="70"/>
        <v>1</v>
      </c>
      <c r="P381" s="665"/>
      <c r="Q381" s="19">
        <f t="shared" si="71"/>
        <v>1</v>
      </c>
      <c r="R381" s="661">
        <f t="shared" si="72"/>
        <v>0</v>
      </c>
      <c r="S381" s="314">
        <f t="shared" si="63"/>
        <v>0</v>
      </c>
    </row>
    <row r="382" spans="1:19">
      <c r="A382" s="148"/>
      <c r="B382" s="52"/>
      <c r="C382" s="19">
        <f t="shared" si="64"/>
        <v>1</v>
      </c>
      <c r="D382" s="665"/>
      <c r="E382" s="19">
        <f t="shared" si="65"/>
        <v>1</v>
      </c>
      <c r="F382" s="665"/>
      <c r="G382" s="19">
        <f t="shared" si="66"/>
        <v>1</v>
      </c>
      <c r="H382" s="665"/>
      <c r="I382" s="19">
        <f t="shared" si="67"/>
        <v>1</v>
      </c>
      <c r="J382" s="665"/>
      <c r="K382" s="19">
        <f t="shared" si="68"/>
        <v>1</v>
      </c>
      <c r="L382" s="665"/>
      <c r="M382" s="19">
        <f t="shared" si="69"/>
        <v>1</v>
      </c>
      <c r="N382" s="665"/>
      <c r="O382" s="19">
        <f t="shared" si="70"/>
        <v>1</v>
      </c>
      <c r="P382" s="665"/>
      <c r="Q382" s="19">
        <f t="shared" si="71"/>
        <v>1</v>
      </c>
      <c r="R382" s="661">
        <f t="shared" si="72"/>
        <v>0</v>
      </c>
      <c r="S382" s="314">
        <f t="shared" si="63"/>
        <v>0</v>
      </c>
    </row>
    <row r="383" spans="1:19">
      <c r="A383" s="148"/>
      <c r="B383" s="52"/>
      <c r="C383" s="19">
        <f t="shared" si="64"/>
        <v>1</v>
      </c>
      <c r="D383" s="665"/>
      <c r="E383" s="19">
        <f t="shared" si="65"/>
        <v>1</v>
      </c>
      <c r="F383" s="665"/>
      <c r="G383" s="19">
        <f t="shared" si="66"/>
        <v>1</v>
      </c>
      <c r="H383" s="665"/>
      <c r="I383" s="19">
        <f t="shared" si="67"/>
        <v>1</v>
      </c>
      <c r="J383" s="665"/>
      <c r="K383" s="19">
        <f t="shared" si="68"/>
        <v>1</v>
      </c>
      <c r="L383" s="665"/>
      <c r="M383" s="19">
        <f t="shared" si="69"/>
        <v>1</v>
      </c>
      <c r="N383" s="665"/>
      <c r="O383" s="19">
        <f t="shared" si="70"/>
        <v>1</v>
      </c>
      <c r="P383" s="665"/>
      <c r="Q383" s="19">
        <f t="shared" si="71"/>
        <v>1</v>
      </c>
      <c r="R383" s="661">
        <f t="shared" si="72"/>
        <v>0</v>
      </c>
      <c r="S383" s="314">
        <f t="shared" si="63"/>
        <v>0</v>
      </c>
    </row>
    <row r="384" spans="1:19">
      <c r="A384" s="148"/>
      <c r="B384" s="52"/>
      <c r="C384" s="19">
        <f t="shared" si="64"/>
        <v>1</v>
      </c>
      <c r="D384" s="665"/>
      <c r="E384" s="19">
        <f t="shared" si="65"/>
        <v>1</v>
      </c>
      <c r="F384" s="665"/>
      <c r="G384" s="19">
        <f t="shared" si="66"/>
        <v>1</v>
      </c>
      <c r="H384" s="665"/>
      <c r="I384" s="19">
        <f t="shared" si="67"/>
        <v>1</v>
      </c>
      <c r="J384" s="665"/>
      <c r="K384" s="19">
        <f t="shared" si="68"/>
        <v>1</v>
      </c>
      <c r="L384" s="665"/>
      <c r="M384" s="19">
        <f t="shared" si="69"/>
        <v>1</v>
      </c>
      <c r="N384" s="665"/>
      <c r="O384" s="19">
        <f t="shared" si="70"/>
        <v>1</v>
      </c>
      <c r="P384" s="665"/>
      <c r="Q384" s="19">
        <f t="shared" si="71"/>
        <v>1</v>
      </c>
      <c r="R384" s="661">
        <f t="shared" si="72"/>
        <v>0</v>
      </c>
      <c r="S384" s="314">
        <f t="shared" si="63"/>
        <v>0</v>
      </c>
    </row>
    <row r="385" spans="1:19">
      <c r="A385" s="148"/>
      <c r="B385" s="52"/>
      <c r="C385" s="19">
        <f t="shared" si="64"/>
        <v>1</v>
      </c>
      <c r="D385" s="665"/>
      <c r="E385" s="19">
        <f t="shared" si="65"/>
        <v>1</v>
      </c>
      <c r="F385" s="665"/>
      <c r="G385" s="19">
        <f t="shared" si="66"/>
        <v>1</v>
      </c>
      <c r="H385" s="665"/>
      <c r="I385" s="19">
        <f t="shared" si="67"/>
        <v>1</v>
      </c>
      <c r="J385" s="665"/>
      <c r="K385" s="19">
        <f t="shared" si="68"/>
        <v>1</v>
      </c>
      <c r="L385" s="665"/>
      <c r="M385" s="19">
        <f t="shared" si="69"/>
        <v>1</v>
      </c>
      <c r="N385" s="665"/>
      <c r="O385" s="19">
        <f t="shared" si="70"/>
        <v>1</v>
      </c>
      <c r="P385" s="665"/>
      <c r="Q385" s="19">
        <f t="shared" si="71"/>
        <v>1</v>
      </c>
      <c r="R385" s="661">
        <f t="shared" si="72"/>
        <v>0</v>
      </c>
      <c r="S385" s="314">
        <f t="shared" ref="S385:S422" si="73">ROUND(R385*B385/10000,0)</f>
        <v>0</v>
      </c>
    </row>
    <row r="386" spans="1:19">
      <c r="A386" s="148"/>
      <c r="B386" s="52"/>
      <c r="C386" s="19">
        <f t="shared" si="64"/>
        <v>1</v>
      </c>
      <c r="D386" s="665"/>
      <c r="E386" s="19">
        <f t="shared" si="65"/>
        <v>1</v>
      </c>
      <c r="F386" s="665"/>
      <c r="G386" s="19">
        <f t="shared" si="66"/>
        <v>1</v>
      </c>
      <c r="H386" s="665"/>
      <c r="I386" s="19">
        <f t="shared" si="67"/>
        <v>1</v>
      </c>
      <c r="J386" s="665"/>
      <c r="K386" s="19">
        <f t="shared" si="68"/>
        <v>1</v>
      </c>
      <c r="L386" s="665"/>
      <c r="M386" s="19">
        <f t="shared" si="69"/>
        <v>1</v>
      </c>
      <c r="N386" s="665"/>
      <c r="O386" s="19">
        <f t="shared" si="70"/>
        <v>1</v>
      </c>
      <c r="P386" s="665"/>
      <c r="Q386" s="19">
        <f t="shared" si="71"/>
        <v>1</v>
      </c>
      <c r="R386" s="661">
        <f t="shared" si="72"/>
        <v>0</v>
      </c>
      <c r="S386" s="314">
        <f t="shared" si="73"/>
        <v>0</v>
      </c>
    </row>
    <row r="387" spans="1:19">
      <c r="A387" s="148"/>
      <c r="B387" s="52"/>
      <c r="C387" s="19">
        <f t="shared" si="64"/>
        <v>1</v>
      </c>
      <c r="D387" s="665"/>
      <c r="E387" s="19">
        <f t="shared" si="65"/>
        <v>1</v>
      </c>
      <c r="F387" s="665"/>
      <c r="G387" s="19">
        <f t="shared" si="66"/>
        <v>1</v>
      </c>
      <c r="H387" s="665"/>
      <c r="I387" s="19">
        <f t="shared" si="67"/>
        <v>1</v>
      </c>
      <c r="J387" s="665"/>
      <c r="K387" s="19">
        <f t="shared" si="68"/>
        <v>1</v>
      </c>
      <c r="L387" s="665"/>
      <c r="M387" s="19">
        <f t="shared" si="69"/>
        <v>1</v>
      </c>
      <c r="N387" s="665"/>
      <c r="O387" s="19">
        <f t="shared" si="70"/>
        <v>1</v>
      </c>
      <c r="P387" s="665"/>
      <c r="Q387" s="19">
        <f t="shared" si="71"/>
        <v>1</v>
      </c>
      <c r="R387" s="661">
        <f t="shared" si="72"/>
        <v>0</v>
      </c>
      <c r="S387" s="314">
        <f t="shared" si="73"/>
        <v>0</v>
      </c>
    </row>
    <row r="388" spans="1:19">
      <c r="A388" s="148"/>
      <c r="B388" s="52"/>
      <c r="C388" s="19">
        <f t="shared" si="64"/>
        <v>1</v>
      </c>
      <c r="D388" s="665"/>
      <c r="E388" s="19">
        <f t="shared" si="65"/>
        <v>1</v>
      </c>
      <c r="F388" s="665"/>
      <c r="G388" s="19">
        <f t="shared" si="66"/>
        <v>1</v>
      </c>
      <c r="H388" s="665"/>
      <c r="I388" s="19">
        <f t="shared" si="67"/>
        <v>1</v>
      </c>
      <c r="J388" s="665"/>
      <c r="K388" s="19">
        <f t="shared" si="68"/>
        <v>1</v>
      </c>
      <c r="L388" s="665"/>
      <c r="M388" s="19">
        <f t="shared" si="69"/>
        <v>1</v>
      </c>
      <c r="N388" s="665"/>
      <c r="O388" s="19">
        <f t="shared" si="70"/>
        <v>1</v>
      </c>
      <c r="P388" s="665"/>
      <c r="Q388" s="19">
        <f t="shared" si="71"/>
        <v>1</v>
      </c>
      <c r="R388" s="661">
        <f t="shared" si="72"/>
        <v>0</v>
      </c>
      <c r="S388" s="314">
        <f t="shared" si="73"/>
        <v>0</v>
      </c>
    </row>
    <row r="389" spans="1:19">
      <c r="A389" s="148"/>
      <c r="B389" s="52"/>
      <c r="C389" s="19">
        <f t="shared" si="64"/>
        <v>1</v>
      </c>
      <c r="D389" s="665"/>
      <c r="E389" s="19">
        <f t="shared" si="65"/>
        <v>1</v>
      </c>
      <c r="F389" s="665"/>
      <c r="G389" s="19">
        <f t="shared" si="66"/>
        <v>1</v>
      </c>
      <c r="H389" s="665"/>
      <c r="I389" s="19">
        <f t="shared" si="67"/>
        <v>1</v>
      </c>
      <c r="J389" s="665"/>
      <c r="K389" s="19">
        <f t="shared" si="68"/>
        <v>1</v>
      </c>
      <c r="L389" s="665"/>
      <c r="M389" s="19">
        <f t="shared" si="69"/>
        <v>1</v>
      </c>
      <c r="N389" s="665"/>
      <c r="O389" s="19">
        <f t="shared" si="70"/>
        <v>1</v>
      </c>
      <c r="P389" s="665"/>
      <c r="Q389" s="19">
        <f t="shared" si="71"/>
        <v>1</v>
      </c>
      <c r="R389" s="661">
        <f t="shared" si="72"/>
        <v>0</v>
      </c>
      <c r="S389" s="314">
        <f t="shared" si="73"/>
        <v>0</v>
      </c>
    </row>
    <row r="390" spans="1:19">
      <c r="A390" s="148"/>
      <c r="B390" s="52"/>
      <c r="C390" s="19">
        <f t="shared" si="64"/>
        <v>1</v>
      </c>
      <c r="D390" s="665"/>
      <c r="E390" s="19">
        <f t="shared" si="65"/>
        <v>1</v>
      </c>
      <c r="F390" s="665"/>
      <c r="G390" s="19">
        <f t="shared" si="66"/>
        <v>1</v>
      </c>
      <c r="H390" s="665"/>
      <c r="I390" s="19">
        <f t="shared" si="67"/>
        <v>1</v>
      </c>
      <c r="J390" s="665"/>
      <c r="K390" s="19">
        <f t="shared" si="68"/>
        <v>1</v>
      </c>
      <c r="L390" s="665"/>
      <c r="M390" s="19">
        <f t="shared" si="69"/>
        <v>1</v>
      </c>
      <c r="N390" s="665"/>
      <c r="O390" s="19">
        <f t="shared" si="70"/>
        <v>1</v>
      </c>
      <c r="P390" s="665"/>
      <c r="Q390" s="19">
        <f t="shared" si="71"/>
        <v>1</v>
      </c>
      <c r="R390" s="661">
        <f t="shared" si="72"/>
        <v>0</v>
      </c>
      <c r="S390" s="314">
        <f t="shared" si="73"/>
        <v>0</v>
      </c>
    </row>
    <row r="391" spans="1:19">
      <c r="A391" s="148"/>
      <c r="B391" s="52"/>
      <c r="C391" s="19">
        <f t="shared" si="64"/>
        <v>1</v>
      </c>
      <c r="D391" s="665"/>
      <c r="E391" s="19">
        <f t="shared" si="65"/>
        <v>1</v>
      </c>
      <c r="F391" s="665"/>
      <c r="G391" s="19">
        <f t="shared" si="66"/>
        <v>1</v>
      </c>
      <c r="H391" s="665"/>
      <c r="I391" s="19">
        <f t="shared" si="67"/>
        <v>1</v>
      </c>
      <c r="J391" s="665"/>
      <c r="K391" s="19">
        <f t="shared" si="68"/>
        <v>1</v>
      </c>
      <c r="L391" s="665"/>
      <c r="M391" s="19">
        <f t="shared" si="69"/>
        <v>1</v>
      </c>
      <c r="N391" s="665"/>
      <c r="O391" s="19">
        <f t="shared" si="70"/>
        <v>1</v>
      </c>
      <c r="P391" s="665"/>
      <c r="Q391" s="19">
        <f t="shared" si="71"/>
        <v>1</v>
      </c>
      <c r="R391" s="661">
        <f t="shared" si="72"/>
        <v>0</v>
      </c>
      <c r="S391" s="314">
        <f t="shared" si="73"/>
        <v>0</v>
      </c>
    </row>
    <row r="392" spans="1:19">
      <c r="A392" s="148"/>
      <c r="B392" s="52"/>
      <c r="C392" s="19">
        <f t="shared" si="64"/>
        <v>1</v>
      </c>
      <c r="D392" s="665"/>
      <c r="E392" s="19">
        <f t="shared" si="65"/>
        <v>1</v>
      </c>
      <c r="F392" s="665"/>
      <c r="G392" s="19">
        <f t="shared" si="66"/>
        <v>1</v>
      </c>
      <c r="H392" s="665"/>
      <c r="I392" s="19">
        <f t="shared" si="67"/>
        <v>1</v>
      </c>
      <c r="J392" s="665"/>
      <c r="K392" s="19">
        <f t="shared" si="68"/>
        <v>1</v>
      </c>
      <c r="L392" s="665"/>
      <c r="M392" s="19">
        <f t="shared" si="69"/>
        <v>1</v>
      </c>
      <c r="N392" s="665"/>
      <c r="O392" s="19">
        <f t="shared" si="70"/>
        <v>1</v>
      </c>
      <c r="P392" s="665"/>
      <c r="Q392" s="19">
        <f t="shared" si="71"/>
        <v>1</v>
      </c>
      <c r="R392" s="661">
        <f t="shared" si="72"/>
        <v>0</v>
      </c>
      <c r="S392" s="314">
        <f t="shared" si="73"/>
        <v>0</v>
      </c>
    </row>
    <row r="393" spans="1:19">
      <c r="A393" s="148"/>
      <c r="B393" s="52"/>
      <c r="C393" s="19">
        <f t="shared" si="64"/>
        <v>1</v>
      </c>
      <c r="D393" s="665"/>
      <c r="E393" s="19">
        <f t="shared" si="65"/>
        <v>1</v>
      </c>
      <c r="F393" s="665"/>
      <c r="G393" s="19">
        <f t="shared" si="66"/>
        <v>1</v>
      </c>
      <c r="H393" s="665"/>
      <c r="I393" s="19">
        <f t="shared" si="67"/>
        <v>1</v>
      </c>
      <c r="J393" s="665"/>
      <c r="K393" s="19">
        <f t="shared" si="68"/>
        <v>1</v>
      </c>
      <c r="L393" s="665"/>
      <c r="M393" s="19">
        <f t="shared" si="69"/>
        <v>1</v>
      </c>
      <c r="N393" s="665"/>
      <c r="O393" s="19">
        <f t="shared" si="70"/>
        <v>1</v>
      </c>
      <c r="P393" s="665"/>
      <c r="Q393" s="19">
        <f t="shared" si="71"/>
        <v>1</v>
      </c>
      <c r="R393" s="661">
        <f t="shared" si="72"/>
        <v>0</v>
      </c>
      <c r="S393" s="314">
        <f t="shared" si="73"/>
        <v>0</v>
      </c>
    </row>
    <row r="394" spans="1:19">
      <c r="A394" s="148"/>
      <c r="B394" s="52"/>
      <c r="C394" s="19">
        <f t="shared" si="64"/>
        <v>1</v>
      </c>
      <c r="D394" s="665"/>
      <c r="E394" s="19">
        <f t="shared" si="65"/>
        <v>1</v>
      </c>
      <c r="F394" s="665"/>
      <c r="G394" s="19">
        <f t="shared" si="66"/>
        <v>1</v>
      </c>
      <c r="H394" s="665"/>
      <c r="I394" s="19">
        <f t="shared" si="67"/>
        <v>1</v>
      </c>
      <c r="J394" s="665"/>
      <c r="K394" s="19">
        <f t="shared" si="68"/>
        <v>1</v>
      </c>
      <c r="L394" s="665"/>
      <c r="M394" s="19">
        <f t="shared" si="69"/>
        <v>1</v>
      </c>
      <c r="N394" s="665"/>
      <c r="O394" s="19">
        <f t="shared" si="70"/>
        <v>1</v>
      </c>
      <c r="P394" s="665"/>
      <c r="Q394" s="19">
        <f t="shared" si="71"/>
        <v>1</v>
      </c>
      <c r="R394" s="661">
        <f t="shared" si="72"/>
        <v>0</v>
      </c>
      <c r="S394" s="314">
        <f t="shared" si="73"/>
        <v>0</v>
      </c>
    </row>
    <row r="395" spans="1:19">
      <c r="A395" s="148"/>
      <c r="B395" s="52"/>
      <c r="C395" s="19">
        <f t="shared" si="64"/>
        <v>1</v>
      </c>
      <c r="D395" s="665"/>
      <c r="E395" s="19">
        <f t="shared" si="65"/>
        <v>1</v>
      </c>
      <c r="F395" s="665"/>
      <c r="G395" s="19">
        <f t="shared" si="66"/>
        <v>1</v>
      </c>
      <c r="H395" s="665"/>
      <c r="I395" s="19">
        <f t="shared" si="67"/>
        <v>1</v>
      </c>
      <c r="J395" s="665"/>
      <c r="K395" s="19">
        <f t="shared" si="68"/>
        <v>1</v>
      </c>
      <c r="L395" s="665"/>
      <c r="M395" s="19">
        <f t="shared" si="69"/>
        <v>1</v>
      </c>
      <c r="N395" s="665"/>
      <c r="O395" s="19">
        <f t="shared" si="70"/>
        <v>1</v>
      </c>
      <c r="P395" s="665"/>
      <c r="Q395" s="19">
        <f t="shared" si="71"/>
        <v>1</v>
      </c>
      <c r="R395" s="661">
        <f t="shared" si="72"/>
        <v>0</v>
      </c>
      <c r="S395" s="314">
        <f t="shared" si="73"/>
        <v>0</v>
      </c>
    </row>
    <row r="396" spans="1:19">
      <c r="A396" s="148"/>
      <c r="B396" s="52"/>
      <c r="C396" s="19">
        <f t="shared" si="64"/>
        <v>1</v>
      </c>
      <c r="D396" s="665"/>
      <c r="E396" s="19">
        <f t="shared" si="65"/>
        <v>1</v>
      </c>
      <c r="F396" s="665"/>
      <c r="G396" s="19">
        <f t="shared" si="66"/>
        <v>1</v>
      </c>
      <c r="H396" s="665"/>
      <c r="I396" s="19">
        <f t="shared" si="67"/>
        <v>1</v>
      </c>
      <c r="J396" s="665"/>
      <c r="K396" s="19">
        <f t="shared" si="68"/>
        <v>1</v>
      </c>
      <c r="L396" s="665"/>
      <c r="M396" s="19">
        <f t="shared" si="69"/>
        <v>1</v>
      </c>
      <c r="N396" s="665"/>
      <c r="O396" s="19">
        <f t="shared" si="70"/>
        <v>1</v>
      </c>
      <c r="P396" s="665"/>
      <c r="Q396" s="19">
        <f t="shared" si="71"/>
        <v>1</v>
      </c>
      <c r="R396" s="661">
        <f t="shared" si="72"/>
        <v>0</v>
      </c>
      <c r="S396" s="314">
        <f t="shared" si="73"/>
        <v>0</v>
      </c>
    </row>
    <row r="397" spans="1:19">
      <c r="A397" s="148"/>
      <c r="B397" s="52"/>
      <c r="C397" s="19">
        <f t="shared" si="64"/>
        <v>1</v>
      </c>
      <c r="D397" s="665"/>
      <c r="E397" s="19">
        <f t="shared" si="65"/>
        <v>1</v>
      </c>
      <c r="F397" s="665"/>
      <c r="G397" s="19">
        <f t="shared" si="66"/>
        <v>1</v>
      </c>
      <c r="H397" s="665"/>
      <c r="I397" s="19">
        <f t="shared" si="67"/>
        <v>1</v>
      </c>
      <c r="J397" s="665"/>
      <c r="K397" s="19">
        <f t="shared" si="68"/>
        <v>1</v>
      </c>
      <c r="L397" s="665"/>
      <c r="M397" s="19">
        <f t="shared" si="69"/>
        <v>1</v>
      </c>
      <c r="N397" s="665"/>
      <c r="O397" s="19">
        <f t="shared" si="70"/>
        <v>1</v>
      </c>
      <c r="P397" s="665"/>
      <c r="Q397" s="19">
        <f t="shared" si="71"/>
        <v>1</v>
      </c>
      <c r="R397" s="661">
        <f t="shared" si="72"/>
        <v>0</v>
      </c>
      <c r="S397" s="314">
        <f t="shared" si="73"/>
        <v>0</v>
      </c>
    </row>
    <row r="398" spans="1:19">
      <c r="A398" s="148"/>
      <c r="B398" s="52"/>
      <c r="C398" s="19">
        <f t="shared" si="64"/>
        <v>1</v>
      </c>
      <c r="D398" s="665"/>
      <c r="E398" s="19">
        <f t="shared" si="65"/>
        <v>1</v>
      </c>
      <c r="F398" s="665"/>
      <c r="G398" s="19">
        <f t="shared" si="66"/>
        <v>1</v>
      </c>
      <c r="H398" s="665"/>
      <c r="I398" s="19">
        <f t="shared" si="67"/>
        <v>1</v>
      </c>
      <c r="J398" s="665"/>
      <c r="K398" s="19">
        <f t="shared" si="68"/>
        <v>1</v>
      </c>
      <c r="L398" s="665"/>
      <c r="M398" s="19">
        <f t="shared" si="69"/>
        <v>1</v>
      </c>
      <c r="N398" s="665"/>
      <c r="O398" s="19">
        <f t="shared" si="70"/>
        <v>1</v>
      </c>
      <c r="P398" s="665"/>
      <c r="Q398" s="19">
        <f t="shared" si="71"/>
        <v>1</v>
      </c>
      <c r="R398" s="661">
        <f t="shared" si="72"/>
        <v>0</v>
      </c>
      <c r="S398" s="314">
        <f t="shared" si="73"/>
        <v>0</v>
      </c>
    </row>
    <row r="399" spans="1:19">
      <c r="A399" s="148"/>
      <c r="B399" s="52"/>
      <c r="C399" s="19">
        <f t="shared" si="64"/>
        <v>1</v>
      </c>
      <c r="D399" s="665"/>
      <c r="E399" s="19">
        <f t="shared" si="65"/>
        <v>1</v>
      </c>
      <c r="F399" s="665"/>
      <c r="G399" s="19">
        <f t="shared" si="66"/>
        <v>1</v>
      </c>
      <c r="H399" s="665"/>
      <c r="I399" s="19">
        <f t="shared" si="67"/>
        <v>1</v>
      </c>
      <c r="J399" s="665"/>
      <c r="K399" s="19">
        <f t="shared" si="68"/>
        <v>1</v>
      </c>
      <c r="L399" s="665"/>
      <c r="M399" s="19">
        <f t="shared" si="69"/>
        <v>1</v>
      </c>
      <c r="N399" s="665"/>
      <c r="O399" s="19">
        <f t="shared" si="70"/>
        <v>1</v>
      </c>
      <c r="P399" s="665"/>
      <c r="Q399" s="19">
        <f t="shared" si="71"/>
        <v>1</v>
      </c>
      <c r="R399" s="661">
        <f t="shared" si="72"/>
        <v>0</v>
      </c>
      <c r="S399" s="314">
        <f t="shared" si="73"/>
        <v>0</v>
      </c>
    </row>
    <row r="400" spans="1:19">
      <c r="A400" s="148"/>
      <c r="B400" s="52"/>
      <c r="C400" s="19">
        <f t="shared" si="64"/>
        <v>1</v>
      </c>
      <c r="D400" s="665"/>
      <c r="E400" s="19">
        <f t="shared" si="65"/>
        <v>1</v>
      </c>
      <c r="F400" s="665"/>
      <c r="G400" s="19">
        <f t="shared" si="66"/>
        <v>1</v>
      </c>
      <c r="H400" s="665"/>
      <c r="I400" s="19">
        <f t="shared" si="67"/>
        <v>1</v>
      </c>
      <c r="J400" s="665"/>
      <c r="K400" s="19">
        <f t="shared" si="68"/>
        <v>1</v>
      </c>
      <c r="L400" s="665"/>
      <c r="M400" s="19">
        <f t="shared" si="69"/>
        <v>1</v>
      </c>
      <c r="N400" s="665"/>
      <c r="O400" s="19">
        <f t="shared" si="70"/>
        <v>1</v>
      </c>
      <c r="P400" s="665"/>
      <c r="Q400" s="19">
        <f t="shared" si="71"/>
        <v>1</v>
      </c>
      <c r="R400" s="661">
        <f t="shared" si="72"/>
        <v>0</v>
      </c>
      <c r="S400" s="314">
        <f t="shared" si="73"/>
        <v>0</v>
      </c>
    </row>
    <row r="401" spans="1:19">
      <c r="A401" s="148"/>
      <c r="B401" s="52"/>
      <c r="C401" s="19">
        <f t="shared" si="64"/>
        <v>1</v>
      </c>
      <c r="D401" s="665"/>
      <c r="E401" s="19">
        <f t="shared" si="65"/>
        <v>1</v>
      </c>
      <c r="F401" s="665"/>
      <c r="G401" s="19">
        <f t="shared" si="66"/>
        <v>1</v>
      </c>
      <c r="H401" s="665"/>
      <c r="I401" s="19">
        <f t="shared" si="67"/>
        <v>1</v>
      </c>
      <c r="J401" s="665"/>
      <c r="K401" s="19">
        <f t="shared" si="68"/>
        <v>1</v>
      </c>
      <c r="L401" s="665"/>
      <c r="M401" s="19">
        <f t="shared" si="69"/>
        <v>1</v>
      </c>
      <c r="N401" s="665"/>
      <c r="O401" s="19">
        <f t="shared" si="70"/>
        <v>1</v>
      </c>
      <c r="P401" s="665"/>
      <c r="Q401" s="19">
        <f t="shared" si="71"/>
        <v>1</v>
      </c>
      <c r="R401" s="661">
        <f t="shared" si="72"/>
        <v>0</v>
      </c>
      <c r="S401" s="314">
        <f t="shared" si="73"/>
        <v>0</v>
      </c>
    </row>
    <row r="402" spans="1:19">
      <c r="A402" s="148"/>
      <c r="B402" s="52"/>
      <c r="C402" s="19">
        <f t="shared" si="64"/>
        <v>1</v>
      </c>
      <c r="D402" s="665"/>
      <c r="E402" s="19">
        <f t="shared" si="65"/>
        <v>1</v>
      </c>
      <c r="F402" s="665"/>
      <c r="G402" s="19">
        <f t="shared" si="66"/>
        <v>1</v>
      </c>
      <c r="H402" s="665"/>
      <c r="I402" s="19">
        <f t="shared" si="67"/>
        <v>1</v>
      </c>
      <c r="J402" s="665"/>
      <c r="K402" s="19">
        <f t="shared" si="68"/>
        <v>1</v>
      </c>
      <c r="L402" s="665"/>
      <c r="M402" s="19">
        <f t="shared" si="69"/>
        <v>1</v>
      </c>
      <c r="N402" s="665"/>
      <c r="O402" s="19">
        <f t="shared" si="70"/>
        <v>1</v>
      </c>
      <c r="P402" s="665"/>
      <c r="Q402" s="19">
        <f t="shared" si="71"/>
        <v>1</v>
      </c>
      <c r="R402" s="661">
        <f t="shared" si="72"/>
        <v>0</v>
      </c>
      <c r="S402" s="314">
        <f t="shared" si="73"/>
        <v>0</v>
      </c>
    </row>
    <row r="403" spans="1:19">
      <c r="A403" s="148"/>
      <c r="B403" s="52"/>
      <c r="C403" s="19">
        <f t="shared" si="64"/>
        <v>1</v>
      </c>
      <c r="D403" s="665"/>
      <c r="E403" s="19">
        <f t="shared" si="65"/>
        <v>1</v>
      </c>
      <c r="F403" s="665"/>
      <c r="G403" s="19">
        <f t="shared" si="66"/>
        <v>1</v>
      </c>
      <c r="H403" s="665"/>
      <c r="I403" s="19">
        <f t="shared" si="67"/>
        <v>1</v>
      </c>
      <c r="J403" s="665"/>
      <c r="K403" s="19">
        <f t="shared" si="68"/>
        <v>1</v>
      </c>
      <c r="L403" s="665"/>
      <c r="M403" s="19">
        <f t="shared" si="69"/>
        <v>1</v>
      </c>
      <c r="N403" s="665"/>
      <c r="O403" s="19">
        <f t="shared" si="70"/>
        <v>1</v>
      </c>
      <c r="P403" s="665"/>
      <c r="Q403" s="19">
        <f t="shared" si="71"/>
        <v>1</v>
      </c>
      <c r="R403" s="661">
        <f t="shared" si="72"/>
        <v>0</v>
      </c>
      <c r="S403" s="314">
        <f t="shared" si="73"/>
        <v>0</v>
      </c>
    </row>
    <row r="404" spans="1:19">
      <c r="A404" s="148"/>
      <c r="B404" s="52"/>
      <c r="C404" s="19">
        <f t="shared" si="64"/>
        <v>1</v>
      </c>
      <c r="D404" s="665"/>
      <c r="E404" s="19">
        <f t="shared" si="65"/>
        <v>1</v>
      </c>
      <c r="F404" s="665"/>
      <c r="G404" s="19">
        <f t="shared" si="66"/>
        <v>1</v>
      </c>
      <c r="H404" s="665"/>
      <c r="I404" s="19">
        <f t="shared" si="67"/>
        <v>1</v>
      </c>
      <c r="J404" s="665"/>
      <c r="K404" s="19">
        <f t="shared" si="68"/>
        <v>1</v>
      </c>
      <c r="L404" s="665"/>
      <c r="M404" s="19">
        <f t="shared" si="69"/>
        <v>1</v>
      </c>
      <c r="N404" s="665"/>
      <c r="O404" s="19">
        <f t="shared" si="70"/>
        <v>1</v>
      </c>
      <c r="P404" s="665"/>
      <c r="Q404" s="19">
        <f t="shared" si="71"/>
        <v>1</v>
      </c>
      <c r="R404" s="661">
        <f t="shared" si="72"/>
        <v>0</v>
      </c>
      <c r="S404" s="314">
        <f t="shared" si="73"/>
        <v>0</v>
      </c>
    </row>
    <row r="405" spans="1:19">
      <c r="A405" s="148"/>
      <c r="B405" s="52"/>
      <c r="C405" s="19">
        <f t="shared" si="64"/>
        <v>1</v>
      </c>
      <c r="D405" s="665"/>
      <c r="E405" s="19">
        <f t="shared" si="65"/>
        <v>1</v>
      </c>
      <c r="F405" s="665"/>
      <c r="G405" s="19">
        <f t="shared" si="66"/>
        <v>1</v>
      </c>
      <c r="H405" s="665"/>
      <c r="I405" s="19">
        <f t="shared" si="67"/>
        <v>1</v>
      </c>
      <c r="J405" s="665"/>
      <c r="K405" s="19">
        <f t="shared" si="68"/>
        <v>1</v>
      </c>
      <c r="L405" s="665"/>
      <c r="M405" s="19">
        <f t="shared" si="69"/>
        <v>1</v>
      </c>
      <c r="N405" s="665"/>
      <c r="O405" s="19">
        <f t="shared" si="70"/>
        <v>1</v>
      </c>
      <c r="P405" s="665"/>
      <c r="Q405" s="19">
        <f t="shared" si="71"/>
        <v>1</v>
      </c>
      <c r="R405" s="661">
        <f t="shared" si="72"/>
        <v>0</v>
      </c>
      <c r="S405" s="314">
        <f t="shared" si="73"/>
        <v>0</v>
      </c>
    </row>
    <row r="406" spans="1:19">
      <c r="A406" s="148"/>
      <c r="B406" s="52"/>
      <c r="C406" s="19">
        <f t="shared" si="64"/>
        <v>1</v>
      </c>
      <c r="D406" s="665"/>
      <c r="E406" s="19">
        <f t="shared" si="65"/>
        <v>1</v>
      </c>
      <c r="F406" s="665"/>
      <c r="G406" s="19">
        <f t="shared" si="66"/>
        <v>1</v>
      </c>
      <c r="H406" s="665"/>
      <c r="I406" s="19">
        <f t="shared" si="67"/>
        <v>1</v>
      </c>
      <c r="J406" s="665"/>
      <c r="K406" s="19">
        <f t="shared" si="68"/>
        <v>1</v>
      </c>
      <c r="L406" s="665"/>
      <c r="M406" s="19">
        <f t="shared" si="69"/>
        <v>1</v>
      </c>
      <c r="N406" s="665"/>
      <c r="O406" s="19">
        <f t="shared" si="70"/>
        <v>1</v>
      </c>
      <c r="P406" s="665"/>
      <c r="Q406" s="19">
        <f t="shared" si="71"/>
        <v>1</v>
      </c>
      <c r="R406" s="661">
        <f t="shared" si="72"/>
        <v>0</v>
      </c>
      <c r="S406" s="314">
        <f t="shared" si="73"/>
        <v>0</v>
      </c>
    </row>
    <row r="407" spans="1:19">
      <c r="A407" s="148"/>
      <c r="B407" s="52"/>
      <c r="C407" s="19">
        <f t="shared" si="64"/>
        <v>1</v>
      </c>
      <c r="D407" s="665"/>
      <c r="E407" s="19">
        <f t="shared" si="65"/>
        <v>1</v>
      </c>
      <c r="F407" s="665"/>
      <c r="G407" s="19">
        <f t="shared" si="66"/>
        <v>1</v>
      </c>
      <c r="H407" s="665"/>
      <c r="I407" s="19">
        <f t="shared" si="67"/>
        <v>1</v>
      </c>
      <c r="J407" s="665"/>
      <c r="K407" s="19">
        <f t="shared" si="68"/>
        <v>1</v>
      </c>
      <c r="L407" s="665"/>
      <c r="M407" s="19">
        <f t="shared" si="69"/>
        <v>1</v>
      </c>
      <c r="N407" s="665"/>
      <c r="O407" s="19">
        <f t="shared" si="70"/>
        <v>1</v>
      </c>
      <c r="P407" s="665"/>
      <c r="Q407" s="19">
        <f t="shared" si="71"/>
        <v>1</v>
      </c>
      <c r="R407" s="661">
        <f t="shared" si="72"/>
        <v>0</v>
      </c>
      <c r="S407" s="314">
        <f t="shared" si="73"/>
        <v>0</v>
      </c>
    </row>
    <row r="408" spans="1:19">
      <c r="A408" s="148"/>
      <c r="B408" s="52"/>
      <c r="C408" s="19">
        <f t="shared" si="64"/>
        <v>1</v>
      </c>
      <c r="D408" s="665"/>
      <c r="E408" s="19">
        <f t="shared" si="65"/>
        <v>1</v>
      </c>
      <c r="F408" s="665"/>
      <c r="G408" s="19">
        <f t="shared" si="66"/>
        <v>1</v>
      </c>
      <c r="H408" s="665"/>
      <c r="I408" s="19">
        <f t="shared" si="67"/>
        <v>1</v>
      </c>
      <c r="J408" s="665"/>
      <c r="K408" s="19">
        <f t="shared" si="68"/>
        <v>1</v>
      </c>
      <c r="L408" s="665"/>
      <c r="M408" s="19">
        <f t="shared" si="69"/>
        <v>1</v>
      </c>
      <c r="N408" s="665"/>
      <c r="O408" s="19">
        <f t="shared" si="70"/>
        <v>1</v>
      </c>
      <c r="P408" s="665"/>
      <c r="Q408" s="19">
        <f t="shared" si="71"/>
        <v>1</v>
      </c>
      <c r="R408" s="661">
        <f t="shared" si="72"/>
        <v>0</v>
      </c>
      <c r="S408" s="314">
        <f t="shared" si="73"/>
        <v>0</v>
      </c>
    </row>
    <row r="409" spans="1:19">
      <c r="A409" s="148"/>
      <c r="B409" s="52"/>
      <c r="C409" s="19">
        <f t="shared" si="64"/>
        <v>1</v>
      </c>
      <c r="D409" s="665"/>
      <c r="E409" s="19">
        <f t="shared" si="65"/>
        <v>1</v>
      </c>
      <c r="F409" s="665"/>
      <c r="G409" s="19">
        <f t="shared" si="66"/>
        <v>1</v>
      </c>
      <c r="H409" s="665"/>
      <c r="I409" s="19">
        <f t="shared" si="67"/>
        <v>1</v>
      </c>
      <c r="J409" s="665"/>
      <c r="K409" s="19">
        <f t="shared" si="68"/>
        <v>1</v>
      </c>
      <c r="L409" s="665"/>
      <c r="M409" s="19">
        <f t="shared" si="69"/>
        <v>1</v>
      </c>
      <c r="N409" s="665"/>
      <c r="O409" s="19">
        <f t="shared" si="70"/>
        <v>1</v>
      </c>
      <c r="P409" s="665"/>
      <c r="Q409" s="19">
        <f t="shared" si="71"/>
        <v>1</v>
      </c>
      <c r="R409" s="661">
        <f t="shared" si="72"/>
        <v>0</v>
      </c>
      <c r="S409" s="314">
        <f t="shared" si="73"/>
        <v>0</v>
      </c>
    </row>
    <row r="410" spans="1:19">
      <c r="A410" s="148"/>
      <c r="B410" s="52"/>
      <c r="C410" s="19">
        <f t="shared" ref="C410:C473" si="74">IF(B410="",1,(LOOKUP(B410,$3:$3,$4:$4)-LOOKUP($B$24,$3:$3,$4:$4)+100)/100)</f>
        <v>1</v>
      </c>
      <c r="D410" s="665"/>
      <c r="E410" s="19">
        <f t="shared" ref="E410:E473" si="75">(SUMIF($5:$5,D410,$6:$6)-SUMIF($5:$5,$D$24,$6:$6)+100)/100</f>
        <v>1</v>
      </c>
      <c r="F410" s="665"/>
      <c r="G410" s="19">
        <f t="shared" ref="G410:G473" si="76">(SUMIF($7:$7,F410,$8:$8)-SUMIF($7:$7,$F$24,$8:$8)+100)/100</f>
        <v>1</v>
      </c>
      <c r="H410" s="665"/>
      <c r="I410" s="19">
        <f t="shared" ref="I410:I473" si="77">(SUMIF($9:$9,H410,$10:$10)-SUMIF($9:$9,$H$24,$10:$10)+100)/100</f>
        <v>1</v>
      </c>
      <c r="J410" s="665"/>
      <c r="K410" s="19">
        <f t="shared" ref="K410:K473" si="78">(SUMIF($11:$11,J410,$12:$12)-SUMIF($11:$11,$J$24,$12:$12)+100)/100</f>
        <v>1</v>
      </c>
      <c r="L410" s="665"/>
      <c r="M410" s="19">
        <f t="shared" ref="M410:M473" si="79">(SUMIF($13:$13,L410,$14:$14)-SUMIF($13:$13,$L$24,$14:$14)+100)/100</f>
        <v>1</v>
      </c>
      <c r="N410" s="665"/>
      <c r="O410" s="19">
        <f t="shared" ref="O410:O473" si="80">(SUMIF($15:$15,N410,$16:$16)-SUMIF($15:$15,$N$24,$16:$16)+100)/100</f>
        <v>1</v>
      </c>
      <c r="P410" s="665"/>
      <c r="Q410" s="19">
        <f t="shared" ref="Q410:Q473" si="81">(SUMIF($17:$17,P410,$18:$18)-SUMIF($17:$17,$P$24,$18:$18)+100)/100</f>
        <v>1</v>
      </c>
      <c r="R410" s="661">
        <f t="shared" ref="R410:R473" si="82">IF(B410="",0,ROUND($R$24*C410*E410*G410*I410*K410*M410*O410*Q410,0))</f>
        <v>0</v>
      </c>
      <c r="S410" s="314">
        <f t="shared" si="73"/>
        <v>0</v>
      </c>
    </row>
    <row r="411" spans="1:19">
      <c r="A411" s="148"/>
      <c r="B411" s="52"/>
      <c r="C411" s="19">
        <f t="shared" si="74"/>
        <v>1</v>
      </c>
      <c r="D411" s="665"/>
      <c r="E411" s="19">
        <f t="shared" si="75"/>
        <v>1</v>
      </c>
      <c r="F411" s="665"/>
      <c r="G411" s="19">
        <f t="shared" si="76"/>
        <v>1</v>
      </c>
      <c r="H411" s="665"/>
      <c r="I411" s="19">
        <f t="shared" si="77"/>
        <v>1</v>
      </c>
      <c r="J411" s="665"/>
      <c r="K411" s="19">
        <f t="shared" si="78"/>
        <v>1</v>
      </c>
      <c r="L411" s="665"/>
      <c r="M411" s="19">
        <f t="shared" si="79"/>
        <v>1</v>
      </c>
      <c r="N411" s="665"/>
      <c r="O411" s="19">
        <f t="shared" si="80"/>
        <v>1</v>
      </c>
      <c r="P411" s="665"/>
      <c r="Q411" s="19">
        <f t="shared" si="81"/>
        <v>1</v>
      </c>
      <c r="R411" s="661">
        <f t="shared" si="82"/>
        <v>0</v>
      </c>
      <c r="S411" s="314">
        <f t="shared" si="73"/>
        <v>0</v>
      </c>
    </row>
    <row r="412" spans="1:19">
      <c r="A412" s="148"/>
      <c r="B412" s="52"/>
      <c r="C412" s="19">
        <f t="shared" si="74"/>
        <v>1</v>
      </c>
      <c r="D412" s="665"/>
      <c r="E412" s="19">
        <f t="shared" si="75"/>
        <v>1</v>
      </c>
      <c r="F412" s="665"/>
      <c r="G412" s="19">
        <f t="shared" si="76"/>
        <v>1</v>
      </c>
      <c r="H412" s="665"/>
      <c r="I412" s="19">
        <f t="shared" si="77"/>
        <v>1</v>
      </c>
      <c r="J412" s="665"/>
      <c r="K412" s="19">
        <f t="shared" si="78"/>
        <v>1</v>
      </c>
      <c r="L412" s="665"/>
      <c r="M412" s="19">
        <f t="shared" si="79"/>
        <v>1</v>
      </c>
      <c r="N412" s="665"/>
      <c r="O412" s="19">
        <f t="shared" si="80"/>
        <v>1</v>
      </c>
      <c r="P412" s="665"/>
      <c r="Q412" s="19">
        <f t="shared" si="81"/>
        <v>1</v>
      </c>
      <c r="R412" s="661">
        <f t="shared" si="82"/>
        <v>0</v>
      </c>
      <c r="S412" s="314">
        <f t="shared" si="73"/>
        <v>0</v>
      </c>
    </row>
    <row r="413" spans="1:19">
      <c r="A413" s="148"/>
      <c r="B413" s="52"/>
      <c r="C413" s="19">
        <f t="shared" si="74"/>
        <v>1</v>
      </c>
      <c r="D413" s="665"/>
      <c r="E413" s="19">
        <f t="shared" si="75"/>
        <v>1</v>
      </c>
      <c r="F413" s="665"/>
      <c r="G413" s="19">
        <f t="shared" si="76"/>
        <v>1</v>
      </c>
      <c r="H413" s="665"/>
      <c r="I413" s="19">
        <f t="shared" si="77"/>
        <v>1</v>
      </c>
      <c r="J413" s="665"/>
      <c r="K413" s="19">
        <f t="shared" si="78"/>
        <v>1</v>
      </c>
      <c r="L413" s="665"/>
      <c r="M413" s="19">
        <f t="shared" si="79"/>
        <v>1</v>
      </c>
      <c r="N413" s="665"/>
      <c r="O413" s="19">
        <f t="shared" si="80"/>
        <v>1</v>
      </c>
      <c r="P413" s="665"/>
      <c r="Q413" s="19">
        <f t="shared" si="81"/>
        <v>1</v>
      </c>
      <c r="R413" s="661">
        <f t="shared" si="82"/>
        <v>0</v>
      </c>
      <c r="S413" s="314">
        <f t="shared" si="73"/>
        <v>0</v>
      </c>
    </row>
    <row r="414" spans="1:19">
      <c r="A414" s="148"/>
      <c r="B414" s="52"/>
      <c r="C414" s="19">
        <f t="shared" si="74"/>
        <v>1</v>
      </c>
      <c r="D414" s="665"/>
      <c r="E414" s="19">
        <f t="shared" si="75"/>
        <v>1</v>
      </c>
      <c r="F414" s="665"/>
      <c r="G414" s="19">
        <f t="shared" si="76"/>
        <v>1</v>
      </c>
      <c r="H414" s="665"/>
      <c r="I414" s="19">
        <f t="shared" si="77"/>
        <v>1</v>
      </c>
      <c r="J414" s="665"/>
      <c r="K414" s="19">
        <f t="shared" si="78"/>
        <v>1</v>
      </c>
      <c r="L414" s="665"/>
      <c r="M414" s="19">
        <f t="shared" si="79"/>
        <v>1</v>
      </c>
      <c r="N414" s="665"/>
      <c r="O414" s="19">
        <f t="shared" si="80"/>
        <v>1</v>
      </c>
      <c r="P414" s="665"/>
      <c r="Q414" s="19">
        <f t="shared" si="81"/>
        <v>1</v>
      </c>
      <c r="R414" s="661">
        <f t="shared" si="82"/>
        <v>0</v>
      </c>
      <c r="S414" s="314">
        <f t="shared" si="73"/>
        <v>0</v>
      </c>
    </row>
    <row r="415" spans="1:19">
      <c r="A415" s="148"/>
      <c r="B415" s="52"/>
      <c r="C415" s="19">
        <f t="shared" si="74"/>
        <v>1</v>
      </c>
      <c r="D415" s="665"/>
      <c r="E415" s="19">
        <f t="shared" si="75"/>
        <v>1</v>
      </c>
      <c r="F415" s="665"/>
      <c r="G415" s="19">
        <f t="shared" si="76"/>
        <v>1</v>
      </c>
      <c r="H415" s="665"/>
      <c r="I415" s="19">
        <f t="shared" si="77"/>
        <v>1</v>
      </c>
      <c r="J415" s="665"/>
      <c r="K415" s="19">
        <f t="shared" si="78"/>
        <v>1</v>
      </c>
      <c r="L415" s="665"/>
      <c r="M415" s="19">
        <f t="shared" si="79"/>
        <v>1</v>
      </c>
      <c r="N415" s="665"/>
      <c r="O415" s="19">
        <f t="shared" si="80"/>
        <v>1</v>
      </c>
      <c r="P415" s="665"/>
      <c r="Q415" s="19">
        <f t="shared" si="81"/>
        <v>1</v>
      </c>
      <c r="R415" s="661">
        <f t="shared" si="82"/>
        <v>0</v>
      </c>
      <c r="S415" s="314">
        <f t="shared" si="73"/>
        <v>0</v>
      </c>
    </row>
    <row r="416" spans="1:19">
      <c r="A416" s="148"/>
      <c r="B416" s="52"/>
      <c r="C416" s="19">
        <f t="shared" si="74"/>
        <v>1</v>
      </c>
      <c r="D416" s="665"/>
      <c r="E416" s="19">
        <f t="shared" si="75"/>
        <v>1</v>
      </c>
      <c r="F416" s="665"/>
      <c r="G416" s="19">
        <f t="shared" si="76"/>
        <v>1</v>
      </c>
      <c r="H416" s="665"/>
      <c r="I416" s="19">
        <f t="shared" si="77"/>
        <v>1</v>
      </c>
      <c r="J416" s="665"/>
      <c r="K416" s="19">
        <f t="shared" si="78"/>
        <v>1</v>
      </c>
      <c r="L416" s="665"/>
      <c r="M416" s="19">
        <f t="shared" si="79"/>
        <v>1</v>
      </c>
      <c r="N416" s="665"/>
      <c r="O416" s="19">
        <f t="shared" si="80"/>
        <v>1</v>
      </c>
      <c r="P416" s="665"/>
      <c r="Q416" s="19">
        <f t="shared" si="81"/>
        <v>1</v>
      </c>
      <c r="R416" s="661">
        <f t="shared" si="82"/>
        <v>0</v>
      </c>
      <c r="S416" s="314">
        <f t="shared" si="73"/>
        <v>0</v>
      </c>
    </row>
    <row r="417" spans="1:19">
      <c r="A417" s="148"/>
      <c r="B417" s="52"/>
      <c r="C417" s="19">
        <f t="shared" si="74"/>
        <v>1</v>
      </c>
      <c r="D417" s="665"/>
      <c r="E417" s="19">
        <f t="shared" si="75"/>
        <v>1</v>
      </c>
      <c r="F417" s="665"/>
      <c r="G417" s="19">
        <f t="shared" si="76"/>
        <v>1</v>
      </c>
      <c r="H417" s="665"/>
      <c r="I417" s="19">
        <f t="shared" si="77"/>
        <v>1</v>
      </c>
      <c r="J417" s="665"/>
      <c r="K417" s="19">
        <f t="shared" si="78"/>
        <v>1</v>
      </c>
      <c r="L417" s="665"/>
      <c r="M417" s="19">
        <f t="shared" si="79"/>
        <v>1</v>
      </c>
      <c r="N417" s="665"/>
      <c r="O417" s="19">
        <f t="shared" si="80"/>
        <v>1</v>
      </c>
      <c r="P417" s="665"/>
      <c r="Q417" s="19">
        <f t="shared" si="81"/>
        <v>1</v>
      </c>
      <c r="R417" s="661">
        <f t="shared" si="82"/>
        <v>0</v>
      </c>
      <c r="S417" s="314">
        <f t="shared" si="73"/>
        <v>0</v>
      </c>
    </row>
    <row r="418" spans="1:19">
      <c r="A418" s="148"/>
      <c r="B418" s="52"/>
      <c r="C418" s="19">
        <f t="shared" si="74"/>
        <v>1</v>
      </c>
      <c r="D418" s="665"/>
      <c r="E418" s="19">
        <f t="shared" si="75"/>
        <v>1</v>
      </c>
      <c r="F418" s="665"/>
      <c r="G418" s="19">
        <f t="shared" si="76"/>
        <v>1</v>
      </c>
      <c r="H418" s="665"/>
      <c r="I418" s="19">
        <f t="shared" si="77"/>
        <v>1</v>
      </c>
      <c r="J418" s="665"/>
      <c r="K418" s="19">
        <f t="shared" si="78"/>
        <v>1</v>
      </c>
      <c r="L418" s="665"/>
      <c r="M418" s="19">
        <f t="shared" si="79"/>
        <v>1</v>
      </c>
      <c r="N418" s="665"/>
      <c r="O418" s="19">
        <f t="shared" si="80"/>
        <v>1</v>
      </c>
      <c r="P418" s="665"/>
      <c r="Q418" s="19">
        <f t="shared" si="81"/>
        <v>1</v>
      </c>
      <c r="R418" s="661">
        <f t="shared" si="82"/>
        <v>0</v>
      </c>
      <c r="S418" s="314">
        <f t="shared" si="73"/>
        <v>0</v>
      </c>
    </row>
    <row r="419" spans="1:19">
      <c r="A419" s="148"/>
      <c r="B419" s="52"/>
      <c r="C419" s="19">
        <f t="shared" si="74"/>
        <v>1</v>
      </c>
      <c r="D419" s="665"/>
      <c r="E419" s="19">
        <f t="shared" si="75"/>
        <v>1</v>
      </c>
      <c r="F419" s="665"/>
      <c r="G419" s="19">
        <f t="shared" si="76"/>
        <v>1</v>
      </c>
      <c r="H419" s="665"/>
      <c r="I419" s="19">
        <f t="shared" si="77"/>
        <v>1</v>
      </c>
      <c r="J419" s="665"/>
      <c r="K419" s="19">
        <f t="shared" si="78"/>
        <v>1</v>
      </c>
      <c r="L419" s="665"/>
      <c r="M419" s="19">
        <f t="shared" si="79"/>
        <v>1</v>
      </c>
      <c r="N419" s="665"/>
      <c r="O419" s="19">
        <f t="shared" si="80"/>
        <v>1</v>
      </c>
      <c r="P419" s="665"/>
      <c r="Q419" s="19">
        <f t="shared" si="81"/>
        <v>1</v>
      </c>
      <c r="R419" s="661">
        <f t="shared" si="82"/>
        <v>0</v>
      </c>
      <c r="S419" s="314">
        <f t="shared" si="73"/>
        <v>0</v>
      </c>
    </row>
    <row r="420" spans="1:19">
      <c r="A420" s="148"/>
      <c r="B420" s="52"/>
      <c r="C420" s="19">
        <f t="shared" si="74"/>
        <v>1</v>
      </c>
      <c r="D420" s="665"/>
      <c r="E420" s="19">
        <f t="shared" si="75"/>
        <v>1</v>
      </c>
      <c r="F420" s="665"/>
      <c r="G420" s="19">
        <f t="shared" si="76"/>
        <v>1</v>
      </c>
      <c r="H420" s="665"/>
      <c r="I420" s="19">
        <f t="shared" si="77"/>
        <v>1</v>
      </c>
      <c r="J420" s="665"/>
      <c r="K420" s="19">
        <f t="shared" si="78"/>
        <v>1</v>
      </c>
      <c r="L420" s="665"/>
      <c r="M420" s="19">
        <f t="shared" si="79"/>
        <v>1</v>
      </c>
      <c r="N420" s="665"/>
      <c r="O420" s="19">
        <f t="shared" si="80"/>
        <v>1</v>
      </c>
      <c r="P420" s="665"/>
      <c r="Q420" s="19">
        <f t="shared" si="81"/>
        <v>1</v>
      </c>
      <c r="R420" s="661">
        <f t="shared" si="82"/>
        <v>0</v>
      </c>
      <c r="S420" s="314">
        <f t="shared" si="73"/>
        <v>0</v>
      </c>
    </row>
    <row r="421" spans="1:19">
      <c r="A421" s="148"/>
      <c r="B421" s="52"/>
      <c r="C421" s="19">
        <f t="shared" si="74"/>
        <v>1</v>
      </c>
      <c r="D421" s="665"/>
      <c r="E421" s="19">
        <f t="shared" si="75"/>
        <v>1</v>
      </c>
      <c r="F421" s="665"/>
      <c r="G421" s="19">
        <f t="shared" si="76"/>
        <v>1</v>
      </c>
      <c r="H421" s="665"/>
      <c r="I421" s="19">
        <f t="shared" si="77"/>
        <v>1</v>
      </c>
      <c r="J421" s="665"/>
      <c r="K421" s="19">
        <f t="shared" si="78"/>
        <v>1</v>
      </c>
      <c r="L421" s="665"/>
      <c r="M421" s="19">
        <f t="shared" si="79"/>
        <v>1</v>
      </c>
      <c r="N421" s="665"/>
      <c r="O421" s="19">
        <f t="shared" si="80"/>
        <v>1</v>
      </c>
      <c r="P421" s="665"/>
      <c r="Q421" s="19">
        <f t="shared" si="81"/>
        <v>1</v>
      </c>
      <c r="R421" s="661">
        <f t="shared" si="82"/>
        <v>0</v>
      </c>
      <c r="S421" s="314">
        <f t="shared" si="73"/>
        <v>0</v>
      </c>
    </row>
    <row r="422" spans="1:19">
      <c r="A422" s="148"/>
      <c r="B422" s="52"/>
      <c r="C422" s="19">
        <f t="shared" si="74"/>
        <v>1</v>
      </c>
      <c r="D422" s="665"/>
      <c r="E422" s="19">
        <f t="shared" si="75"/>
        <v>1</v>
      </c>
      <c r="F422" s="665"/>
      <c r="G422" s="19">
        <f t="shared" si="76"/>
        <v>1</v>
      </c>
      <c r="H422" s="665"/>
      <c r="I422" s="19">
        <f t="shared" si="77"/>
        <v>1</v>
      </c>
      <c r="J422" s="665"/>
      <c r="K422" s="19">
        <f t="shared" si="78"/>
        <v>1</v>
      </c>
      <c r="L422" s="665"/>
      <c r="M422" s="19">
        <f t="shared" si="79"/>
        <v>1</v>
      </c>
      <c r="N422" s="665"/>
      <c r="O422" s="19">
        <f t="shared" si="80"/>
        <v>1</v>
      </c>
      <c r="P422" s="665"/>
      <c r="Q422" s="19">
        <f t="shared" si="81"/>
        <v>1</v>
      </c>
      <c r="R422" s="661">
        <f t="shared" si="82"/>
        <v>0</v>
      </c>
      <c r="S422" s="314">
        <f t="shared" si="73"/>
        <v>0</v>
      </c>
    </row>
    <row r="423" spans="1:19">
      <c r="A423" s="148"/>
      <c r="B423" s="52"/>
      <c r="C423" s="19">
        <f t="shared" si="74"/>
        <v>1</v>
      </c>
      <c r="D423" s="665"/>
      <c r="E423" s="19">
        <f t="shared" si="75"/>
        <v>1</v>
      </c>
      <c r="F423" s="665"/>
      <c r="G423" s="19">
        <f t="shared" si="76"/>
        <v>1</v>
      </c>
      <c r="H423" s="665"/>
      <c r="I423" s="19">
        <f t="shared" si="77"/>
        <v>1</v>
      </c>
      <c r="J423" s="665"/>
      <c r="K423" s="19">
        <f t="shared" si="78"/>
        <v>1</v>
      </c>
      <c r="L423" s="665"/>
      <c r="M423" s="19">
        <f t="shared" si="79"/>
        <v>1</v>
      </c>
      <c r="N423" s="665"/>
      <c r="O423" s="19">
        <f t="shared" si="80"/>
        <v>1</v>
      </c>
      <c r="P423" s="665"/>
      <c r="Q423" s="19">
        <f t="shared" si="81"/>
        <v>1</v>
      </c>
      <c r="R423" s="661">
        <f t="shared" si="82"/>
        <v>0</v>
      </c>
      <c r="S423" s="314">
        <f t="shared" ref="S423:S467" si="83">ROUND(R423*B423/10000,0)</f>
        <v>0</v>
      </c>
    </row>
    <row r="424" spans="1:19">
      <c r="A424" s="148"/>
      <c r="B424" s="52"/>
      <c r="C424" s="19">
        <f t="shared" si="74"/>
        <v>1</v>
      </c>
      <c r="D424" s="665"/>
      <c r="E424" s="19">
        <f t="shared" si="75"/>
        <v>1</v>
      </c>
      <c r="F424" s="665"/>
      <c r="G424" s="19">
        <f t="shared" si="76"/>
        <v>1</v>
      </c>
      <c r="H424" s="665"/>
      <c r="I424" s="19">
        <f t="shared" si="77"/>
        <v>1</v>
      </c>
      <c r="J424" s="665"/>
      <c r="K424" s="19">
        <f t="shared" si="78"/>
        <v>1</v>
      </c>
      <c r="L424" s="665"/>
      <c r="M424" s="19">
        <f t="shared" si="79"/>
        <v>1</v>
      </c>
      <c r="N424" s="665"/>
      <c r="O424" s="19">
        <f t="shared" si="80"/>
        <v>1</v>
      </c>
      <c r="P424" s="665"/>
      <c r="Q424" s="19">
        <f t="shared" si="81"/>
        <v>1</v>
      </c>
      <c r="R424" s="661">
        <f t="shared" si="82"/>
        <v>0</v>
      </c>
      <c r="S424" s="314">
        <f t="shared" si="83"/>
        <v>0</v>
      </c>
    </row>
    <row r="425" spans="1:19">
      <c r="A425" s="148"/>
      <c r="B425" s="52"/>
      <c r="C425" s="19">
        <f t="shared" si="74"/>
        <v>1</v>
      </c>
      <c r="D425" s="665"/>
      <c r="E425" s="19">
        <f t="shared" si="75"/>
        <v>1</v>
      </c>
      <c r="F425" s="665"/>
      <c r="G425" s="19">
        <f t="shared" si="76"/>
        <v>1</v>
      </c>
      <c r="H425" s="665"/>
      <c r="I425" s="19">
        <f t="shared" si="77"/>
        <v>1</v>
      </c>
      <c r="J425" s="665"/>
      <c r="K425" s="19">
        <f t="shared" si="78"/>
        <v>1</v>
      </c>
      <c r="L425" s="665"/>
      <c r="M425" s="19">
        <f t="shared" si="79"/>
        <v>1</v>
      </c>
      <c r="N425" s="665"/>
      <c r="O425" s="19">
        <f t="shared" si="80"/>
        <v>1</v>
      </c>
      <c r="P425" s="665"/>
      <c r="Q425" s="19">
        <f t="shared" si="81"/>
        <v>1</v>
      </c>
      <c r="R425" s="661">
        <f t="shared" si="82"/>
        <v>0</v>
      </c>
      <c r="S425" s="314">
        <f t="shared" si="83"/>
        <v>0</v>
      </c>
    </row>
    <row r="426" spans="1:19">
      <c r="A426" s="148"/>
      <c r="B426" s="52"/>
      <c r="C426" s="19">
        <f t="shared" si="74"/>
        <v>1</v>
      </c>
      <c r="D426" s="665"/>
      <c r="E426" s="19">
        <f t="shared" si="75"/>
        <v>1</v>
      </c>
      <c r="F426" s="665"/>
      <c r="G426" s="19">
        <f t="shared" si="76"/>
        <v>1</v>
      </c>
      <c r="H426" s="665"/>
      <c r="I426" s="19">
        <f t="shared" si="77"/>
        <v>1</v>
      </c>
      <c r="J426" s="665"/>
      <c r="K426" s="19">
        <f t="shared" si="78"/>
        <v>1</v>
      </c>
      <c r="L426" s="665"/>
      <c r="M426" s="19">
        <f t="shared" si="79"/>
        <v>1</v>
      </c>
      <c r="N426" s="665"/>
      <c r="O426" s="19">
        <f t="shared" si="80"/>
        <v>1</v>
      </c>
      <c r="P426" s="665"/>
      <c r="Q426" s="19">
        <f t="shared" si="81"/>
        <v>1</v>
      </c>
      <c r="R426" s="661">
        <f t="shared" si="82"/>
        <v>0</v>
      </c>
      <c r="S426" s="314">
        <f t="shared" si="83"/>
        <v>0</v>
      </c>
    </row>
    <row r="427" spans="1:19">
      <c r="A427" s="148"/>
      <c r="B427" s="52"/>
      <c r="C427" s="19">
        <f t="shared" si="74"/>
        <v>1</v>
      </c>
      <c r="D427" s="665"/>
      <c r="E427" s="19">
        <f t="shared" si="75"/>
        <v>1</v>
      </c>
      <c r="F427" s="665"/>
      <c r="G427" s="19">
        <f t="shared" si="76"/>
        <v>1</v>
      </c>
      <c r="H427" s="665"/>
      <c r="I427" s="19">
        <f t="shared" si="77"/>
        <v>1</v>
      </c>
      <c r="J427" s="665"/>
      <c r="K427" s="19">
        <f t="shared" si="78"/>
        <v>1</v>
      </c>
      <c r="L427" s="665"/>
      <c r="M427" s="19">
        <f t="shared" si="79"/>
        <v>1</v>
      </c>
      <c r="N427" s="665"/>
      <c r="O427" s="19">
        <f t="shared" si="80"/>
        <v>1</v>
      </c>
      <c r="P427" s="665"/>
      <c r="Q427" s="19">
        <f t="shared" si="81"/>
        <v>1</v>
      </c>
      <c r="R427" s="661">
        <f t="shared" si="82"/>
        <v>0</v>
      </c>
      <c r="S427" s="314">
        <f t="shared" si="83"/>
        <v>0</v>
      </c>
    </row>
    <row r="428" spans="1:19">
      <c r="A428" s="148"/>
      <c r="B428" s="52"/>
      <c r="C428" s="19">
        <f t="shared" si="74"/>
        <v>1</v>
      </c>
      <c r="D428" s="665"/>
      <c r="E428" s="19">
        <f t="shared" si="75"/>
        <v>1</v>
      </c>
      <c r="F428" s="665"/>
      <c r="G428" s="19">
        <f t="shared" si="76"/>
        <v>1</v>
      </c>
      <c r="H428" s="665"/>
      <c r="I428" s="19">
        <f t="shared" si="77"/>
        <v>1</v>
      </c>
      <c r="J428" s="665"/>
      <c r="K428" s="19">
        <f t="shared" si="78"/>
        <v>1</v>
      </c>
      <c r="L428" s="665"/>
      <c r="M428" s="19">
        <f t="shared" si="79"/>
        <v>1</v>
      </c>
      <c r="N428" s="665"/>
      <c r="O428" s="19">
        <f t="shared" si="80"/>
        <v>1</v>
      </c>
      <c r="P428" s="665"/>
      <c r="Q428" s="19">
        <f t="shared" si="81"/>
        <v>1</v>
      </c>
      <c r="R428" s="661">
        <f t="shared" si="82"/>
        <v>0</v>
      </c>
      <c r="S428" s="314">
        <f t="shared" si="83"/>
        <v>0</v>
      </c>
    </row>
    <row r="429" spans="1:19">
      <c r="A429" s="148"/>
      <c r="B429" s="52"/>
      <c r="C429" s="19">
        <f t="shared" si="74"/>
        <v>1</v>
      </c>
      <c r="D429" s="665"/>
      <c r="E429" s="19">
        <f t="shared" si="75"/>
        <v>1</v>
      </c>
      <c r="F429" s="665"/>
      <c r="G429" s="19">
        <f t="shared" si="76"/>
        <v>1</v>
      </c>
      <c r="H429" s="665"/>
      <c r="I429" s="19">
        <f t="shared" si="77"/>
        <v>1</v>
      </c>
      <c r="J429" s="665"/>
      <c r="K429" s="19">
        <f t="shared" si="78"/>
        <v>1</v>
      </c>
      <c r="L429" s="665"/>
      <c r="M429" s="19">
        <f t="shared" si="79"/>
        <v>1</v>
      </c>
      <c r="N429" s="665"/>
      <c r="O429" s="19">
        <f t="shared" si="80"/>
        <v>1</v>
      </c>
      <c r="P429" s="665"/>
      <c r="Q429" s="19">
        <f t="shared" si="81"/>
        <v>1</v>
      </c>
      <c r="R429" s="661">
        <f t="shared" si="82"/>
        <v>0</v>
      </c>
      <c r="S429" s="314">
        <f t="shared" si="83"/>
        <v>0</v>
      </c>
    </row>
    <row r="430" spans="1:19">
      <c r="A430" s="148"/>
      <c r="B430" s="52"/>
      <c r="C430" s="19">
        <f t="shared" si="74"/>
        <v>1</v>
      </c>
      <c r="D430" s="665"/>
      <c r="E430" s="19">
        <f t="shared" si="75"/>
        <v>1</v>
      </c>
      <c r="F430" s="665"/>
      <c r="G430" s="19">
        <f t="shared" si="76"/>
        <v>1</v>
      </c>
      <c r="H430" s="665"/>
      <c r="I430" s="19">
        <f t="shared" si="77"/>
        <v>1</v>
      </c>
      <c r="J430" s="665"/>
      <c r="K430" s="19">
        <f t="shared" si="78"/>
        <v>1</v>
      </c>
      <c r="L430" s="665"/>
      <c r="M430" s="19">
        <f t="shared" si="79"/>
        <v>1</v>
      </c>
      <c r="N430" s="665"/>
      <c r="O430" s="19">
        <f t="shared" si="80"/>
        <v>1</v>
      </c>
      <c r="P430" s="665"/>
      <c r="Q430" s="19">
        <f t="shared" si="81"/>
        <v>1</v>
      </c>
      <c r="R430" s="661">
        <f t="shared" si="82"/>
        <v>0</v>
      </c>
      <c r="S430" s="314">
        <f t="shared" si="83"/>
        <v>0</v>
      </c>
    </row>
    <row r="431" spans="1:19">
      <c r="A431" s="148"/>
      <c r="B431" s="52"/>
      <c r="C431" s="19">
        <f t="shared" si="74"/>
        <v>1</v>
      </c>
      <c r="D431" s="665"/>
      <c r="E431" s="19">
        <f t="shared" si="75"/>
        <v>1</v>
      </c>
      <c r="F431" s="665"/>
      <c r="G431" s="19">
        <f t="shared" si="76"/>
        <v>1</v>
      </c>
      <c r="H431" s="665"/>
      <c r="I431" s="19">
        <f t="shared" si="77"/>
        <v>1</v>
      </c>
      <c r="J431" s="665"/>
      <c r="K431" s="19">
        <f t="shared" si="78"/>
        <v>1</v>
      </c>
      <c r="L431" s="665"/>
      <c r="M431" s="19">
        <f t="shared" si="79"/>
        <v>1</v>
      </c>
      <c r="N431" s="665"/>
      <c r="O431" s="19">
        <f t="shared" si="80"/>
        <v>1</v>
      </c>
      <c r="P431" s="665"/>
      <c r="Q431" s="19">
        <f t="shared" si="81"/>
        <v>1</v>
      </c>
      <c r="R431" s="661">
        <f t="shared" si="82"/>
        <v>0</v>
      </c>
      <c r="S431" s="314">
        <f t="shared" si="83"/>
        <v>0</v>
      </c>
    </row>
    <row r="432" spans="1:19">
      <c r="A432" s="148"/>
      <c r="B432" s="52"/>
      <c r="C432" s="19">
        <f t="shared" si="74"/>
        <v>1</v>
      </c>
      <c r="D432" s="665"/>
      <c r="E432" s="19">
        <f t="shared" si="75"/>
        <v>1</v>
      </c>
      <c r="F432" s="665"/>
      <c r="G432" s="19">
        <f t="shared" si="76"/>
        <v>1</v>
      </c>
      <c r="H432" s="665"/>
      <c r="I432" s="19">
        <f t="shared" si="77"/>
        <v>1</v>
      </c>
      <c r="J432" s="665"/>
      <c r="K432" s="19">
        <f t="shared" si="78"/>
        <v>1</v>
      </c>
      <c r="L432" s="665"/>
      <c r="M432" s="19">
        <f t="shared" si="79"/>
        <v>1</v>
      </c>
      <c r="N432" s="665"/>
      <c r="O432" s="19">
        <f t="shared" si="80"/>
        <v>1</v>
      </c>
      <c r="P432" s="665"/>
      <c r="Q432" s="19">
        <f t="shared" si="81"/>
        <v>1</v>
      </c>
      <c r="R432" s="661">
        <f t="shared" si="82"/>
        <v>0</v>
      </c>
      <c r="S432" s="314">
        <f t="shared" si="83"/>
        <v>0</v>
      </c>
    </row>
    <row r="433" spans="1:19">
      <c r="A433" s="148"/>
      <c r="B433" s="52"/>
      <c r="C433" s="19">
        <f t="shared" si="74"/>
        <v>1</v>
      </c>
      <c r="D433" s="665"/>
      <c r="E433" s="19">
        <f t="shared" si="75"/>
        <v>1</v>
      </c>
      <c r="F433" s="665"/>
      <c r="G433" s="19">
        <f t="shared" si="76"/>
        <v>1</v>
      </c>
      <c r="H433" s="665"/>
      <c r="I433" s="19">
        <f t="shared" si="77"/>
        <v>1</v>
      </c>
      <c r="J433" s="665"/>
      <c r="K433" s="19">
        <f t="shared" si="78"/>
        <v>1</v>
      </c>
      <c r="L433" s="665"/>
      <c r="M433" s="19">
        <f t="shared" si="79"/>
        <v>1</v>
      </c>
      <c r="N433" s="665"/>
      <c r="O433" s="19">
        <f t="shared" si="80"/>
        <v>1</v>
      </c>
      <c r="P433" s="665"/>
      <c r="Q433" s="19">
        <f t="shared" si="81"/>
        <v>1</v>
      </c>
      <c r="R433" s="661">
        <f t="shared" si="82"/>
        <v>0</v>
      </c>
      <c r="S433" s="314">
        <f t="shared" si="83"/>
        <v>0</v>
      </c>
    </row>
    <row r="434" spans="1:19">
      <c r="A434" s="148"/>
      <c r="B434" s="52"/>
      <c r="C434" s="19">
        <f t="shared" si="74"/>
        <v>1</v>
      </c>
      <c r="D434" s="665"/>
      <c r="E434" s="19">
        <f t="shared" si="75"/>
        <v>1</v>
      </c>
      <c r="F434" s="665"/>
      <c r="G434" s="19">
        <f t="shared" si="76"/>
        <v>1</v>
      </c>
      <c r="H434" s="665"/>
      <c r="I434" s="19">
        <f t="shared" si="77"/>
        <v>1</v>
      </c>
      <c r="J434" s="665"/>
      <c r="K434" s="19">
        <f t="shared" si="78"/>
        <v>1</v>
      </c>
      <c r="L434" s="665"/>
      <c r="M434" s="19">
        <f t="shared" si="79"/>
        <v>1</v>
      </c>
      <c r="N434" s="665"/>
      <c r="O434" s="19">
        <f t="shared" si="80"/>
        <v>1</v>
      </c>
      <c r="P434" s="665"/>
      <c r="Q434" s="19">
        <f t="shared" si="81"/>
        <v>1</v>
      </c>
      <c r="R434" s="661">
        <f t="shared" si="82"/>
        <v>0</v>
      </c>
      <c r="S434" s="314">
        <f t="shared" si="83"/>
        <v>0</v>
      </c>
    </row>
    <row r="435" spans="1:19">
      <c r="A435" s="148"/>
      <c r="B435" s="52"/>
      <c r="C435" s="19">
        <f t="shared" si="74"/>
        <v>1</v>
      </c>
      <c r="D435" s="665"/>
      <c r="E435" s="19">
        <f t="shared" si="75"/>
        <v>1</v>
      </c>
      <c r="F435" s="665"/>
      <c r="G435" s="19">
        <f t="shared" si="76"/>
        <v>1</v>
      </c>
      <c r="H435" s="665"/>
      <c r="I435" s="19">
        <f t="shared" si="77"/>
        <v>1</v>
      </c>
      <c r="J435" s="665"/>
      <c r="K435" s="19">
        <f t="shared" si="78"/>
        <v>1</v>
      </c>
      <c r="L435" s="665"/>
      <c r="M435" s="19">
        <f t="shared" si="79"/>
        <v>1</v>
      </c>
      <c r="N435" s="665"/>
      <c r="O435" s="19">
        <f t="shared" si="80"/>
        <v>1</v>
      </c>
      <c r="P435" s="665"/>
      <c r="Q435" s="19">
        <f t="shared" si="81"/>
        <v>1</v>
      </c>
      <c r="R435" s="661">
        <f t="shared" si="82"/>
        <v>0</v>
      </c>
      <c r="S435" s="314">
        <f t="shared" si="83"/>
        <v>0</v>
      </c>
    </row>
    <row r="436" spans="1:19">
      <c r="A436" s="148"/>
      <c r="B436" s="52"/>
      <c r="C436" s="19">
        <f t="shared" si="74"/>
        <v>1</v>
      </c>
      <c r="D436" s="665"/>
      <c r="E436" s="19">
        <f t="shared" si="75"/>
        <v>1</v>
      </c>
      <c r="F436" s="665"/>
      <c r="G436" s="19">
        <f t="shared" si="76"/>
        <v>1</v>
      </c>
      <c r="H436" s="665"/>
      <c r="I436" s="19">
        <f t="shared" si="77"/>
        <v>1</v>
      </c>
      <c r="J436" s="665"/>
      <c r="K436" s="19">
        <f t="shared" si="78"/>
        <v>1</v>
      </c>
      <c r="L436" s="665"/>
      <c r="M436" s="19">
        <f t="shared" si="79"/>
        <v>1</v>
      </c>
      <c r="N436" s="665"/>
      <c r="O436" s="19">
        <f t="shared" si="80"/>
        <v>1</v>
      </c>
      <c r="P436" s="665"/>
      <c r="Q436" s="19">
        <f t="shared" si="81"/>
        <v>1</v>
      </c>
      <c r="R436" s="661">
        <f t="shared" si="82"/>
        <v>0</v>
      </c>
      <c r="S436" s="314">
        <f t="shared" si="83"/>
        <v>0</v>
      </c>
    </row>
    <row r="437" spans="1:19">
      <c r="A437" s="148"/>
      <c r="B437" s="52"/>
      <c r="C437" s="19">
        <f t="shared" si="74"/>
        <v>1</v>
      </c>
      <c r="D437" s="665"/>
      <c r="E437" s="19">
        <f t="shared" si="75"/>
        <v>1</v>
      </c>
      <c r="F437" s="665"/>
      <c r="G437" s="19">
        <f t="shared" si="76"/>
        <v>1</v>
      </c>
      <c r="H437" s="665"/>
      <c r="I437" s="19">
        <f t="shared" si="77"/>
        <v>1</v>
      </c>
      <c r="J437" s="665"/>
      <c r="K437" s="19">
        <f t="shared" si="78"/>
        <v>1</v>
      </c>
      <c r="L437" s="665"/>
      <c r="M437" s="19">
        <f t="shared" si="79"/>
        <v>1</v>
      </c>
      <c r="N437" s="665"/>
      <c r="O437" s="19">
        <f t="shared" si="80"/>
        <v>1</v>
      </c>
      <c r="P437" s="665"/>
      <c r="Q437" s="19">
        <f t="shared" si="81"/>
        <v>1</v>
      </c>
      <c r="R437" s="661">
        <f t="shared" si="82"/>
        <v>0</v>
      </c>
      <c r="S437" s="314">
        <f t="shared" si="83"/>
        <v>0</v>
      </c>
    </row>
    <row r="438" spans="1:19">
      <c r="A438" s="148"/>
      <c r="B438" s="52"/>
      <c r="C438" s="19">
        <f t="shared" si="74"/>
        <v>1</v>
      </c>
      <c r="D438" s="665"/>
      <c r="E438" s="19">
        <f t="shared" si="75"/>
        <v>1</v>
      </c>
      <c r="F438" s="665"/>
      <c r="G438" s="19">
        <f t="shared" si="76"/>
        <v>1</v>
      </c>
      <c r="H438" s="665"/>
      <c r="I438" s="19">
        <f t="shared" si="77"/>
        <v>1</v>
      </c>
      <c r="J438" s="665"/>
      <c r="K438" s="19">
        <f t="shared" si="78"/>
        <v>1</v>
      </c>
      <c r="L438" s="665"/>
      <c r="M438" s="19">
        <f t="shared" si="79"/>
        <v>1</v>
      </c>
      <c r="N438" s="665"/>
      <c r="O438" s="19">
        <f t="shared" si="80"/>
        <v>1</v>
      </c>
      <c r="P438" s="665"/>
      <c r="Q438" s="19">
        <f t="shared" si="81"/>
        <v>1</v>
      </c>
      <c r="R438" s="661">
        <f t="shared" si="82"/>
        <v>0</v>
      </c>
      <c r="S438" s="314">
        <f t="shared" si="83"/>
        <v>0</v>
      </c>
    </row>
    <row r="439" spans="1:19">
      <c r="A439" s="148"/>
      <c r="B439" s="52"/>
      <c r="C439" s="19">
        <f t="shared" si="74"/>
        <v>1</v>
      </c>
      <c r="D439" s="665"/>
      <c r="E439" s="19">
        <f t="shared" si="75"/>
        <v>1</v>
      </c>
      <c r="F439" s="665"/>
      <c r="G439" s="19">
        <f t="shared" si="76"/>
        <v>1</v>
      </c>
      <c r="H439" s="665"/>
      <c r="I439" s="19">
        <f t="shared" si="77"/>
        <v>1</v>
      </c>
      <c r="J439" s="665"/>
      <c r="K439" s="19">
        <f t="shared" si="78"/>
        <v>1</v>
      </c>
      <c r="L439" s="665"/>
      <c r="M439" s="19">
        <f t="shared" si="79"/>
        <v>1</v>
      </c>
      <c r="N439" s="665"/>
      <c r="O439" s="19">
        <f t="shared" si="80"/>
        <v>1</v>
      </c>
      <c r="P439" s="665"/>
      <c r="Q439" s="19">
        <f t="shared" si="81"/>
        <v>1</v>
      </c>
      <c r="R439" s="661">
        <f t="shared" si="82"/>
        <v>0</v>
      </c>
      <c r="S439" s="314">
        <f t="shared" si="83"/>
        <v>0</v>
      </c>
    </row>
    <row r="440" spans="1:19">
      <c r="A440" s="148"/>
      <c r="B440" s="52"/>
      <c r="C440" s="19">
        <f t="shared" si="74"/>
        <v>1</v>
      </c>
      <c r="D440" s="665"/>
      <c r="E440" s="19">
        <f t="shared" si="75"/>
        <v>1</v>
      </c>
      <c r="F440" s="665"/>
      <c r="G440" s="19">
        <f t="shared" si="76"/>
        <v>1</v>
      </c>
      <c r="H440" s="665"/>
      <c r="I440" s="19">
        <f t="shared" si="77"/>
        <v>1</v>
      </c>
      <c r="J440" s="665"/>
      <c r="K440" s="19">
        <f t="shared" si="78"/>
        <v>1</v>
      </c>
      <c r="L440" s="665"/>
      <c r="M440" s="19">
        <f t="shared" si="79"/>
        <v>1</v>
      </c>
      <c r="N440" s="665"/>
      <c r="O440" s="19">
        <f t="shared" si="80"/>
        <v>1</v>
      </c>
      <c r="P440" s="665"/>
      <c r="Q440" s="19">
        <f t="shared" si="81"/>
        <v>1</v>
      </c>
      <c r="R440" s="661">
        <f t="shared" si="82"/>
        <v>0</v>
      </c>
      <c r="S440" s="314">
        <f t="shared" si="83"/>
        <v>0</v>
      </c>
    </row>
    <row r="441" spans="1:19">
      <c r="A441" s="148"/>
      <c r="B441" s="52"/>
      <c r="C441" s="19">
        <f t="shared" si="74"/>
        <v>1</v>
      </c>
      <c r="D441" s="665"/>
      <c r="E441" s="19">
        <f t="shared" si="75"/>
        <v>1</v>
      </c>
      <c r="F441" s="665"/>
      <c r="G441" s="19">
        <f t="shared" si="76"/>
        <v>1</v>
      </c>
      <c r="H441" s="665"/>
      <c r="I441" s="19">
        <f t="shared" si="77"/>
        <v>1</v>
      </c>
      <c r="J441" s="665"/>
      <c r="K441" s="19">
        <f t="shared" si="78"/>
        <v>1</v>
      </c>
      <c r="L441" s="665"/>
      <c r="M441" s="19">
        <f t="shared" si="79"/>
        <v>1</v>
      </c>
      <c r="N441" s="665"/>
      <c r="O441" s="19">
        <f t="shared" si="80"/>
        <v>1</v>
      </c>
      <c r="P441" s="665"/>
      <c r="Q441" s="19">
        <f t="shared" si="81"/>
        <v>1</v>
      </c>
      <c r="R441" s="661">
        <f t="shared" si="82"/>
        <v>0</v>
      </c>
      <c r="S441" s="314">
        <f t="shared" si="83"/>
        <v>0</v>
      </c>
    </row>
    <row r="442" spans="1:19">
      <c r="A442" s="148"/>
      <c r="B442" s="52"/>
      <c r="C442" s="19">
        <f t="shared" si="74"/>
        <v>1</v>
      </c>
      <c r="D442" s="665"/>
      <c r="E442" s="19">
        <f t="shared" si="75"/>
        <v>1</v>
      </c>
      <c r="F442" s="665"/>
      <c r="G442" s="19">
        <f t="shared" si="76"/>
        <v>1</v>
      </c>
      <c r="H442" s="665"/>
      <c r="I442" s="19">
        <f t="shared" si="77"/>
        <v>1</v>
      </c>
      <c r="J442" s="665"/>
      <c r="K442" s="19">
        <f t="shared" si="78"/>
        <v>1</v>
      </c>
      <c r="L442" s="665"/>
      <c r="M442" s="19">
        <f t="shared" si="79"/>
        <v>1</v>
      </c>
      <c r="N442" s="665"/>
      <c r="O442" s="19">
        <f t="shared" si="80"/>
        <v>1</v>
      </c>
      <c r="P442" s="665"/>
      <c r="Q442" s="19">
        <f t="shared" si="81"/>
        <v>1</v>
      </c>
      <c r="R442" s="661">
        <f t="shared" si="82"/>
        <v>0</v>
      </c>
      <c r="S442" s="314">
        <f t="shared" si="83"/>
        <v>0</v>
      </c>
    </row>
    <row r="443" spans="1:19">
      <c r="A443" s="148"/>
      <c r="B443" s="52"/>
      <c r="C443" s="19">
        <f t="shared" si="74"/>
        <v>1</v>
      </c>
      <c r="D443" s="665"/>
      <c r="E443" s="19">
        <f t="shared" si="75"/>
        <v>1</v>
      </c>
      <c r="F443" s="665"/>
      <c r="G443" s="19">
        <f t="shared" si="76"/>
        <v>1</v>
      </c>
      <c r="H443" s="665"/>
      <c r="I443" s="19">
        <f t="shared" si="77"/>
        <v>1</v>
      </c>
      <c r="J443" s="665"/>
      <c r="K443" s="19">
        <f t="shared" si="78"/>
        <v>1</v>
      </c>
      <c r="L443" s="665"/>
      <c r="M443" s="19">
        <f t="shared" si="79"/>
        <v>1</v>
      </c>
      <c r="N443" s="665"/>
      <c r="O443" s="19">
        <f t="shared" si="80"/>
        <v>1</v>
      </c>
      <c r="P443" s="665"/>
      <c r="Q443" s="19">
        <f t="shared" si="81"/>
        <v>1</v>
      </c>
      <c r="R443" s="661">
        <f t="shared" si="82"/>
        <v>0</v>
      </c>
      <c r="S443" s="314">
        <f t="shared" si="83"/>
        <v>0</v>
      </c>
    </row>
    <row r="444" spans="1:19">
      <c r="A444" s="148"/>
      <c r="B444" s="52"/>
      <c r="C444" s="19">
        <f t="shared" si="74"/>
        <v>1</v>
      </c>
      <c r="D444" s="665"/>
      <c r="E444" s="19">
        <f t="shared" si="75"/>
        <v>1</v>
      </c>
      <c r="F444" s="665"/>
      <c r="G444" s="19">
        <f t="shared" si="76"/>
        <v>1</v>
      </c>
      <c r="H444" s="665"/>
      <c r="I444" s="19">
        <f t="shared" si="77"/>
        <v>1</v>
      </c>
      <c r="J444" s="665"/>
      <c r="K444" s="19">
        <f t="shared" si="78"/>
        <v>1</v>
      </c>
      <c r="L444" s="665"/>
      <c r="M444" s="19">
        <f t="shared" si="79"/>
        <v>1</v>
      </c>
      <c r="N444" s="665"/>
      <c r="O444" s="19">
        <f t="shared" si="80"/>
        <v>1</v>
      </c>
      <c r="P444" s="665"/>
      <c r="Q444" s="19">
        <f t="shared" si="81"/>
        <v>1</v>
      </c>
      <c r="R444" s="661">
        <f t="shared" si="82"/>
        <v>0</v>
      </c>
      <c r="S444" s="314">
        <f t="shared" si="83"/>
        <v>0</v>
      </c>
    </row>
    <row r="445" spans="1:19">
      <c r="A445" s="148"/>
      <c r="B445" s="52"/>
      <c r="C445" s="19">
        <f t="shared" si="74"/>
        <v>1</v>
      </c>
      <c r="D445" s="665"/>
      <c r="E445" s="19">
        <f t="shared" si="75"/>
        <v>1</v>
      </c>
      <c r="F445" s="665"/>
      <c r="G445" s="19">
        <f t="shared" si="76"/>
        <v>1</v>
      </c>
      <c r="H445" s="665"/>
      <c r="I445" s="19">
        <f t="shared" si="77"/>
        <v>1</v>
      </c>
      <c r="J445" s="665"/>
      <c r="K445" s="19">
        <f t="shared" si="78"/>
        <v>1</v>
      </c>
      <c r="L445" s="665"/>
      <c r="M445" s="19">
        <f t="shared" si="79"/>
        <v>1</v>
      </c>
      <c r="N445" s="665"/>
      <c r="O445" s="19">
        <f t="shared" si="80"/>
        <v>1</v>
      </c>
      <c r="P445" s="665"/>
      <c r="Q445" s="19">
        <f t="shared" si="81"/>
        <v>1</v>
      </c>
      <c r="R445" s="661">
        <f t="shared" si="82"/>
        <v>0</v>
      </c>
      <c r="S445" s="314">
        <f t="shared" si="83"/>
        <v>0</v>
      </c>
    </row>
    <row r="446" spans="1:19">
      <c r="A446" s="148"/>
      <c r="B446" s="52"/>
      <c r="C446" s="19">
        <f t="shared" si="74"/>
        <v>1</v>
      </c>
      <c r="D446" s="665"/>
      <c r="E446" s="19">
        <f t="shared" si="75"/>
        <v>1</v>
      </c>
      <c r="F446" s="665"/>
      <c r="G446" s="19">
        <f t="shared" si="76"/>
        <v>1</v>
      </c>
      <c r="H446" s="665"/>
      <c r="I446" s="19">
        <f t="shared" si="77"/>
        <v>1</v>
      </c>
      <c r="J446" s="665"/>
      <c r="K446" s="19">
        <f t="shared" si="78"/>
        <v>1</v>
      </c>
      <c r="L446" s="665"/>
      <c r="M446" s="19">
        <f t="shared" si="79"/>
        <v>1</v>
      </c>
      <c r="N446" s="665"/>
      <c r="O446" s="19">
        <f t="shared" si="80"/>
        <v>1</v>
      </c>
      <c r="P446" s="665"/>
      <c r="Q446" s="19">
        <f t="shared" si="81"/>
        <v>1</v>
      </c>
      <c r="R446" s="661">
        <f t="shared" si="82"/>
        <v>0</v>
      </c>
      <c r="S446" s="314">
        <f t="shared" si="83"/>
        <v>0</v>
      </c>
    </row>
    <row r="447" spans="1:19">
      <c r="A447" s="148"/>
      <c r="B447" s="52"/>
      <c r="C447" s="19">
        <f t="shared" si="74"/>
        <v>1</v>
      </c>
      <c r="D447" s="665"/>
      <c r="E447" s="19">
        <f t="shared" si="75"/>
        <v>1</v>
      </c>
      <c r="F447" s="665"/>
      <c r="G447" s="19">
        <f t="shared" si="76"/>
        <v>1</v>
      </c>
      <c r="H447" s="665"/>
      <c r="I447" s="19">
        <f t="shared" si="77"/>
        <v>1</v>
      </c>
      <c r="J447" s="665"/>
      <c r="K447" s="19">
        <f t="shared" si="78"/>
        <v>1</v>
      </c>
      <c r="L447" s="665"/>
      <c r="M447" s="19">
        <f t="shared" si="79"/>
        <v>1</v>
      </c>
      <c r="N447" s="665"/>
      <c r="O447" s="19">
        <f t="shared" si="80"/>
        <v>1</v>
      </c>
      <c r="P447" s="665"/>
      <c r="Q447" s="19">
        <f t="shared" si="81"/>
        <v>1</v>
      </c>
      <c r="R447" s="661">
        <f t="shared" si="82"/>
        <v>0</v>
      </c>
      <c r="S447" s="314">
        <f t="shared" si="83"/>
        <v>0</v>
      </c>
    </row>
    <row r="448" spans="1:19">
      <c r="A448" s="148"/>
      <c r="B448" s="52"/>
      <c r="C448" s="19">
        <f t="shared" si="74"/>
        <v>1</v>
      </c>
      <c r="D448" s="665"/>
      <c r="E448" s="19">
        <f t="shared" si="75"/>
        <v>1</v>
      </c>
      <c r="F448" s="665"/>
      <c r="G448" s="19">
        <f t="shared" si="76"/>
        <v>1</v>
      </c>
      <c r="H448" s="665"/>
      <c r="I448" s="19">
        <f t="shared" si="77"/>
        <v>1</v>
      </c>
      <c r="J448" s="665"/>
      <c r="K448" s="19">
        <f t="shared" si="78"/>
        <v>1</v>
      </c>
      <c r="L448" s="665"/>
      <c r="M448" s="19">
        <f t="shared" si="79"/>
        <v>1</v>
      </c>
      <c r="N448" s="665"/>
      <c r="O448" s="19">
        <f t="shared" si="80"/>
        <v>1</v>
      </c>
      <c r="P448" s="665"/>
      <c r="Q448" s="19">
        <f t="shared" si="81"/>
        <v>1</v>
      </c>
      <c r="R448" s="661">
        <f t="shared" si="82"/>
        <v>0</v>
      </c>
      <c r="S448" s="314">
        <f t="shared" si="83"/>
        <v>0</v>
      </c>
    </row>
    <row r="449" spans="1:19">
      <c r="A449" s="148"/>
      <c r="B449" s="52"/>
      <c r="C449" s="19">
        <f t="shared" si="74"/>
        <v>1</v>
      </c>
      <c r="D449" s="665"/>
      <c r="E449" s="19">
        <f t="shared" si="75"/>
        <v>1</v>
      </c>
      <c r="F449" s="665"/>
      <c r="G449" s="19">
        <f t="shared" si="76"/>
        <v>1</v>
      </c>
      <c r="H449" s="665"/>
      <c r="I449" s="19">
        <f t="shared" si="77"/>
        <v>1</v>
      </c>
      <c r="J449" s="665"/>
      <c r="K449" s="19">
        <f t="shared" si="78"/>
        <v>1</v>
      </c>
      <c r="L449" s="665"/>
      <c r="M449" s="19">
        <f t="shared" si="79"/>
        <v>1</v>
      </c>
      <c r="N449" s="665"/>
      <c r="O449" s="19">
        <f t="shared" si="80"/>
        <v>1</v>
      </c>
      <c r="P449" s="665"/>
      <c r="Q449" s="19">
        <f t="shared" si="81"/>
        <v>1</v>
      </c>
      <c r="R449" s="661">
        <f t="shared" si="82"/>
        <v>0</v>
      </c>
      <c r="S449" s="314">
        <f t="shared" si="83"/>
        <v>0</v>
      </c>
    </row>
    <row r="450" spans="1:19">
      <c r="A450" s="148"/>
      <c r="B450" s="52"/>
      <c r="C450" s="19">
        <f t="shared" si="74"/>
        <v>1</v>
      </c>
      <c r="D450" s="665"/>
      <c r="E450" s="19">
        <f t="shared" si="75"/>
        <v>1</v>
      </c>
      <c r="F450" s="665"/>
      <c r="G450" s="19">
        <f t="shared" si="76"/>
        <v>1</v>
      </c>
      <c r="H450" s="665"/>
      <c r="I450" s="19">
        <f t="shared" si="77"/>
        <v>1</v>
      </c>
      <c r="J450" s="665"/>
      <c r="K450" s="19">
        <f t="shared" si="78"/>
        <v>1</v>
      </c>
      <c r="L450" s="665"/>
      <c r="M450" s="19">
        <f t="shared" si="79"/>
        <v>1</v>
      </c>
      <c r="N450" s="665"/>
      <c r="O450" s="19">
        <f t="shared" si="80"/>
        <v>1</v>
      </c>
      <c r="P450" s="665"/>
      <c r="Q450" s="19">
        <f t="shared" si="81"/>
        <v>1</v>
      </c>
      <c r="R450" s="661">
        <f t="shared" si="82"/>
        <v>0</v>
      </c>
      <c r="S450" s="314">
        <f t="shared" si="83"/>
        <v>0</v>
      </c>
    </row>
    <row r="451" spans="1:19">
      <c r="A451" s="148"/>
      <c r="B451" s="52"/>
      <c r="C451" s="19">
        <f t="shared" si="74"/>
        <v>1</v>
      </c>
      <c r="D451" s="665"/>
      <c r="E451" s="19">
        <f t="shared" si="75"/>
        <v>1</v>
      </c>
      <c r="F451" s="665"/>
      <c r="G451" s="19">
        <f t="shared" si="76"/>
        <v>1</v>
      </c>
      <c r="H451" s="665"/>
      <c r="I451" s="19">
        <f t="shared" si="77"/>
        <v>1</v>
      </c>
      <c r="J451" s="665"/>
      <c r="K451" s="19">
        <f t="shared" si="78"/>
        <v>1</v>
      </c>
      <c r="L451" s="665"/>
      <c r="M451" s="19">
        <f t="shared" si="79"/>
        <v>1</v>
      </c>
      <c r="N451" s="665"/>
      <c r="O451" s="19">
        <f t="shared" si="80"/>
        <v>1</v>
      </c>
      <c r="P451" s="665"/>
      <c r="Q451" s="19">
        <f t="shared" si="81"/>
        <v>1</v>
      </c>
      <c r="R451" s="661">
        <f t="shared" si="82"/>
        <v>0</v>
      </c>
      <c r="S451" s="314">
        <f t="shared" si="83"/>
        <v>0</v>
      </c>
    </row>
    <row r="452" spans="1:19">
      <c r="A452" s="148"/>
      <c r="B452" s="52"/>
      <c r="C452" s="19">
        <f t="shared" si="74"/>
        <v>1</v>
      </c>
      <c r="D452" s="665"/>
      <c r="E452" s="19">
        <f t="shared" si="75"/>
        <v>1</v>
      </c>
      <c r="F452" s="665"/>
      <c r="G452" s="19">
        <f t="shared" si="76"/>
        <v>1</v>
      </c>
      <c r="H452" s="665"/>
      <c r="I452" s="19">
        <f t="shared" si="77"/>
        <v>1</v>
      </c>
      <c r="J452" s="665"/>
      <c r="K452" s="19">
        <f t="shared" si="78"/>
        <v>1</v>
      </c>
      <c r="L452" s="665"/>
      <c r="M452" s="19">
        <f t="shared" si="79"/>
        <v>1</v>
      </c>
      <c r="N452" s="665"/>
      <c r="O452" s="19">
        <f t="shared" si="80"/>
        <v>1</v>
      </c>
      <c r="P452" s="665"/>
      <c r="Q452" s="19">
        <f t="shared" si="81"/>
        <v>1</v>
      </c>
      <c r="R452" s="661">
        <f t="shared" si="82"/>
        <v>0</v>
      </c>
      <c r="S452" s="314">
        <f t="shared" si="83"/>
        <v>0</v>
      </c>
    </row>
    <row r="453" spans="1:19">
      <c r="A453" s="148"/>
      <c r="B453" s="52"/>
      <c r="C453" s="19">
        <f t="shared" si="74"/>
        <v>1</v>
      </c>
      <c r="D453" s="665"/>
      <c r="E453" s="19">
        <f t="shared" si="75"/>
        <v>1</v>
      </c>
      <c r="F453" s="665"/>
      <c r="G453" s="19">
        <f t="shared" si="76"/>
        <v>1</v>
      </c>
      <c r="H453" s="665"/>
      <c r="I453" s="19">
        <f t="shared" si="77"/>
        <v>1</v>
      </c>
      <c r="J453" s="665"/>
      <c r="K453" s="19">
        <f t="shared" si="78"/>
        <v>1</v>
      </c>
      <c r="L453" s="665"/>
      <c r="M453" s="19">
        <f t="shared" si="79"/>
        <v>1</v>
      </c>
      <c r="N453" s="665"/>
      <c r="O453" s="19">
        <f t="shared" si="80"/>
        <v>1</v>
      </c>
      <c r="P453" s="665"/>
      <c r="Q453" s="19">
        <f t="shared" si="81"/>
        <v>1</v>
      </c>
      <c r="R453" s="661">
        <f t="shared" si="82"/>
        <v>0</v>
      </c>
      <c r="S453" s="314">
        <f t="shared" si="83"/>
        <v>0</v>
      </c>
    </row>
    <row r="454" spans="1:19">
      <c r="A454" s="148"/>
      <c r="B454" s="52"/>
      <c r="C454" s="19">
        <f t="shared" si="74"/>
        <v>1</v>
      </c>
      <c r="D454" s="665"/>
      <c r="E454" s="19">
        <f t="shared" si="75"/>
        <v>1</v>
      </c>
      <c r="F454" s="665"/>
      <c r="G454" s="19">
        <f t="shared" si="76"/>
        <v>1</v>
      </c>
      <c r="H454" s="665"/>
      <c r="I454" s="19">
        <f t="shared" si="77"/>
        <v>1</v>
      </c>
      <c r="J454" s="665"/>
      <c r="K454" s="19">
        <f t="shared" si="78"/>
        <v>1</v>
      </c>
      <c r="L454" s="665"/>
      <c r="M454" s="19">
        <f t="shared" si="79"/>
        <v>1</v>
      </c>
      <c r="N454" s="665"/>
      <c r="O454" s="19">
        <f t="shared" si="80"/>
        <v>1</v>
      </c>
      <c r="P454" s="665"/>
      <c r="Q454" s="19">
        <f t="shared" si="81"/>
        <v>1</v>
      </c>
      <c r="R454" s="661">
        <f t="shared" si="82"/>
        <v>0</v>
      </c>
      <c r="S454" s="314">
        <f t="shared" si="83"/>
        <v>0</v>
      </c>
    </row>
    <row r="455" spans="1:19">
      <c r="A455" s="148"/>
      <c r="B455" s="52"/>
      <c r="C455" s="19">
        <f t="shared" si="74"/>
        <v>1</v>
      </c>
      <c r="D455" s="665"/>
      <c r="E455" s="19">
        <f t="shared" si="75"/>
        <v>1</v>
      </c>
      <c r="F455" s="665"/>
      <c r="G455" s="19">
        <f t="shared" si="76"/>
        <v>1</v>
      </c>
      <c r="H455" s="665"/>
      <c r="I455" s="19">
        <f t="shared" si="77"/>
        <v>1</v>
      </c>
      <c r="J455" s="665"/>
      <c r="K455" s="19">
        <f t="shared" si="78"/>
        <v>1</v>
      </c>
      <c r="L455" s="665"/>
      <c r="M455" s="19">
        <f t="shared" si="79"/>
        <v>1</v>
      </c>
      <c r="N455" s="665"/>
      <c r="O455" s="19">
        <f t="shared" si="80"/>
        <v>1</v>
      </c>
      <c r="P455" s="665"/>
      <c r="Q455" s="19">
        <f t="shared" si="81"/>
        <v>1</v>
      </c>
      <c r="R455" s="661">
        <f t="shared" si="82"/>
        <v>0</v>
      </c>
      <c r="S455" s="314">
        <f t="shared" si="83"/>
        <v>0</v>
      </c>
    </row>
    <row r="456" spans="1:19">
      <c r="A456" s="148"/>
      <c r="B456" s="52"/>
      <c r="C456" s="19">
        <f t="shared" si="74"/>
        <v>1</v>
      </c>
      <c r="D456" s="665"/>
      <c r="E456" s="19">
        <f t="shared" si="75"/>
        <v>1</v>
      </c>
      <c r="F456" s="665"/>
      <c r="G456" s="19">
        <f t="shared" si="76"/>
        <v>1</v>
      </c>
      <c r="H456" s="665"/>
      <c r="I456" s="19">
        <f t="shared" si="77"/>
        <v>1</v>
      </c>
      <c r="J456" s="665"/>
      <c r="K456" s="19">
        <f t="shared" si="78"/>
        <v>1</v>
      </c>
      <c r="L456" s="665"/>
      <c r="M456" s="19">
        <f t="shared" si="79"/>
        <v>1</v>
      </c>
      <c r="N456" s="665"/>
      <c r="O456" s="19">
        <f t="shared" si="80"/>
        <v>1</v>
      </c>
      <c r="P456" s="665"/>
      <c r="Q456" s="19">
        <f t="shared" si="81"/>
        <v>1</v>
      </c>
      <c r="R456" s="661">
        <f t="shared" si="82"/>
        <v>0</v>
      </c>
      <c r="S456" s="314">
        <f t="shared" si="83"/>
        <v>0</v>
      </c>
    </row>
    <row r="457" spans="1:19">
      <c r="A457" s="148"/>
      <c r="B457" s="52"/>
      <c r="C457" s="19">
        <f t="shared" si="74"/>
        <v>1</v>
      </c>
      <c r="D457" s="665"/>
      <c r="E457" s="19">
        <f t="shared" si="75"/>
        <v>1</v>
      </c>
      <c r="F457" s="665"/>
      <c r="G457" s="19">
        <f t="shared" si="76"/>
        <v>1</v>
      </c>
      <c r="H457" s="665"/>
      <c r="I457" s="19">
        <f t="shared" si="77"/>
        <v>1</v>
      </c>
      <c r="J457" s="665"/>
      <c r="K457" s="19">
        <f t="shared" si="78"/>
        <v>1</v>
      </c>
      <c r="L457" s="665"/>
      <c r="M457" s="19">
        <f t="shared" si="79"/>
        <v>1</v>
      </c>
      <c r="N457" s="665"/>
      <c r="O457" s="19">
        <f t="shared" si="80"/>
        <v>1</v>
      </c>
      <c r="P457" s="665"/>
      <c r="Q457" s="19">
        <f t="shared" si="81"/>
        <v>1</v>
      </c>
      <c r="R457" s="661">
        <f t="shared" si="82"/>
        <v>0</v>
      </c>
      <c r="S457" s="314">
        <f t="shared" si="83"/>
        <v>0</v>
      </c>
    </row>
    <row r="458" spans="1:19">
      <c r="A458" s="148"/>
      <c r="B458" s="52"/>
      <c r="C458" s="19">
        <f t="shared" si="74"/>
        <v>1</v>
      </c>
      <c r="D458" s="665"/>
      <c r="E458" s="19">
        <f t="shared" si="75"/>
        <v>1</v>
      </c>
      <c r="F458" s="665"/>
      <c r="G458" s="19">
        <f t="shared" si="76"/>
        <v>1</v>
      </c>
      <c r="H458" s="665"/>
      <c r="I458" s="19">
        <f t="shared" si="77"/>
        <v>1</v>
      </c>
      <c r="J458" s="665"/>
      <c r="K458" s="19">
        <f t="shared" si="78"/>
        <v>1</v>
      </c>
      <c r="L458" s="665"/>
      <c r="M458" s="19">
        <f t="shared" si="79"/>
        <v>1</v>
      </c>
      <c r="N458" s="665"/>
      <c r="O458" s="19">
        <f t="shared" si="80"/>
        <v>1</v>
      </c>
      <c r="P458" s="665"/>
      <c r="Q458" s="19">
        <f t="shared" si="81"/>
        <v>1</v>
      </c>
      <c r="R458" s="661">
        <f t="shared" si="82"/>
        <v>0</v>
      </c>
      <c r="S458" s="314">
        <f t="shared" si="83"/>
        <v>0</v>
      </c>
    </row>
    <row r="459" spans="1:19">
      <c r="A459" s="148"/>
      <c r="B459" s="52"/>
      <c r="C459" s="19">
        <f t="shared" si="74"/>
        <v>1</v>
      </c>
      <c r="D459" s="665"/>
      <c r="E459" s="19">
        <f t="shared" si="75"/>
        <v>1</v>
      </c>
      <c r="F459" s="665"/>
      <c r="G459" s="19">
        <f t="shared" si="76"/>
        <v>1</v>
      </c>
      <c r="H459" s="665"/>
      <c r="I459" s="19">
        <f t="shared" si="77"/>
        <v>1</v>
      </c>
      <c r="J459" s="665"/>
      <c r="K459" s="19">
        <f t="shared" si="78"/>
        <v>1</v>
      </c>
      <c r="L459" s="665"/>
      <c r="M459" s="19">
        <f t="shared" si="79"/>
        <v>1</v>
      </c>
      <c r="N459" s="665"/>
      <c r="O459" s="19">
        <f t="shared" si="80"/>
        <v>1</v>
      </c>
      <c r="P459" s="665"/>
      <c r="Q459" s="19">
        <f t="shared" si="81"/>
        <v>1</v>
      </c>
      <c r="R459" s="661">
        <f t="shared" si="82"/>
        <v>0</v>
      </c>
      <c r="S459" s="314">
        <f t="shared" si="83"/>
        <v>0</v>
      </c>
    </row>
    <row r="460" spans="1:19">
      <c r="A460" s="148"/>
      <c r="B460" s="52"/>
      <c r="C460" s="19">
        <f t="shared" si="74"/>
        <v>1</v>
      </c>
      <c r="D460" s="665"/>
      <c r="E460" s="19">
        <f t="shared" si="75"/>
        <v>1</v>
      </c>
      <c r="F460" s="665"/>
      <c r="G460" s="19">
        <f t="shared" si="76"/>
        <v>1</v>
      </c>
      <c r="H460" s="665"/>
      <c r="I460" s="19">
        <f t="shared" si="77"/>
        <v>1</v>
      </c>
      <c r="J460" s="665"/>
      <c r="K460" s="19">
        <f t="shared" si="78"/>
        <v>1</v>
      </c>
      <c r="L460" s="665"/>
      <c r="M460" s="19">
        <f t="shared" si="79"/>
        <v>1</v>
      </c>
      <c r="N460" s="665"/>
      <c r="O460" s="19">
        <f t="shared" si="80"/>
        <v>1</v>
      </c>
      <c r="P460" s="665"/>
      <c r="Q460" s="19">
        <f t="shared" si="81"/>
        <v>1</v>
      </c>
      <c r="R460" s="661">
        <f t="shared" si="82"/>
        <v>0</v>
      </c>
      <c r="S460" s="314">
        <f t="shared" si="83"/>
        <v>0</v>
      </c>
    </row>
    <row r="461" spans="1:19">
      <c r="A461" s="148"/>
      <c r="B461" s="52"/>
      <c r="C461" s="19">
        <f t="shared" si="74"/>
        <v>1</v>
      </c>
      <c r="D461" s="665"/>
      <c r="E461" s="19">
        <f t="shared" si="75"/>
        <v>1</v>
      </c>
      <c r="F461" s="665"/>
      <c r="G461" s="19">
        <f t="shared" si="76"/>
        <v>1</v>
      </c>
      <c r="H461" s="665"/>
      <c r="I461" s="19">
        <f t="shared" si="77"/>
        <v>1</v>
      </c>
      <c r="J461" s="665"/>
      <c r="K461" s="19">
        <f t="shared" si="78"/>
        <v>1</v>
      </c>
      <c r="L461" s="665"/>
      <c r="M461" s="19">
        <f t="shared" si="79"/>
        <v>1</v>
      </c>
      <c r="N461" s="665"/>
      <c r="O461" s="19">
        <f t="shared" si="80"/>
        <v>1</v>
      </c>
      <c r="P461" s="665"/>
      <c r="Q461" s="19">
        <f t="shared" si="81"/>
        <v>1</v>
      </c>
      <c r="R461" s="661">
        <f t="shared" si="82"/>
        <v>0</v>
      </c>
      <c r="S461" s="314">
        <f t="shared" si="83"/>
        <v>0</v>
      </c>
    </row>
    <row r="462" spans="1:19">
      <c r="A462" s="148"/>
      <c r="B462" s="52"/>
      <c r="C462" s="19">
        <f t="shared" si="74"/>
        <v>1</v>
      </c>
      <c r="D462" s="665"/>
      <c r="E462" s="19">
        <f t="shared" si="75"/>
        <v>1</v>
      </c>
      <c r="F462" s="665"/>
      <c r="G462" s="19">
        <f t="shared" si="76"/>
        <v>1</v>
      </c>
      <c r="H462" s="665"/>
      <c r="I462" s="19">
        <f t="shared" si="77"/>
        <v>1</v>
      </c>
      <c r="J462" s="665"/>
      <c r="K462" s="19">
        <f t="shared" si="78"/>
        <v>1</v>
      </c>
      <c r="L462" s="665"/>
      <c r="M462" s="19">
        <f t="shared" si="79"/>
        <v>1</v>
      </c>
      <c r="N462" s="665"/>
      <c r="O462" s="19">
        <f t="shared" si="80"/>
        <v>1</v>
      </c>
      <c r="P462" s="665"/>
      <c r="Q462" s="19">
        <f t="shared" si="81"/>
        <v>1</v>
      </c>
      <c r="R462" s="661">
        <f t="shared" si="82"/>
        <v>0</v>
      </c>
      <c r="S462" s="314">
        <f t="shared" si="83"/>
        <v>0</v>
      </c>
    </row>
    <row r="463" spans="1:19">
      <c r="A463" s="148"/>
      <c r="B463" s="52"/>
      <c r="C463" s="19">
        <f t="shared" si="74"/>
        <v>1</v>
      </c>
      <c r="D463" s="665"/>
      <c r="E463" s="19">
        <f t="shared" si="75"/>
        <v>1</v>
      </c>
      <c r="F463" s="665"/>
      <c r="G463" s="19">
        <f t="shared" si="76"/>
        <v>1</v>
      </c>
      <c r="H463" s="665"/>
      <c r="I463" s="19">
        <f t="shared" si="77"/>
        <v>1</v>
      </c>
      <c r="J463" s="665"/>
      <c r="K463" s="19">
        <f t="shared" si="78"/>
        <v>1</v>
      </c>
      <c r="L463" s="665"/>
      <c r="M463" s="19">
        <f t="shared" si="79"/>
        <v>1</v>
      </c>
      <c r="N463" s="665"/>
      <c r="O463" s="19">
        <f t="shared" si="80"/>
        <v>1</v>
      </c>
      <c r="P463" s="665"/>
      <c r="Q463" s="19">
        <f t="shared" si="81"/>
        <v>1</v>
      </c>
      <c r="R463" s="661">
        <f t="shared" si="82"/>
        <v>0</v>
      </c>
      <c r="S463" s="314">
        <f t="shared" si="83"/>
        <v>0</v>
      </c>
    </row>
    <row r="464" spans="1:19">
      <c r="A464" s="148"/>
      <c r="B464" s="52"/>
      <c r="C464" s="19">
        <f t="shared" si="74"/>
        <v>1</v>
      </c>
      <c r="D464" s="665"/>
      <c r="E464" s="19">
        <f t="shared" si="75"/>
        <v>1</v>
      </c>
      <c r="F464" s="665"/>
      <c r="G464" s="19">
        <f t="shared" si="76"/>
        <v>1</v>
      </c>
      <c r="H464" s="665"/>
      <c r="I464" s="19">
        <f t="shared" si="77"/>
        <v>1</v>
      </c>
      <c r="J464" s="665"/>
      <c r="K464" s="19">
        <f t="shared" si="78"/>
        <v>1</v>
      </c>
      <c r="L464" s="665"/>
      <c r="M464" s="19">
        <f t="shared" si="79"/>
        <v>1</v>
      </c>
      <c r="N464" s="665"/>
      <c r="O464" s="19">
        <f t="shared" si="80"/>
        <v>1</v>
      </c>
      <c r="P464" s="665"/>
      <c r="Q464" s="19">
        <f t="shared" si="81"/>
        <v>1</v>
      </c>
      <c r="R464" s="661">
        <f t="shared" si="82"/>
        <v>0</v>
      </c>
      <c r="S464" s="314">
        <f t="shared" si="83"/>
        <v>0</v>
      </c>
    </row>
    <row r="465" spans="1:19">
      <c r="A465" s="148"/>
      <c r="B465" s="52"/>
      <c r="C465" s="19">
        <f t="shared" si="74"/>
        <v>1</v>
      </c>
      <c r="D465" s="665"/>
      <c r="E465" s="19">
        <f t="shared" si="75"/>
        <v>1</v>
      </c>
      <c r="F465" s="665"/>
      <c r="G465" s="19">
        <f t="shared" si="76"/>
        <v>1</v>
      </c>
      <c r="H465" s="665"/>
      <c r="I465" s="19">
        <f t="shared" si="77"/>
        <v>1</v>
      </c>
      <c r="J465" s="665"/>
      <c r="K465" s="19">
        <f t="shared" si="78"/>
        <v>1</v>
      </c>
      <c r="L465" s="665"/>
      <c r="M465" s="19">
        <f t="shared" si="79"/>
        <v>1</v>
      </c>
      <c r="N465" s="665"/>
      <c r="O465" s="19">
        <f t="shared" si="80"/>
        <v>1</v>
      </c>
      <c r="P465" s="665"/>
      <c r="Q465" s="19">
        <f t="shared" si="81"/>
        <v>1</v>
      </c>
      <c r="R465" s="661">
        <f t="shared" si="82"/>
        <v>0</v>
      </c>
      <c r="S465" s="314">
        <f t="shared" si="83"/>
        <v>0</v>
      </c>
    </row>
    <row r="466" spans="1:19">
      <c r="A466" s="148"/>
      <c r="B466" s="52"/>
      <c r="C466" s="19">
        <f t="shared" si="74"/>
        <v>1</v>
      </c>
      <c r="D466" s="665"/>
      <c r="E466" s="19">
        <f t="shared" si="75"/>
        <v>1</v>
      </c>
      <c r="F466" s="665"/>
      <c r="G466" s="19">
        <f t="shared" si="76"/>
        <v>1</v>
      </c>
      <c r="H466" s="665"/>
      <c r="I466" s="19">
        <f t="shared" si="77"/>
        <v>1</v>
      </c>
      <c r="J466" s="665"/>
      <c r="K466" s="19">
        <f t="shared" si="78"/>
        <v>1</v>
      </c>
      <c r="L466" s="665"/>
      <c r="M466" s="19">
        <f t="shared" si="79"/>
        <v>1</v>
      </c>
      <c r="N466" s="665"/>
      <c r="O466" s="19">
        <f t="shared" si="80"/>
        <v>1</v>
      </c>
      <c r="P466" s="665"/>
      <c r="Q466" s="19">
        <f t="shared" si="81"/>
        <v>1</v>
      </c>
      <c r="R466" s="661">
        <f t="shared" si="82"/>
        <v>0</v>
      </c>
      <c r="S466" s="314">
        <f t="shared" si="83"/>
        <v>0</v>
      </c>
    </row>
    <row r="467" spans="1:19">
      <c r="A467" s="148"/>
      <c r="B467" s="52"/>
      <c r="C467" s="19">
        <f t="shared" si="74"/>
        <v>1</v>
      </c>
      <c r="D467" s="665"/>
      <c r="E467" s="19">
        <f t="shared" si="75"/>
        <v>1</v>
      </c>
      <c r="F467" s="665"/>
      <c r="G467" s="19">
        <f t="shared" si="76"/>
        <v>1</v>
      </c>
      <c r="H467" s="665"/>
      <c r="I467" s="19">
        <f t="shared" si="77"/>
        <v>1</v>
      </c>
      <c r="J467" s="665"/>
      <c r="K467" s="19">
        <f t="shared" si="78"/>
        <v>1</v>
      </c>
      <c r="L467" s="665"/>
      <c r="M467" s="19">
        <f t="shared" si="79"/>
        <v>1</v>
      </c>
      <c r="N467" s="665"/>
      <c r="O467" s="19">
        <f t="shared" si="80"/>
        <v>1</v>
      </c>
      <c r="P467" s="665"/>
      <c r="Q467" s="19">
        <f t="shared" si="81"/>
        <v>1</v>
      </c>
      <c r="R467" s="661">
        <f t="shared" si="82"/>
        <v>0</v>
      </c>
      <c r="S467" s="314">
        <f t="shared" si="83"/>
        <v>0</v>
      </c>
    </row>
    <row r="468" spans="1:19">
      <c r="A468" s="148"/>
      <c r="B468" s="52"/>
      <c r="C468" s="19">
        <f t="shared" si="74"/>
        <v>1</v>
      </c>
      <c r="D468" s="665"/>
      <c r="E468" s="19">
        <f t="shared" si="75"/>
        <v>1</v>
      </c>
      <c r="F468" s="665"/>
      <c r="G468" s="19">
        <f t="shared" si="76"/>
        <v>1</v>
      </c>
      <c r="H468" s="665"/>
      <c r="I468" s="19">
        <f t="shared" si="77"/>
        <v>1</v>
      </c>
      <c r="J468" s="665"/>
      <c r="K468" s="19">
        <f t="shared" si="78"/>
        <v>1</v>
      </c>
      <c r="L468" s="665"/>
      <c r="M468" s="19">
        <f t="shared" si="79"/>
        <v>1</v>
      </c>
      <c r="N468" s="665"/>
      <c r="O468" s="19">
        <f t="shared" si="80"/>
        <v>1</v>
      </c>
      <c r="P468" s="665"/>
      <c r="Q468" s="19">
        <f t="shared" si="81"/>
        <v>1</v>
      </c>
      <c r="R468" s="661">
        <f t="shared" si="82"/>
        <v>0</v>
      </c>
      <c r="S468" s="314">
        <f t="shared" ref="S468:S497" si="84">ROUND(R468*B468/10000,0)</f>
        <v>0</v>
      </c>
    </row>
    <row r="469" spans="1:19">
      <c r="A469" s="148"/>
      <c r="B469" s="52"/>
      <c r="C469" s="19">
        <f t="shared" si="74"/>
        <v>1</v>
      </c>
      <c r="D469" s="665"/>
      <c r="E469" s="19">
        <f t="shared" si="75"/>
        <v>1</v>
      </c>
      <c r="F469" s="665"/>
      <c r="G469" s="19">
        <f t="shared" si="76"/>
        <v>1</v>
      </c>
      <c r="H469" s="665"/>
      <c r="I469" s="19">
        <f t="shared" si="77"/>
        <v>1</v>
      </c>
      <c r="J469" s="665"/>
      <c r="K469" s="19">
        <f t="shared" si="78"/>
        <v>1</v>
      </c>
      <c r="L469" s="665"/>
      <c r="M469" s="19">
        <f t="shared" si="79"/>
        <v>1</v>
      </c>
      <c r="N469" s="665"/>
      <c r="O469" s="19">
        <f t="shared" si="80"/>
        <v>1</v>
      </c>
      <c r="P469" s="665"/>
      <c r="Q469" s="19">
        <f t="shared" si="81"/>
        <v>1</v>
      </c>
      <c r="R469" s="661">
        <f t="shared" si="82"/>
        <v>0</v>
      </c>
      <c r="S469" s="314">
        <f t="shared" si="84"/>
        <v>0</v>
      </c>
    </row>
    <row r="470" spans="1:19">
      <c r="A470" s="148"/>
      <c r="B470" s="52"/>
      <c r="C470" s="19">
        <f t="shared" si="74"/>
        <v>1</v>
      </c>
      <c r="D470" s="665"/>
      <c r="E470" s="19">
        <f t="shared" si="75"/>
        <v>1</v>
      </c>
      <c r="F470" s="665"/>
      <c r="G470" s="19">
        <f t="shared" si="76"/>
        <v>1</v>
      </c>
      <c r="H470" s="665"/>
      <c r="I470" s="19">
        <f t="shared" si="77"/>
        <v>1</v>
      </c>
      <c r="J470" s="665"/>
      <c r="K470" s="19">
        <f t="shared" si="78"/>
        <v>1</v>
      </c>
      <c r="L470" s="665"/>
      <c r="M470" s="19">
        <f t="shared" si="79"/>
        <v>1</v>
      </c>
      <c r="N470" s="665"/>
      <c r="O470" s="19">
        <f t="shared" si="80"/>
        <v>1</v>
      </c>
      <c r="P470" s="665"/>
      <c r="Q470" s="19">
        <f t="shared" si="81"/>
        <v>1</v>
      </c>
      <c r="R470" s="661">
        <f t="shared" si="82"/>
        <v>0</v>
      </c>
      <c r="S470" s="314">
        <f t="shared" si="84"/>
        <v>0</v>
      </c>
    </row>
    <row r="471" spans="1:19">
      <c r="A471" s="148"/>
      <c r="B471" s="52"/>
      <c r="C471" s="19">
        <f t="shared" si="74"/>
        <v>1</v>
      </c>
      <c r="D471" s="665"/>
      <c r="E471" s="19">
        <f t="shared" si="75"/>
        <v>1</v>
      </c>
      <c r="F471" s="665"/>
      <c r="G471" s="19">
        <f t="shared" si="76"/>
        <v>1</v>
      </c>
      <c r="H471" s="665"/>
      <c r="I471" s="19">
        <f t="shared" si="77"/>
        <v>1</v>
      </c>
      <c r="J471" s="665"/>
      <c r="K471" s="19">
        <f t="shared" si="78"/>
        <v>1</v>
      </c>
      <c r="L471" s="665"/>
      <c r="M471" s="19">
        <f t="shared" si="79"/>
        <v>1</v>
      </c>
      <c r="N471" s="665"/>
      <c r="O471" s="19">
        <f t="shared" si="80"/>
        <v>1</v>
      </c>
      <c r="P471" s="665"/>
      <c r="Q471" s="19">
        <f t="shared" si="81"/>
        <v>1</v>
      </c>
      <c r="R471" s="661">
        <f t="shared" si="82"/>
        <v>0</v>
      </c>
      <c r="S471" s="314">
        <f t="shared" si="84"/>
        <v>0</v>
      </c>
    </row>
    <row r="472" spans="1:19">
      <c r="A472" s="148"/>
      <c r="B472" s="52"/>
      <c r="C472" s="19">
        <f t="shared" si="74"/>
        <v>1</v>
      </c>
      <c r="D472" s="665"/>
      <c r="E472" s="19">
        <f t="shared" si="75"/>
        <v>1</v>
      </c>
      <c r="F472" s="665"/>
      <c r="G472" s="19">
        <f t="shared" si="76"/>
        <v>1</v>
      </c>
      <c r="H472" s="665"/>
      <c r="I472" s="19">
        <f t="shared" si="77"/>
        <v>1</v>
      </c>
      <c r="J472" s="665"/>
      <c r="K472" s="19">
        <f t="shared" si="78"/>
        <v>1</v>
      </c>
      <c r="L472" s="665"/>
      <c r="M472" s="19">
        <f t="shared" si="79"/>
        <v>1</v>
      </c>
      <c r="N472" s="665"/>
      <c r="O472" s="19">
        <f t="shared" si="80"/>
        <v>1</v>
      </c>
      <c r="P472" s="665"/>
      <c r="Q472" s="19">
        <f t="shared" si="81"/>
        <v>1</v>
      </c>
      <c r="R472" s="661">
        <f t="shared" si="82"/>
        <v>0</v>
      </c>
      <c r="S472" s="314">
        <f t="shared" si="84"/>
        <v>0</v>
      </c>
    </row>
    <row r="473" spans="1:19">
      <c r="A473" s="148"/>
      <c r="B473" s="52"/>
      <c r="C473" s="19">
        <f t="shared" si="74"/>
        <v>1</v>
      </c>
      <c r="D473" s="665"/>
      <c r="E473" s="19">
        <f t="shared" si="75"/>
        <v>1</v>
      </c>
      <c r="F473" s="665"/>
      <c r="G473" s="19">
        <f t="shared" si="76"/>
        <v>1</v>
      </c>
      <c r="H473" s="665"/>
      <c r="I473" s="19">
        <f t="shared" si="77"/>
        <v>1</v>
      </c>
      <c r="J473" s="665"/>
      <c r="K473" s="19">
        <f t="shared" si="78"/>
        <v>1</v>
      </c>
      <c r="L473" s="665"/>
      <c r="M473" s="19">
        <f t="shared" si="79"/>
        <v>1</v>
      </c>
      <c r="N473" s="665"/>
      <c r="O473" s="19">
        <f t="shared" si="80"/>
        <v>1</v>
      </c>
      <c r="P473" s="665"/>
      <c r="Q473" s="19">
        <f t="shared" si="81"/>
        <v>1</v>
      </c>
      <c r="R473" s="661">
        <f t="shared" si="82"/>
        <v>0</v>
      </c>
      <c r="S473" s="314">
        <f t="shared" si="84"/>
        <v>0</v>
      </c>
    </row>
    <row r="474" spans="1:19">
      <c r="A474" s="148"/>
      <c r="B474" s="52"/>
      <c r="C474" s="19">
        <f t="shared" ref="C474:C524" si="85">IF(B474="",1,(LOOKUP(B474,$3:$3,$4:$4)-LOOKUP($B$24,$3:$3,$4:$4)+100)/100)</f>
        <v>1</v>
      </c>
      <c r="D474" s="665"/>
      <c r="E474" s="19">
        <f t="shared" ref="E474:E524" si="86">(SUMIF($5:$5,D474,$6:$6)-SUMIF($5:$5,$D$24,$6:$6)+100)/100</f>
        <v>1</v>
      </c>
      <c r="F474" s="665"/>
      <c r="G474" s="19">
        <f t="shared" ref="G474:G524" si="87">(SUMIF($7:$7,F474,$8:$8)-SUMIF($7:$7,$F$24,$8:$8)+100)/100</f>
        <v>1</v>
      </c>
      <c r="H474" s="665"/>
      <c r="I474" s="19">
        <f t="shared" ref="I474:I524" si="88">(SUMIF($9:$9,H474,$10:$10)-SUMIF($9:$9,$H$24,$10:$10)+100)/100</f>
        <v>1</v>
      </c>
      <c r="J474" s="665"/>
      <c r="K474" s="19">
        <f t="shared" ref="K474:K524" si="89">(SUMIF($11:$11,J474,$12:$12)-SUMIF($11:$11,$J$24,$12:$12)+100)/100</f>
        <v>1</v>
      </c>
      <c r="L474" s="665"/>
      <c r="M474" s="19">
        <f t="shared" ref="M474:M524" si="90">(SUMIF($13:$13,L474,$14:$14)-SUMIF($13:$13,$L$24,$14:$14)+100)/100</f>
        <v>1</v>
      </c>
      <c r="N474" s="665"/>
      <c r="O474" s="19">
        <f t="shared" ref="O474:O524" si="91">(SUMIF($15:$15,N474,$16:$16)-SUMIF($15:$15,$N$24,$16:$16)+100)/100</f>
        <v>1</v>
      </c>
      <c r="P474" s="665"/>
      <c r="Q474" s="19">
        <f t="shared" ref="Q474:Q524" si="92">(SUMIF($17:$17,P474,$18:$18)-SUMIF($17:$17,$P$24,$18:$18)+100)/100</f>
        <v>1</v>
      </c>
      <c r="R474" s="661">
        <f t="shared" ref="R474:R524" si="93">IF(B474="",0,ROUND($R$24*C474*E474*G474*I474*K474*M474*O474*Q474,0))</f>
        <v>0</v>
      </c>
      <c r="S474" s="314">
        <f t="shared" si="84"/>
        <v>0</v>
      </c>
    </row>
    <row r="475" spans="1:19">
      <c r="A475" s="148"/>
      <c r="B475" s="52"/>
      <c r="C475" s="19">
        <f t="shared" si="85"/>
        <v>1</v>
      </c>
      <c r="D475" s="665"/>
      <c r="E475" s="19">
        <f t="shared" si="86"/>
        <v>1</v>
      </c>
      <c r="F475" s="665"/>
      <c r="G475" s="19">
        <f t="shared" si="87"/>
        <v>1</v>
      </c>
      <c r="H475" s="665"/>
      <c r="I475" s="19">
        <f t="shared" si="88"/>
        <v>1</v>
      </c>
      <c r="J475" s="665"/>
      <c r="K475" s="19">
        <f t="shared" si="89"/>
        <v>1</v>
      </c>
      <c r="L475" s="665"/>
      <c r="M475" s="19">
        <f t="shared" si="90"/>
        <v>1</v>
      </c>
      <c r="N475" s="665"/>
      <c r="O475" s="19">
        <f t="shared" si="91"/>
        <v>1</v>
      </c>
      <c r="P475" s="665"/>
      <c r="Q475" s="19">
        <f t="shared" si="92"/>
        <v>1</v>
      </c>
      <c r="R475" s="661">
        <f t="shared" si="93"/>
        <v>0</v>
      </c>
      <c r="S475" s="314">
        <f t="shared" si="84"/>
        <v>0</v>
      </c>
    </row>
    <row r="476" spans="1:19">
      <c r="A476" s="148"/>
      <c r="B476" s="52"/>
      <c r="C476" s="19">
        <f t="shared" si="85"/>
        <v>1</v>
      </c>
      <c r="D476" s="665"/>
      <c r="E476" s="19">
        <f t="shared" si="86"/>
        <v>1</v>
      </c>
      <c r="F476" s="665"/>
      <c r="G476" s="19">
        <f t="shared" si="87"/>
        <v>1</v>
      </c>
      <c r="H476" s="665"/>
      <c r="I476" s="19">
        <f t="shared" si="88"/>
        <v>1</v>
      </c>
      <c r="J476" s="665"/>
      <c r="K476" s="19">
        <f t="shared" si="89"/>
        <v>1</v>
      </c>
      <c r="L476" s="665"/>
      <c r="M476" s="19">
        <f t="shared" si="90"/>
        <v>1</v>
      </c>
      <c r="N476" s="665"/>
      <c r="O476" s="19">
        <f t="shared" si="91"/>
        <v>1</v>
      </c>
      <c r="P476" s="665"/>
      <c r="Q476" s="19">
        <f t="shared" si="92"/>
        <v>1</v>
      </c>
      <c r="R476" s="661">
        <f t="shared" si="93"/>
        <v>0</v>
      </c>
      <c r="S476" s="314">
        <f t="shared" si="84"/>
        <v>0</v>
      </c>
    </row>
    <row r="477" spans="1:19">
      <c r="A477" s="148"/>
      <c r="B477" s="52"/>
      <c r="C477" s="19">
        <f t="shared" si="85"/>
        <v>1</v>
      </c>
      <c r="D477" s="665"/>
      <c r="E477" s="19">
        <f t="shared" si="86"/>
        <v>1</v>
      </c>
      <c r="F477" s="665"/>
      <c r="G477" s="19">
        <f t="shared" si="87"/>
        <v>1</v>
      </c>
      <c r="H477" s="665"/>
      <c r="I477" s="19">
        <f t="shared" si="88"/>
        <v>1</v>
      </c>
      <c r="J477" s="665"/>
      <c r="K477" s="19">
        <f t="shared" si="89"/>
        <v>1</v>
      </c>
      <c r="L477" s="665"/>
      <c r="M477" s="19">
        <f t="shared" si="90"/>
        <v>1</v>
      </c>
      <c r="N477" s="665"/>
      <c r="O477" s="19">
        <f t="shared" si="91"/>
        <v>1</v>
      </c>
      <c r="P477" s="665"/>
      <c r="Q477" s="19">
        <f t="shared" si="92"/>
        <v>1</v>
      </c>
      <c r="R477" s="661">
        <f t="shared" si="93"/>
        <v>0</v>
      </c>
      <c r="S477" s="314">
        <f t="shared" si="84"/>
        <v>0</v>
      </c>
    </row>
    <row r="478" spans="1:19">
      <c r="A478" s="148"/>
      <c r="B478" s="52"/>
      <c r="C478" s="19">
        <f t="shared" si="85"/>
        <v>1</v>
      </c>
      <c r="D478" s="665"/>
      <c r="E478" s="19">
        <f t="shared" si="86"/>
        <v>1</v>
      </c>
      <c r="F478" s="665"/>
      <c r="G478" s="19">
        <f t="shared" si="87"/>
        <v>1</v>
      </c>
      <c r="H478" s="665"/>
      <c r="I478" s="19">
        <f t="shared" si="88"/>
        <v>1</v>
      </c>
      <c r="J478" s="665"/>
      <c r="K478" s="19">
        <f t="shared" si="89"/>
        <v>1</v>
      </c>
      <c r="L478" s="665"/>
      <c r="M478" s="19">
        <f t="shared" si="90"/>
        <v>1</v>
      </c>
      <c r="N478" s="665"/>
      <c r="O478" s="19">
        <f t="shared" si="91"/>
        <v>1</v>
      </c>
      <c r="P478" s="665"/>
      <c r="Q478" s="19">
        <f t="shared" si="92"/>
        <v>1</v>
      </c>
      <c r="R478" s="661">
        <f t="shared" si="93"/>
        <v>0</v>
      </c>
      <c r="S478" s="314">
        <f t="shared" si="84"/>
        <v>0</v>
      </c>
    </row>
    <row r="479" spans="1:19">
      <c r="A479" s="148"/>
      <c r="B479" s="52"/>
      <c r="C479" s="19">
        <f t="shared" si="85"/>
        <v>1</v>
      </c>
      <c r="D479" s="665"/>
      <c r="E479" s="19">
        <f t="shared" si="86"/>
        <v>1</v>
      </c>
      <c r="F479" s="665"/>
      <c r="G479" s="19">
        <f t="shared" si="87"/>
        <v>1</v>
      </c>
      <c r="H479" s="665"/>
      <c r="I479" s="19">
        <f t="shared" si="88"/>
        <v>1</v>
      </c>
      <c r="J479" s="665"/>
      <c r="K479" s="19">
        <f t="shared" si="89"/>
        <v>1</v>
      </c>
      <c r="L479" s="665"/>
      <c r="M479" s="19">
        <f t="shared" si="90"/>
        <v>1</v>
      </c>
      <c r="N479" s="665"/>
      <c r="O479" s="19">
        <f t="shared" si="91"/>
        <v>1</v>
      </c>
      <c r="P479" s="665"/>
      <c r="Q479" s="19">
        <f t="shared" si="92"/>
        <v>1</v>
      </c>
      <c r="R479" s="661">
        <f t="shared" si="93"/>
        <v>0</v>
      </c>
      <c r="S479" s="314">
        <f t="shared" si="84"/>
        <v>0</v>
      </c>
    </row>
    <row r="480" spans="1:19">
      <c r="A480" s="148"/>
      <c r="B480" s="52"/>
      <c r="C480" s="19">
        <f t="shared" si="85"/>
        <v>1</v>
      </c>
      <c r="D480" s="665"/>
      <c r="E480" s="19">
        <f t="shared" si="86"/>
        <v>1</v>
      </c>
      <c r="F480" s="665"/>
      <c r="G480" s="19">
        <f t="shared" si="87"/>
        <v>1</v>
      </c>
      <c r="H480" s="665"/>
      <c r="I480" s="19">
        <f t="shared" si="88"/>
        <v>1</v>
      </c>
      <c r="J480" s="665"/>
      <c r="K480" s="19">
        <f t="shared" si="89"/>
        <v>1</v>
      </c>
      <c r="L480" s="665"/>
      <c r="M480" s="19">
        <f t="shared" si="90"/>
        <v>1</v>
      </c>
      <c r="N480" s="665"/>
      <c r="O480" s="19">
        <f t="shared" si="91"/>
        <v>1</v>
      </c>
      <c r="P480" s="665"/>
      <c r="Q480" s="19">
        <f t="shared" si="92"/>
        <v>1</v>
      </c>
      <c r="R480" s="661">
        <f t="shared" si="93"/>
        <v>0</v>
      </c>
      <c r="S480" s="314">
        <f t="shared" si="84"/>
        <v>0</v>
      </c>
    </row>
    <row r="481" spans="1:19">
      <c r="A481" s="148"/>
      <c r="B481" s="52"/>
      <c r="C481" s="19">
        <f t="shared" si="85"/>
        <v>1</v>
      </c>
      <c r="D481" s="665"/>
      <c r="E481" s="19">
        <f t="shared" si="86"/>
        <v>1</v>
      </c>
      <c r="F481" s="665"/>
      <c r="G481" s="19">
        <f t="shared" si="87"/>
        <v>1</v>
      </c>
      <c r="H481" s="665"/>
      <c r="I481" s="19">
        <f t="shared" si="88"/>
        <v>1</v>
      </c>
      <c r="J481" s="665"/>
      <c r="K481" s="19">
        <f t="shared" si="89"/>
        <v>1</v>
      </c>
      <c r="L481" s="665"/>
      <c r="M481" s="19">
        <f t="shared" si="90"/>
        <v>1</v>
      </c>
      <c r="N481" s="665"/>
      <c r="O481" s="19">
        <f t="shared" si="91"/>
        <v>1</v>
      </c>
      <c r="P481" s="665"/>
      <c r="Q481" s="19">
        <f t="shared" si="92"/>
        <v>1</v>
      </c>
      <c r="R481" s="661">
        <f t="shared" si="93"/>
        <v>0</v>
      </c>
      <c r="S481" s="314">
        <f t="shared" si="84"/>
        <v>0</v>
      </c>
    </row>
    <row r="482" spans="1:19">
      <c r="A482" s="148"/>
      <c r="B482" s="52"/>
      <c r="C482" s="19">
        <f t="shared" si="85"/>
        <v>1</v>
      </c>
      <c r="D482" s="665"/>
      <c r="E482" s="19">
        <f t="shared" si="86"/>
        <v>1</v>
      </c>
      <c r="F482" s="665"/>
      <c r="G482" s="19">
        <f t="shared" si="87"/>
        <v>1</v>
      </c>
      <c r="H482" s="665"/>
      <c r="I482" s="19">
        <f t="shared" si="88"/>
        <v>1</v>
      </c>
      <c r="J482" s="665"/>
      <c r="K482" s="19">
        <f t="shared" si="89"/>
        <v>1</v>
      </c>
      <c r="L482" s="665"/>
      <c r="M482" s="19">
        <f t="shared" si="90"/>
        <v>1</v>
      </c>
      <c r="N482" s="665"/>
      <c r="O482" s="19">
        <f t="shared" si="91"/>
        <v>1</v>
      </c>
      <c r="P482" s="665"/>
      <c r="Q482" s="19">
        <f t="shared" si="92"/>
        <v>1</v>
      </c>
      <c r="R482" s="661">
        <f t="shared" si="93"/>
        <v>0</v>
      </c>
      <c r="S482" s="314">
        <f t="shared" si="84"/>
        <v>0</v>
      </c>
    </row>
    <row r="483" spans="1:19">
      <c r="A483" s="148"/>
      <c r="B483" s="52"/>
      <c r="C483" s="19">
        <f t="shared" si="85"/>
        <v>1</v>
      </c>
      <c r="D483" s="665"/>
      <c r="E483" s="19">
        <f t="shared" si="86"/>
        <v>1</v>
      </c>
      <c r="F483" s="665"/>
      <c r="G483" s="19">
        <f t="shared" si="87"/>
        <v>1</v>
      </c>
      <c r="H483" s="665"/>
      <c r="I483" s="19">
        <f t="shared" si="88"/>
        <v>1</v>
      </c>
      <c r="J483" s="665"/>
      <c r="K483" s="19">
        <f t="shared" si="89"/>
        <v>1</v>
      </c>
      <c r="L483" s="665"/>
      <c r="M483" s="19">
        <f t="shared" si="90"/>
        <v>1</v>
      </c>
      <c r="N483" s="665"/>
      <c r="O483" s="19">
        <f t="shared" si="91"/>
        <v>1</v>
      </c>
      <c r="P483" s="665"/>
      <c r="Q483" s="19">
        <f t="shared" si="92"/>
        <v>1</v>
      </c>
      <c r="R483" s="661">
        <f t="shared" si="93"/>
        <v>0</v>
      </c>
      <c r="S483" s="314">
        <f t="shared" si="84"/>
        <v>0</v>
      </c>
    </row>
    <row r="484" spans="1:19">
      <c r="A484" s="148"/>
      <c r="B484" s="52"/>
      <c r="C484" s="19">
        <f t="shared" si="85"/>
        <v>1</v>
      </c>
      <c r="D484" s="665"/>
      <c r="E484" s="19">
        <f t="shared" si="86"/>
        <v>1</v>
      </c>
      <c r="F484" s="665"/>
      <c r="G484" s="19">
        <f t="shared" si="87"/>
        <v>1</v>
      </c>
      <c r="H484" s="665"/>
      <c r="I484" s="19">
        <f t="shared" si="88"/>
        <v>1</v>
      </c>
      <c r="J484" s="665"/>
      <c r="K484" s="19">
        <f t="shared" si="89"/>
        <v>1</v>
      </c>
      <c r="L484" s="665"/>
      <c r="M484" s="19">
        <f t="shared" si="90"/>
        <v>1</v>
      </c>
      <c r="N484" s="665"/>
      <c r="O484" s="19">
        <f t="shared" si="91"/>
        <v>1</v>
      </c>
      <c r="P484" s="665"/>
      <c r="Q484" s="19">
        <f t="shared" si="92"/>
        <v>1</v>
      </c>
      <c r="R484" s="661">
        <f t="shared" si="93"/>
        <v>0</v>
      </c>
      <c r="S484" s="314">
        <f t="shared" si="84"/>
        <v>0</v>
      </c>
    </row>
    <row r="485" spans="1:19">
      <c r="A485" s="148"/>
      <c r="B485" s="52"/>
      <c r="C485" s="19">
        <f t="shared" si="85"/>
        <v>1</v>
      </c>
      <c r="D485" s="665"/>
      <c r="E485" s="19">
        <f t="shared" si="86"/>
        <v>1</v>
      </c>
      <c r="F485" s="665"/>
      <c r="G485" s="19">
        <f t="shared" si="87"/>
        <v>1</v>
      </c>
      <c r="H485" s="665"/>
      <c r="I485" s="19">
        <f t="shared" si="88"/>
        <v>1</v>
      </c>
      <c r="J485" s="665"/>
      <c r="K485" s="19">
        <f t="shared" si="89"/>
        <v>1</v>
      </c>
      <c r="L485" s="665"/>
      <c r="M485" s="19">
        <f t="shared" si="90"/>
        <v>1</v>
      </c>
      <c r="N485" s="665"/>
      <c r="O485" s="19">
        <f t="shared" si="91"/>
        <v>1</v>
      </c>
      <c r="P485" s="665"/>
      <c r="Q485" s="19">
        <f t="shared" si="92"/>
        <v>1</v>
      </c>
      <c r="R485" s="661">
        <f t="shared" si="93"/>
        <v>0</v>
      </c>
      <c r="S485" s="314">
        <f t="shared" si="84"/>
        <v>0</v>
      </c>
    </row>
    <row r="486" spans="1:19">
      <c r="A486" s="148"/>
      <c r="B486" s="52"/>
      <c r="C486" s="19">
        <f t="shared" si="85"/>
        <v>1</v>
      </c>
      <c r="D486" s="665"/>
      <c r="E486" s="19">
        <f t="shared" si="86"/>
        <v>1</v>
      </c>
      <c r="F486" s="665"/>
      <c r="G486" s="19">
        <f t="shared" si="87"/>
        <v>1</v>
      </c>
      <c r="H486" s="665"/>
      <c r="I486" s="19">
        <f t="shared" si="88"/>
        <v>1</v>
      </c>
      <c r="J486" s="665"/>
      <c r="K486" s="19">
        <f t="shared" si="89"/>
        <v>1</v>
      </c>
      <c r="L486" s="665"/>
      <c r="M486" s="19">
        <f t="shared" si="90"/>
        <v>1</v>
      </c>
      <c r="N486" s="665"/>
      <c r="O486" s="19">
        <f t="shared" si="91"/>
        <v>1</v>
      </c>
      <c r="P486" s="665"/>
      <c r="Q486" s="19">
        <f t="shared" si="92"/>
        <v>1</v>
      </c>
      <c r="R486" s="661">
        <f t="shared" si="93"/>
        <v>0</v>
      </c>
      <c r="S486" s="314">
        <f t="shared" si="84"/>
        <v>0</v>
      </c>
    </row>
    <row r="487" spans="1:19">
      <c r="A487" s="148"/>
      <c r="B487" s="52"/>
      <c r="C487" s="19">
        <f t="shared" si="85"/>
        <v>1</v>
      </c>
      <c r="D487" s="665"/>
      <c r="E487" s="19">
        <f t="shared" si="86"/>
        <v>1</v>
      </c>
      <c r="F487" s="665"/>
      <c r="G487" s="19">
        <f t="shared" si="87"/>
        <v>1</v>
      </c>
      <c r="H487" s="665"/>
      <c r="I487" s="19">
        <f t="shared" si="88"/>
        <v>1</v>
      </c>
      <c r="J487" s="665"/>
      <c r="K487" s="19">
        <f t="shared" si="89"/>
        <v>1</v>
      </c>
      <c r="L487" s="665"/>
      <c r="M487" s="19">
        <f t="shared" si="90"/>
        <v>1</v>
      </c>
      <c r="N487" s="665"/>
      <c r="O487" s="19">
        <f t="shared" si="91"/>
        <v>1</v>
      </c>
      <c r="P487" s="665"/>
      <c r="Q487" s="19">
        <f t="shared" si="92"/>
        <v>1</v>
      </c>
      <c r="R487" s="661">
        <f t="shared" si="93"/>
        <v>0</v>
      </c>
      <c r="S487" s="314">
        <f t="shared" si="84"/>
        <v>0</v>
      </c>
    </row>
    <row r="488" spans="1:19">
      <c r="A488" s="148"/>
      <c r="B488" s="52"/>
      <c r="C488" s="19">
        <f t="shared" si="85"/>
        <v>1</v>
      </c>
      <c r="D488" s="665"/>
      <c r="E488" s="19">
        <f t="shared" si="86"/>
        <v>1</v>
      </c>
      <c r="F488" s="665"/>
      <c r="G488" s="19">
        <f t="shared" si="87"/>
        <v>1</v>
      </c>
      <c r="H488" s="665"/>
      <c r="I488" s="19">
        <f t="shared" si="88"/>
        <v>1</v>
      </c>
      <c r="J488" s="665"/>
      <c r="K488" s="19">
        <f t="shared" si="89"/>
        <v>1</v>
      </c>
      <c r="L488" s="665"/>
      <c r="M488" s="19">
        <f t="shared" si="90"/>
        <v>1</v>
      </c>
      <c r="N488" s="665"/>
      <c r="O488" s="19">
        <f t="shared" si="91"/>
        <v>1</v>
      </c>
      <c r="P488" s="665"/>
      <c r="Q488" s="19">
        <f t="shared" si="92"/>
        <v>1</v>
      </c>
      <c r="R488" s="661">
        <f t="shared" si="93"/>
        <v>0</v>
      </c>
      <c r="S488" s="314">
        <f t="shared" si="84"/>
        <v>0</v>
      </c>
    </row>
    <row r="489" spans="1:19">
      <c r="A489" s="148"/>
      <c r="B489" s="52"/>
      <c r="C489" s="19">
        <f t="shared" si="85"/>
        <v>1</v>
      </c>
      <c r="D489" s="665"/>
      <c r="E489" s="19">
        <f t="shared" si="86"/>
        <v>1</v>
      </c>
      <c r="F489" s="665"/>
      <c r="G489" s="19">
        <f t="shared" si="87"/>
        <v>1</v>
      </c>
      <c r="H489" s="665"/>
      <c r="I489" s="19">
        <f t="shared" si="88"/>
        <v>1</v>
      </c>
      <c r="J489" s="665"/>
      <c r="K489" s="19">
        <f t="shared" si="89"/>
        <v>1</v>
      </c>
      <c r="L489" s="665"/>
      <c r="M489" s="19">
        <f t="shared" si="90"/>
        <v>1</v>
      </c>
      <c r="N489" s="665"/>
      <c r="O489" s="19">
        <f t="shared" si="91"/>
        <v>1</v>
      </c>
      <c r="P489" s="665"/>
      <c r="Q489" s="19">
        <f t="shared" si="92"/>
        <v>1</v>
      </c>
      <c r="R489" s="661">
        <f t="shared" si="93"/>
        <v>0</v>
      </c>
      <c r="S489" s="314">
        <f t="shared" si="84"/>
        <v>0</v>
      </c>
    </row>
    <row r="490" spans="1:19">
      <c r="A490" s="148"/>
      <c r="B490" s="52"/>
      <c r="C490" s="19">
        <f t="shared" si="85"/>
        <v>1</v>
      </c>
      <c r="D490" s="665"/>
      <c r="E490" s="19">
        <f t="shared" si="86"/>
        <v>1</v>
      </c>
      <c r="F490" s="665"/>
      <c r="G490" s="19">
        <f t="shared" si="87"/>
        <v>1</v>
      </c>
      <c r="H490" s="665"/>
      <c r="I490" s="19">
        <f t="shared" si="88"/>
        <v>1</v>
      </c>
      <c r="J490" s="665"/>
      <c r="K490" s="19">
        <f t="shared" si="89"/>
        <v>1</v>
      </c>
      <c r="L490" s="665"/>
      <c r="M490" s="19">
        <f t="shared" si="90"/>
        <v>1</v>
      </c>
      <c r="N490" s="665"/>
      <c r="O490" s="19">
        <f t="shared" si="91"/>
        <v>1</v>
      </c>
      <c r="P490" s="665"/>
      <c r="Q490" s="19">
        <f t="shared" si="92"/>
        <v>1</v>
      </c>
      <c r="R490" s="661">
        <f t="shared" si="93"/>
        <v>0</v>
      </c>
      <c r="S490" s="314">
        <f t="shared" si="84"/>
        <v>0</v>
      </c>
    </row>
    <row r="491" spans="1:19">
      <c r="A491" s="148"/>
      <c r="B491" s="52"/>
      <c r="C491" s="19">
        <f t="shared" si="85"/>
        <v>1</v>
      </c>
      <c r="D491" s="665"/>
      <c r="E491" s="19">
        <f t="shared" si="86"/>
        <v>1</v>
      </c>
      <c r="F491" s="665"/>
      <c r="G491" s="19">
        <f t="shared" si="87"/>
        <v>1</v>
      </c>
      <c r="H491" s="665"/>
      <c r="I491" s="19">
        <f t="shared" si="88"/>
        <v>1</v>
      </c>
      <c r="J491" s="665"/>
      <c r="K491" s="19">
        <f t="shared" si="89"/>
        <v>1</v>
      </c>
      <c r="L491" s="665"/>
      <c r="M491" s="19">
        <f t="shared" si="90"/>
        <v>1</v>
      </c>
      <c r="N491" s="665"/>
      <c r="O491" s="19">
        <f t="shared" si="91"/>
        <v>1</v>
      </c>
      <c r="P491" s="665"/>
      <c r="Q491" s="19">
        <f t="shared" si="92"/>
        <v>1</v>
      </c>
      <c r="R491" s="661">
        <f t="shared" si="93"/>
        <v>0</v>
      </c>
      <c r="S491" s="314">
        <f t="shared" si="84"/>
        <v>0</v>
      </c>
    </row>
    <row r="492" spans="1:19">
      <c r="A492" s="148"/>
      <c r="B492" s="52"/>
      <c r="C492" s="19">
        <f t="shared" si="85"/>
        <v>1</v>
      </c>
      <c r="D492" s="665"/>
      <c r="E492" s="19">
        <f t="shared" si="86"/>
        <v>1</v>
      </c>
      <c r="F492" s="665"/>
      <c r="G492" s="19">
        <f t="shared" si="87"/>
        <v>1</v>
      </c>
      <c r="H492" s="665"/>
      <c r="I492" s="19">
        <f t="shared" si="88"/>
        <v>1</v>
      </c>
      <c r="J492" s="665"/>
      <c r="K492" s="19">
        <f t="shared" si="89"/>
        <v>1</v>
      </c>
      <c r="L492" s="665"/>
      <c r="M492" s="19">
        <f t="shared" si="90"/>
        <v>1</v>
      </c>
      <c r="N492" s="665"/>
      <c r="O492" s="19">
        <f t="shared" si="91"/>
        <v>1</v>
      </c>
      <c r="P492" s="665"/>
      <c r="Q492" s="19">
        <f t="shared" si="92"/>
        <v>1</v>
      </c>
      <c r="R492" s="661">
        <f t="shared" si="93"/>
        <v>0</v>
      </c>
      <c r="S492" s="314">
        <f t="shared" si="84"/>
        <v>0</v>
      </c>
    </row>
    <row r="493" spans="1:19">
      <c r="A493" s="148"/>
      <c r="B493" s="52"/>
      <c r="C493" s="19">
        <f t="shared" si="85"/>
        <v>1</v>
      </c>
      <c r="D493" s="665"/>
      <c r="E493" s="19">
        <f t="shared" si="86"/>
        <v>1</v>
      </c>
      <c r="F493" s="665"/>
      <c r="G493" s="19">
        <f t="shared" si="87"/>
        <v>1</v>
      </c>
      <c r="H493" s="665"/>
      <c r="I493" s="19">
        <f t="shared" si="88"/>
        <v>1</v>
      </c>
      <c r="J493" s="665"/>
      <c r="K493" s="19">
        <f t="shared" si="89"/>
        <v>1</v>
      </c>
      <c r="L493" s="665"/>
      <c r="M493" s="19">
        <f t="shared" si="90"/>
        <v>1</v>
      </c>
      <c r="N493" s="665"/>
      <c r="O493" s="19">
        <f t="shared" si="91"/>
        <v>1</v>
      </c>
      <c r="P493" s="665"/>
      <c r="Q493" s="19">
        <f t="shared" si="92"/>
        <v>1</v>
      </c>
      <c r="R493" s="661">
        <f t="shared" si="93"/>
        <v>0</v>
      </c>
      <c r="S493" s="314">
        <f t="shared" si="84"/>
        <v>0</v>
      </c>
    </row>
    <row r="494" spans="1:19">
      <c r="A494" s="148"/>
      <c r="B494" s="52"/>
      <c r="C494" s="19">
        <f t="shared" si="85"/>
        <v>1</v>
      </c>
      <c r="D494" s="665"/>
      <c r="E494" s="19">
        <f t="shared" si="86"/>
        <v>1</v>
      </c>
      <c r="F494" s="665"/>
      <c r="G494" s="19">
        <f t="shared" si="87"/>
        <v>1</v>
      </c>
      <c r="H494" s="665"/>
      <c r="I494" s="19">
        <f t="shared" si="88"/>
        <v>1</v>
      </c>
      <c r="J494" s="665"/>
      <c r="K494" s="19">
        <f t="shared" si="89"/>
        <v>1</v>
      </c>
      <c r="L494" s="665"/>
      <c r="M494" s="19">
        <f t="shared" si="90"/>
        <v>1</v>
      </c>
      <c r="N494" s="665"/>
      <c r="O494" s="19">
        <f t="shared" si="91"/>
        <v>1</v>
      </c>
      <c r="P494" s="665"/>
      <c r="Q494" s="19">
        <f t="shared" si="92"/>
        <v>1</v>
      </c>
      <c r="R494" s="661">
        <f t="shared" si="93"/>
        <v>0</v>
      </c>
      <c r="S494" s="314">
        <f t="shared" si="84"/>
        <v>0</v>
      </c>
    </row>
    <row r="495" spans="1:19">
      <c r="A495" s="148"/>
      <c r="B495" s="52"/>
      <c r="C495" s="19">
        <f t="shared" si="85"/>
        <v>1</v>
      </c>
      <c r="D495" s="665"/>
      <c r="E495" s="19">
        <f t="shared" si="86"/>
        <v>1</v>
      </c>
      <c r="F495" s="665"/>
      <c r="G495" s="19">
        <f t="shared" si="87"/>
        <v>1</v>
      </c>
      <c r="H495" s="665"/>
      <c r="I495" s="19">
        <f t="shared" si="88"/>
        <v>1</v>
      </c>
      <c r="J495" s="665"/>
      <c r="K495" s="19">
        <f t="shared" si="89"/>
        <v>1</v>
      </c>
      <c r="L495" s="665"/>
      <c r="M495" s="19">
        <f t="shared" si="90"/>
        <v>1</v>
      </c>
      <c r="N495" s="665"/>
      <c r="O495" s="19">
        <f t="shared" si="91"/>
        <v>1</v>
      </c>
      <c r="P495" s="665"/>
      <c r="Q495" s="19">
        <f t="shared" si="92"/>
        <v>1</v>
      </c>
      <c r="R495" s="661">
        <f t="shared" si="93"/>
        <v>0</v>
      </c>
      <c r="S495" s="314">
        <f t="shared" si="84"/>
        <v>0</v>
      </c>
    </row>
    <row r="496" spans="1:19">
      <c r="A496" s="148"/>
      <c r="B496" s="52"/>
      <c r="C496" s="19">
        <f t="shared" si="85"/>
        <v>1</v>
      </c>
      <c r="D496" s="665"/>
      <c r="E496" s="19">
        <f t="shared" si="86"/>
        <v>1</v>
      </c>
      <c r="F496" s="665"/>
      <c r="G496" s="19">
        <f t="shared" si="87"/>
        <v>1</v>
      </c>
      <c r="H496" s="665"/>
      <c r="I496" s="19">
        <f t="shared" si="88"/>
        <v>1</v>
      </c>
      <c r="J496" s="665"/>
      <c r="K496" s="19">
        <f t="shared" si="89"/>
        <v>1</v>
      </c>
      <c r="L496" s="665"/>
      <c r="M496" s="19">
        <f t="shared" si="90"/>
        <v>1</v>
      </c>
      <c r="N496" s="665"/>
      <c r="O496" s="19">
        <f t="shared" si="91"/>
        <v>1</v>
      </c>
      <c r="P496" s="665"/>
      <c r="Q496" s="19">
        <f t="shared" si="92"/>
        <v>1</v>
      </c>
      <c r="R496" s="661">
        <f t="shared" si="93"/>
        <v>0</v>
      </c>
      <c r="S496" s="314">
        <f t="shared" si="84"/>
        <v>0</v>
      </c>
    </row>
    <row r="497" spans="1:19">
      <c r="A497" s="148"/>
      <c r="B497" s="52"/>
      <c r="C497" s="19">
        <f t="shared" si="85"/>
        <v>1</v>
      </c>
      <c r="D497" s="665"/>
      <c r="E497" s="19">
        <f t="shared" si="86"/>
        <v>1</v>
      </c>
      <c r="F497" s="665"/>
      <c r="G497" s="19">
        <f t="shared" si="87"/>
        <v>1</v>
      </c>
      <c r="H497" s="665"/>
      <c r="I497" s="19">
        <f t="shared" si="88"/>
        <v>1</v>
      </c>
      <c r="J497" s="665"/>
      <c r="K497" s="19">
        <f t="shared" si="89"/>
        <v>1</v>
      </c>
      <c r="L497" s="665"/>
      <c r="M497" s="19">
        <f t="shared" si="90"/>
        <v>1</v>
      </c>
      <c r="N497" s="665"/>
      <c r="O497" s="19">
        <f t="shared" si="91"/>
        <v>1</v>
      </c>
      <c r="P497" s="665"/>
      <c r="Q497" s="19">
        <f t="shared" si="92"/>
        <v>1</v>
      </c>
      <c r="R497" s="661">
        <f t="shared" si="93"/>
        <v>0</v>
      </c>
      <c r="S497" s="314">
        <f t="shared" si="84"/>
        <v>0</v>
      </c>
    </row>
    <row r="498" spans="1:19">
      <c r="A498" s="148"/>
      <c r="B498" s="52"/>
      <c r="C498" s="19">
        <f t="shared" si="85"/>
        <v>1</v>
      </c>
      <c r="D498" s="665"/>
      <c r="E498" s="19">
        <f t="shared" si="86"/>
        <v>1</v>
      </c>
      <c r="F498" s="665"/>
      <c r="G498" s="19">
        <f t="shared" si="87"/>
        <v>1</v>
      </c>
      <c r="H498" s="665"/>
      <c r="I498" s="19">
        <f t="shared" si="88"/>
        <v>1</v>
      </c>
      <c r="J498" s="665"/>
      <c r="K498" s="19">
        <f t="shared" si="89"/>
        <v>1</v>
      </c>
      <c r="L498" s="665"/>
      <c r="M498" s="19">
        <f t="shared" si="90"/>
        <v>1</v>
      </c>
      <c r="N498" s="665"/>
      <c r="O498" s="19">
        <f t="shared" si="91"/>
        <v>1</v>
      </c>
      <c r="P498" s="665"/>
      <c r="Q498" s="19">
        <f t="shared" si="92"/>
        <v>1</v>
      </c>
      <c r="R498" s="661">
        <f t="shared" si="93"/>
        <v>0</v>
      </c>
      <c r="S498" s="314">
        <f t="shared" ref="S498:S524" si="94">ROUND(R498*B498/10000,0)</f>
        <v>0</v>
      </c>
    </row>
    <row r="499" spans="1:19">
      <c r="A499" s="148"/>
      <c r="B499" s="52"/>
      <c r="C499" s="19">
        <f t="shared" si="85"/>
        <v>1</v>
      </c>
      <c r="D499" s="665"/>
      <c r="E499" s="19">
        <f t="shared" si="86"/>
        <v>1</v>
      </c>
      <c r="F499" s="665"/>
      <c r="G499" s="19">
        <f t="shared" si="87"/>
        <v>1</v>
      </c>
      <c r="H499" s="665"/>
      <c r="I499" s="19">
        <f t="shared" si="88"/>
        <v>1</v>
      </c>
      <c r="J499" s="665"/>
      <c r="K499" s="19">
        <f t="shared" si="89"/>
        <v>1</v>
      </c>
      <c r="L499" s="665"/>
      <c r="M499" s="19">
        <f t="shared" si="90"/>
        <v>1</v>
      </c>
      <c r="N499" s="665"/>
      <c r="O499" s="19">
        <f t="shared" si="91"/>
        <v>1</v>
      </c>
      <c r="P499" s="665"/>
      <c r="Q499" s="19">
        <f t="shared" si="92"/>
        <v>1</v>
      </c>
      <c r="R499" s="661">
        <f t="shared" si="93"/>
        <v>0</v>
      </c>
      <c r="S499" s="314">
        <f t="shared" si="94"/>
        <v>0</v>
      </c>
    </row>
    <row r="500" spans="1:19">
      <c r="A500" s="148"/>
      <c r="B500" s="52"/>
      <c r="C500" s="19">
        <f t="shared" si="85"/>
        <v>1</v>
      </c>
      <c r="D500" s="665"/>
      <c r="E500" s="19">
        <f t="shared" si="86"/>
        <v>1</v>
      </c>
      <c r="F500" s="665"/>
      <c r="G500" s="19">
        <f t="shared" si="87"/>
        <v>1</v>
      </c>
      <c r="H500" s="665"/>
      <c r="I500" s="19">
        <f t="shared" si="88"/>
        <v>1</v>
      </c>
      <c r="J500" s="665"/>
      <c r="K500" s="19">
        <f t="shared" si="89"/>
        <v>1</v>
      </c>
      <c r="L500" s="665"/>
      <c r="M500" s="19">
        <f t="shared" si="90"/>
        <v>1</v>
      </c>
      <c r="N500" s="665"/>
      <c r="O500" s="19">
        <f t="shared" si="91"/>
        <v>1</v>
      </c>
      <c r="P500" s="665"/>
      <c r="Q500" s="19">
        <f t="shared" si="92"/>
        <v>1</v>
      </c>
      <c r="R500" s="661">
        <f t="shared" si="93"/>
        <v>0</v>
      </c>
      <c r="S500" s="314">
        <f t="shared" si="94"/>
        <v>0</v>
      </c>
    </row>
    <row r="501" spans="1:19">
      <c r="A501" s="148"/>
      <c r="B501" s="52"/>
      <c r="C501" s="19">
        <f t="shared" si="85"/>
        <v>1</v>
      </c>
      <c r="D501" s="665"/>
      <c r="E501" s="19">
        <f t="shared" si="86"/>
        <v>1</v>
      </c>
      <c r="F501" s="665"/>
      <c r="G501" s="19">
        <f t="shared" si="87"/>
        <v>1</v>
      </c>
      <c r="H501" s="665"/>
      <c r="I501" s="19">
        <f t="shared" si="88"/>
        <v>1</v>
      </c>
      <c r="J501" s="665"/>
      <c r="K501" s="19">
        <f t="shared" si="89"/>
        <v>1</v>
      </c>
      <c r="L501" s="665"/>
      <c r="M501" s="19">
        <f t="shared" si="90"/>
        <v>1</v>
      </c>
      <c r="N501" s="665"/>
      <c r="O501" s="19">
        <f t="shared" si="91"/>
        <v>1</v>
      </c>
      <c r="P501" s="665"/>
      <c r="Q501" s="19">
        <f t="shared" si="92"/>
        <v>1</v>
      </c>
      <c r="R501" s="661">
        <f t="shared" si="93"/>
        <v>0</v>
      </c>
      <c r="S501" s="314">
        <f t="shared" si="94"/>
        <v>0</v>
      </c>
    </row>
    <row r="502" spans="1:19">
      <c r="A502" s="148"/>
      <c r="B502" s="52"/>
      <c r="C502" s="19">
        <f t="shared" si="85"/>
        <v>1</v>
      </c>
      <c r="D502" s="665"/>
      <c r="E502" s="19">
        <f t="shared" si="86"/>
        <v>1</v>
      </c>
      <c r="F502" s="665"/>
      <c r="G502" s="19">
        <f t="shared" si="87"/>
        <v>1</v>
      </c>
      <c r="H502" s="665"/>
      <c r="I502" s="19">
        <f t="shared" si="88"/>
        <v>1</v>
      </c>
      <c r="J502" s="665"/>
      <c r="K502" s="19">
        <f t="shared" si="89"/>
        <v>1</v>
      </c>
      <c r="L502" s="665"/>
      <c r="M502" s="19">
        <f t="shared" si="90"/>
        <v>1</v>
      </c>
      <c r="N502" s="665"/>
      <c r="O502" s="19">
        <f t="shared" si="91"/>
        <v>1</v>
      </c>
      <c r="P502" s="665"/>
      <c r="Q502" s="19">
        <f t="shared" si="92"/>
        <v>1</v>
      </c>
      <c r="R502" s="661">
        <f t="shared" si="93"/>
        <v>0</v>
      </c>
      <c r="S502" s="314">
        <f t="shared" si="94"/>
        <v>0</v>
      </c>
    </row>
    <row r="503" spans="1:19">
      <c r="A503" s="148"/>
      <c r="B503" s="52"/>
      <c r="C503" s="19">
        <f t="shared" si="85"/>
        <v>1</v>
      </c>
      <c r="D503" s="665"/>
      <c r="E503" s="19">
        <f t="shared" si="86"/>
        <v>1</v>
      </c>
      <c r="F503" s="665"/>
      <c r="G503" s="19">
        <f t="shared" si="87"/>
        <v>1</v>
      </c>
      <c r="H503" s="665"/>
      <c r="I503" s="19">
        <f t="shared" si="88"/>
        <v>1</v>
      </c>
      <c r="J503" s="665"/>
      <c r="K503" s="19">
        <f t="shared" si="89"/>
        <v>1</v>
      </c>
      <c r="L503" s="665"/>
      <c r="M503" s="19">
        <f t="shared" si="90"/>
        <v>1</v>
      </c>
      <c r="N503" s="665"/>
      <c r="O503" s="19">
        <f t="shared" si="91"/>
        <v>1</v>
      </c>
      <c r="P503" s="665"/>
      <c r="Q503" s="19">
        <f t="shared" si="92"/>
        <v>1</v>
      </c>
      <c r="R503" s="661">
        <f t="shared" si="93"/>
        <v>0</v>
      </c>
      <c r="S503" s="314">
        <f t="shared" si="94"/>
        <v>0</v>
      </c>
    </row>
    <row r="504" spans="1:19">
      <c r="A504" s="148"/>
      <c r="B504" s="52"/>
      <c r="C504" s="19">
        <f t="shared" si="85"/>
        <v>1</v>
      </c>
      <c r="D504" s="665"/>
      <c r="E504" s="19">
        <f t="shared" si="86"/>
        <v>1</v>
      </c>
      <c r="F504" s="665"/>
      <c r="G504" s="19">
        <f t="shared" si="87"/>
        <v>1</v>
      </c>
      <c r="H504" s="665"/>
      <c r="I504" s="19">
        <f t="shared" si="88"/>
        <v>1</v>
      </c>
      <c r="J504" s="665"/>
      <c r="K504" s="19">
        <f t="shared" si="89"/>
        <v>1</v>
      </c>
      <c r="L504" s="665"/>
      <c r="M504" s="19">
        <f t="shared" si="90"/>
        <v>1</v>
      </c>
      <c r="N504" s="665"/>
      <c r="O504" s="19">
        <f t="shared" si="91"/>
        <v>1</v>
      </c>
      <c r="P504" s="665"/>
      <c r="Q504" s="19">
        <f t="shared" si="92"/>
        <v>1</v>
      </c>
      <c r="R504" s="661">
        <f t="shared" si="93"/>
        <v>0</v>
      </c>
      <c r="S504" s="314">
        <f t="shared" si="94"/>
        <v>0</v>
      </c>
    </row>
    <row r="505" spans="1:19">
      <c r="A505" s="148"/>
      <c r="B505" s="52"/>
      <c r="C505" s="19">
        <f t="shared" si="85"/>
        <v>1</v>
      </c>
      <c r="D505" s="665"/>
      <c r="E505" s="19">
        <f t="shared" si="86"/>
        <v>1</v>
      </c>
      <c r="F505" s="665"/>
      <c r="G505" s="19">
        <f t="shared" si="87"/>
        <v>1</v>
      </c>
      <c r="H505" s="665"/>
      <c r="I505" s="19">
        <f t="shared" si="88"/>
        <v>1</v>
      </c>
      <c r="J505" s="665"/>
      <c r="K505" s="19">
        <f t="shared" si="89"/>
        <v>1</v>
      </c>
      <c r="L505" s="665"/>
      <c r="M505" s="19">
        <f t="shared" si="90"/>
        <v>1</v>
      </c>
      <c r="N505" s="665"/>
      <c r="O505" s="19">
        <f t="shared" si="91"/>
        <v>1</v>
      </c>
      <c r="P505" s="665"/>
      <c r="Q505" s="19">
        <f t="shared" si="92"/>
        <v>1</v>
      </c>
      <c r="R505" s="661">
        <f t="shared" si="93"/>
        <v>0</v>
      </c>
      <c r="S505" s="314">
        <f t="shared" si="94"/>
        <v>0</v>
      </c>
    </row>
    <row r="506" spans="1:19">
      <c r="A506" s="148"/>
      <c r="B506" s="52"/>
      <c r="C506" s="19">
        <f t="shared" si="85"/>
        <v>1</v>
      </c>
      <c r="D506" s="665"/>
      <c r="E506" s="19">
        <f t="shared" si="86"/>
        <v>1</v>
      </c>
      <c r="F506" s="665"/>
      <c r="G506" s="19">
        <f t="shared" si="87"/>
        <v>1</v>
      </c>
      <c r="H506" s="665"/>
      <c r="I506" s="19">
        <f t="shared" si="88"/>
        <v>1</v>
      </c>
      <c r="J506" s="665"/>
      <c r="K506" s="19">
        <f t="shared" si="89"/>
        <v>1</v>
      </c>
      <c r="L506" s="665"/>
      <c r="M506" s="19">
        <f t="shared" si="90"/>
        <v>1</v>
      </c>
      <c r="N506" s="665"/>
      <c r="O506" s="19">
        <f t="shared" si="91"/>
        <v>1</v>
      </c>
      <c r="P506" s="665"/>
      <c r="Q506" s="19">
        <f t="shared" si="92"/>
        <v>1</v>
      </c>
      <c r="R506" s="661">
        <f t="shared" si="93"/>
        <v>0</v>
      </c>
      <c r="S506" s="314">
        <f t="shared" si="94"/>
        <v>0</v>
      </c>
    </row>
    <row r="507" spans="1:19">
      <c r="A507" s="148"/>
      <c r="B507" s="52"/>
      <c r="C507" s="19">
        <f t="shared" si="85"/>
        <v>1</v>
      </c>
      <c r="D507" s="665"/>
      <c r="E507" s="19">
        <f t="shared" si="86"/>
        <v>1</v>
      </c>
      <c r="F507" s="665"/>
      <c r="G507" s="19">
        <f t="shared" si="87"/>
        <v>1</v>
      </c>
      <c r="H507" s="665"/>
      <c r="I507" s="19">
        <f t="shared" si="88"/>
        <v>1</v>
      </c>
      <c r="J507" s="665"/>
      <c r="K507" s="19">
        <f t="shared" si="89"/>
        <v>1</v>
      </c>
      <c r="L507" s="665"/>
      <c r="M507" s="19">
        <f t="shared" si="90"/>
        <v>1</v>
      </c>
      <c r="N507" s="665"/>
      <c r="O507" s="19">
        <f t="shared" si="91"/>
        <v>1</v>
      </c>
      <c r="P507" s="665"/>
      <c r="Q507" s="19">
        <f t="shared" si="92"/>
        <v>1</v>
      </c>
      <c r="R507" s="661">
        <f t="shared" si="93"/>
        <v>0</v>
      </c>
      <c r="S507" s="314">
        <f t="shared" si="94"/>
        <v>0</v>
      </c>
    </row>
    <row r="508" spans="1:19">
      <c r="A508" s="148"/>
      <c r="B508" s="52"/>
      <c r="C508" s="19">
        <f t="shared" si="85"/>
        <v>1</v>
      </c>
      <c r="D508" s="665"/>
      <c r="E508" s="19">
        <f t="shared" si="86"/>
        <v>1</v>
      </c>
      <c r="F508" s="665"/>
      <c r="G508" s="19">
        <f t="shared" si="87"/>
        <v>1</v>
      </c>
      <c r="H508" s="665"/>
      <c r="I508" s="19">
        <f t="shared" si="88"/>
        <v>1</v>
      </c>
      <c r="J508" s="665"/>
      <c r="K508" s="19">
        <f t="shared" si="89"/>
        <v>1</v>
      </c>
      <c r="L508" s="665"/>
      <c r="M508" s="19">
        <f t="shared" si="90"/>
        <v>1</v>
      </c>
      <c r="N508" s="665"/>
      <c r="O508" s="19">
        <f t="shared" si="91"/>
        <v>1</v>
      </c>
      <c r="P508" s="665"/>
      <c r="Q508" s="19">
        <f t="shared" si="92"/>
        <v>1</v>
      </c>
      <c r="R508" s="661">
        <f t="shared" si="93"/>
        <v>0</v>
      </c>
      <c r="S508" s="314">
        <f t="shared" si="94"/>
        <v>0</v>
      </c>
    </row>
    <row r="509" spans="1:19">
      <c r="A509" s="148"/>
      <c r="B509" s="52"/>
      <c r="C509" s="19">
        <f t="shared" si="85"/>
        <v>1</v>
      </c>
      <c r="D509" s="665"/>
      <c r="E509" s="19">
        <f t="shared" si="86"/>
        <v>1</v>
      </c>
      <c r="F509" s="665"/>
      <c r="G509" s="19">
        <f t="shared" si="87"/>
        <v>1</v>
      </c>
      <c r="H509" s="665"/>
      <c r="I509" s="19">
        <f t="shared" si="88"/>
        <v>1</v>
      </c>
      <c r="J509" s="665"/>
      <c r="K509" s="19">
        <f t="shared" si="89"/>
        <v>1</v>
      </c>
      <c r="L509" s="665"/>
      <c r="M509" s="19">
        <f t="shared" si="90"/>
        <v>1</v>
      </c>
      <c r="N509" s="665"/>
      <c r="O509" s="19">
        <f t="shared" si="91"/>
        <v>1</v>
      </c>
      <c r="P509" s="665"/>
      <c r="Q509" s="19">
        <f t="shared" si="92"/>
        <v>1</v>
      </c>
      <c r="R509" s="661">
        <f t="shared" si="93"/>
        <v>0</v>
      </c>
      <c r="S509" s="314">
        <f t="shared" si="94"/>
        <v>0</v>
      </c>
    </row>
    <row r="510" spans="1:19">
      <c r="A510" s="148"/>
      <c r="B510" s="52"/>
      <c r="C510" s="19">
        <f t="shared" si="85"/>
        <v>1</v>
      </c>
      <c r="D510" s="665"/>
      <c r="E510" s="19">
        <f t="shared" si="86"/>
        <v>1</v>
      </c>
      <c r="F510" s="665"/>
      <c r="G510" s="19">
        <f t="shared" si="87"/>
        <v>1</v>
      </c>
      <c r="H510" s="665"/>
      <c r="I510" s="19">
        <f t="shared" si="88"/>
        <v>1</v>
      </c>
      <c r="J510" s="665"/>
      <c r="K510" s="19">
        <f t="shared" si="89"/>
        <v>1</v>
      </c>
      <c r="L510" s="665"/>
      <c r="M510" s="19">
        <f t="shared" si="90"/>
        <v>1</v>
      </c>
      <c r="N510" s="665"/>
      <c r="O510" s="19">
        <f t="shared" si="91"/>
        <v>1</v>
      </c>
      <c r="P510" s="665"/>
      <c r="Q510" s="19">
        <f t="shared" si="92"/>
        <v>1</v>
      </c>
      <c r="R510" s="661">
        <f t="shared" si="93"/>
        <v>0</v>
      </c>
      <c r="S510" s="314">
        <f t="shared" si="94"/>
        <v>0</v>
      </c>
    </row>
    <row r="511" spans="1:19">
      <c r="A511" s="148"/>
      <c r="B511" s="52"/>
      <c r="C511" s="19">
        <f t="shared" si="85"/>
        <v>1</v>
      </c>
      <c r="D511" s="665"/>
      <c r="E511" s="19">
        <f t="shared" si="86"/>
        <v>1</v>
      </c>
      <c r="F511" s="665"/>
      <c r="G511" s="19">
        <f t="shared" si="87"/>
        <v>1</v>
      </c>
      <c r="H511" s="665"/>
      <c r="I511" s="19">
        <f t="shared" si="88"/>
        <v>1</v>
      </c>
      <c r="J511" s="665"/>
      <c r="K511" s="19">
        <f t="shared" si="89"/>
        <v>1</v>
      </c>
      <c r="L511" s="665"/>
      <c r="M511" s="19">
        <f t="shared" si="90"/>
        <v>1</v>
      </c>
      <c r="N511" s="665"/>
      <c r="O511" s="19">
        <f t="shared" si="91"/>
        <v>1</v>
      </c>
      <c r="P511" s="665"/>
      <c r="Q511" s="19">
        <f t="shared" si="92"/>
        <v>1</v>
      </c>
      <c r="R511" s="661">
        <f t="shared" si="93"/>
        <v>0</v>
      </c>
      <c r="S511" s="314">
        <f t="shared" si="94"/>
        <v>0</v>
      </c>
    </row>
    <row r="512" spans="1:19">
      <c r="A512" s="148"/>
      <c r="B512" s="52"/>
      <c r="C512" s="19">
        <f t="shared" si="85"/>
        <v>1</v>
      </c>
      <c r="D512" s="665"/>
      <c r="E512" s="19">
        <f t="shared" si="86"/>
        <v>1</v>
      </c>
      <c r="F512" s="665"/>
      <c r="G512" s="19">
        <f t="shared" si="87"/>
        <v>1</v>
      </c>
      <c r="H512" s="665"/>
      <c r="I512" s="19">
        <f t="shared" si="88"/>
        <v>1</v>
      </c>
      <c r="J512" s="665"/>
      <c r="K512" s="19">
        <f t="shared" si="89"/>
        <v>1</v>
      </c>
      <c r="L512" s="665"/>
      <c r="M512" s="19">
        <f t="shared" si="90"/>
        <v>1</v>
      </c>
      <c r="N512" s="665"/>
      <c r="O512" s="19">
        <f t="shared" si="91"/>
        <v>1</v>
      </c>
      <c r="P512" s="665"/>
      <c r="Q512" s="19">
        <f t="shared" si="92"/>
        <v>1</v>
      </c>
      <c r="R512" s="661">
        <f t="shared" si="93"/>
        <v>0</v>
      </c>
      <c r="S512" s="314">
        <f t="shared" si="94"/>
        <v>0</v>
      </c>
    </row>
    <row r="513" spans="1:19">
      <c r="A513" s="148"/>
      <c r="B513" s="52"/>
      <c r="C513" s="19">
        <f t="shared" si="85"/>
        <v>1</v>
      </c>
      <c r="D513" s="665"/>
      <c r="E513" s="19">
        <f t="shared" si="86"/>
        <v>1</v>
      </c>
      <c r="F513" s="665"/>
      <c r="G513" s="19">
        <f t="shared" si="87"/>
        <v>1</v>
      </c>
      <c r="H513" s="665"/>
      <c r="I513" s="19">
        <f t="shared" si="88"/>
        <v>1</v>
      </c>
      <c r="J513" s="665"/>
      <c r="K513" s="19">
        <f t="shared" si="89"/>
        <v>1</v>
      </c>
      <c r="L513" s="665"/>
      <c r="M513" s="19">
        <f t="shared" si="90"/>
        <v>1</v>
      </c>
      <c r="N513" s="665"/>
      <c r="O513" s="19">
        <f t="shared" si="91"/>
        <v>1</v>
      </c>
      <c r="P513" s="665"/>
      <c r="Q513" s="19">
        <f t="shared" si="92"/>
        <v>1</v>
      </c>
      <c r="R513" s="661">
        <f t="shared" si="93"/>
        <v>0</v>
      </c>
      <c r="S513" s="314">
        <f t="shared" si="94"/>
        <v>0</v>
      </c>
    </row>
    <row r="514" spans="1:19">
      <c r="A514" s="148"/>
      <c r="B514" s="52"/>
      <c r="C514" s="19">
        <f t="shared" si="85"/>
        <v>1</v>
      </c>
      <c r="D514" s="665"/>
      <c r="E514" s="19">
        <f t="shared" si="86"/>
        <v>1</v>
      </c>
      <c r="F514" s="665"/>
      <c r="G514" s="19">
        <f t="shared" si="87"/>
        <v>1</v>
      </c>
      <c r="H514" s="665"/>
      <c r="I514" s="19">
        <f t="shared" si="88"/>
        <v>1</v>
      </c>
      <c r="J514" s="665"/>
      <c r="K514" s="19">
        <f t="shared" si="89"/>
        <v>1</v>
      </c>
      <c r="L514" s="665"/>
      <c r="M514" s="19">
        <f t="shared" si="90"/>
        <v>1</v>
      </c>
      <c r="N514" s="665"/>
      <c r="O514" s="19">
        <f t="shared" si="91"/>
        <v>1</v>
      </c>
      <c r="P514" s="665"/>
      <c r="Q514" s="19">
        <f t="shared" si="92"/>
        <v>1</v>
      </c>
      <c r="R514" s="661">
        <f t="shared" si="93"/>
        <v>0</v>
      </c>
      <c r="S514" s="314">
        <f t="shared" si="94"/>
        <v>0</v>
      </c>
    </row>
    <row r="515" spans="1:19">
      <c r="A515" s="148"/>
      <c r="B515" s="52"/>
      <c r="C515" s="19">
        <f t="shared" si="85"/>
        <v>1</v>
      </c>
      <c r="D515" s="665"/>
      <c r="E515" s="19">
        <f t="shared" si="86"/>
        <v>1</v>
      </c>
      <c r="F515" s="665"/>
      <c r="G515" s="19">
        <f t="shared" si="87"/>
        <v>1</v>
      </c>
      <c r="H515" s="665"/>
      <c r="I515" s="19">
        <f t="shared" si="88"/>
        <v>1</v>
      </c>
      <c r="J515" s="665"/>
      <c r="K515" s="19">
        <f t="shared" si="89"/>
        <v>1</v>
      </c>
      <c r="L515" s="665"/>
      <c r="M515" s="19">
        <f t="shared" si="90"/>
        <v>1</v>
      </c>
      <c r="N515" s="665"/>
      <c r="O515" s="19">
        <f t="shared" si="91"/>
        <v>1</v>
      </c>
      <c r="P515" s="665"/>
      <c r="Q515" s="19">
        <f t="shared" si="92"/>
        <v>1</v>
      </c>
      <c r="R515" s="661">
        <f t="shared" si="93"/>
        <v>0</v>
      </c>
      <c r="S515" s="314">
        <f t="shared" si="94"/>
        <v>0</v>
      </c>
    </row>
    <row r="516" spans="1:19">
      <c r="A516" s="148"/>
      <c r="B516" s="52"/>
      <c r="C516" s="19">
        <f t="shared" si="85"/>
        <v>1</v>
      </c>
      <c r="D516" s="665"/>
      <c r="E516" s="19">
        <f t="shared" si="86"/>
        <v>1</v>
      </c>
      <c r="F516" s="665"/>
      <c r="G516" s="19">
        <f t="shared" si="87"/>
        <v>1</v>
      </c>
      <c r="H516" s="665"/>
      <c r="I516" s="19">
        <f t="shared" si="88"/>
        <v>1</v>
      </c>
      <c r="J516" s="665"/>
      <c r="K516" s="19">
        <f t="shared" si="89"/>
        <v>1</v>
      </c>
      <c r="L516" s="665"/>
      <c r="M516" s="19">
        <f t="shared" si="90"/>
        <v>1</v>
      </c>
      <c r="N516" s="665"/>
      <c r="O516" s="19">
        <f t="shared" si="91"/>
        <v>1</v>
      </c>
      <c r="P516" s="665"/>
      <c r="Q516" s="19">
        <f t="shared" si="92"/>
        <v>1</v>
      </c>
      <c r="R516" s="661">
        <f t="shared" si="93"/>
        <v>0</v>
      </c>
      <c r="S516" s="314">
        <f t="shared" si="94"/>
        <v>0</v>
      </c>
    </row>
    <row r="517" spans="1:19">
      <c r="A517" s="148"/>
      <c r="B517" s="52"/>
      <c r="C517" s="19">
        <f t="shared" si="85"/>
        <v>1</v>
      </c>
      <c r="D517" s="665"/>
      <c r="E517" s="19">
        <f t="shared" si="86"/>
        <v>1</v>
      </c>
      <c r="F517" s="665"/>
      <c r="G517" s="19">
        <f t="shared" si="87"/>
        <v>1</v>
      </c>
      <c r="H517" s="665"/>
      <c r="I517" s="19">
        <f t="shared" si="88"/>
        <v>1</v>
      </c>
      <c r="J517" s="665"/>
      <c r="K517" s="19">
        <f t="shared" si="89"/>
        <v>1</v>
      </c>
      <c r="L517" s="665"/>
      <c r="M517" s="19">
        <f t="shared" si="90"/>
        <v>1</v>
      </c>
      <c r="N517" s="665"/>
      <c r="O517" s="19">
        <f t="shared" si="91"/>
        <v>1</v>
      </c>
      <c r="P517" s="665"/>
      <c r="Q517" s="19">
        <f t="shared" si="92"/>
        <v>1</v>
      </c>
      <c r="R517" s="661">
        <f t="shared" si="93"/>
        <v>0</v>
      </c>
      <c r="S517" s="314">
        <f t="shared" si="94"/>
        <v>0</v>
      </c>
    </row>
    <row r="518" spans="1:19">
      <c r="A518" s="148"/>
      <c r="B518" s="52"/>
      <c r="C518" s="19">
        <f t="shared" si="85"/>
        <v>1</v>
      </c>
      <c r="D518" s="665"/>
      <c r="E518" s="19">
        <f t="shared" si="86"/>
        <v>1</v>
      </c>
      <c r="F518" s="665"/>
      <c r="G518" s="19">
        <f t="shared" si="87"/>
        <v>1</v>
      </c>
      <c r="H518" s="665"/>
      <c r="I518" s="19">
        <f t="shared" si="88"/>
        <v>1</v>
      </c>
      <c r="J518" s="665"/>
      <c r="K518" s="19">
        <f t="shared" si="89"/>
        <v>1</v>
      </c>
      <c r="L518" s="665"/>
      <c r="M518" s="19">
        <f t="shared" si="90"/>
        <v>1</v>
      </c>
      <c r="N518" s="665"/>
      <c r="O518" s="19">
        <f t="shared" si="91"/>
        <v>1</v>
      </c>
      <c r="P518" s="665"/>
      <c r="Q518" s="19">
        <f t="shared" si="92"/>
        <v>1</v>
      </c>
      <c r="R518" s="661">
        <f t="shared" si="93"/>
        <v>0</v>
      </c>
      <c r="S518" s="314">
        <f t="shared" si="94"/>
        <v>0</v>
      </c>
    </row>
    <row r="519" spans="1:19">
      <c r="A519" s="148"/>
      <c r="B519" s="52"/>
      <c r="C519" s="19">
        <f t="shared" si="85"/>
        <v>1</v>
      </c>
      <c r="D519" s="665"/>
      <c r="E519" s="19">
        <f t="shared" si="86"/>
        <v>1</v>
      </c>
      <c r="F519" s="665"/>
      <c r="G519" s="19">
        <f t="shared" si="87"/>
        <v>1</v>
      </c>
      <c r="H519" s="665"/>
      <c r="I519" s="19">
        <f t="shared" si="88"/>
        <v>1</v>
      </c>
      <c r="J519" s="665"/>
      <c r="K519" s="19">
        <f t="shared" si="89"/>
        <v>1</v>
      </c>
      <c r="L519" s="665"/>
      <c r="M519" s="19">
        <f t="shared" si="90"/>
        <v>1</v>
      </c>
      <c r="N519" s="665"/>
      <c r="O519" s="19">
        <f t="shared" si="91"/>
        <v>1</v>
      </c>
      <c r="P519" s="665"/>
      <c r="Q519" s="19">
        <f t="shared" si="92"/>
        <v>1</v>
      </c>
      <c r="R519" s="661">
        <f t="shared" si="93"/>
        <v>0</v>
      </c>
      <c r="S519" s="314">
        <f t="shared" si="94"/>
        <v>0</v>
      </c>
    </row>
    <row r="520" spans="1:19">
      <c r="A520" s="148"/>
      <c r="B520" s="52"/>
      <c r="C520" s="19">
        <f t="shared" si="85"/>
        <v>1</v>
      </c>
      <c r="D520" s="665"/>
      <c r="E520" s="19">
        <f t="shared" si="86"/>
        <v>1</v>
      </c>
      <c r="F520" s="665"/>
      <c r="G520" s="19">
        <f t="shared" si="87"/>
        <v>1</v>
      </c>
      <c r="H520" s="665"/>
      <c r="I520" s="19">
        <f t="shared" si="88"/>
        <v>1</v>
      </c>
      <c r="J520" s="665"/>
      <c r="K520" s="19">
        <f t="shared" si="89"/>
        <v>1</v>
      </c>
      <c r="L520" s="665"/>
      <c r="M520" s="19">
        <f t="shared" si="90"/>
        <v>1</v>
      </c>
      <c r="N520" s="665"/>
      <c r="O520" s="19">
        <f t="shared" si="91"/>
        <v>1</v>
      </c>
      <c r="P520" s="665"/>
      <c r="Q520" s="19">
        <f t="shared" si="92"/>
        <v>1</v>
      </c>
      <c r="R520" s="661">
        <f t="shared" si="93"/>
        <v>0</v>
      </c>
      <c r="S520" s="314">
        <f t="shared" si="94"/>
        <v>0</v>
      </c>
    </row>
    <row r="521" spans="1:19">
      <c r="A521" s="148"/>
      <c r="B521" s="52"/>
      <c r="C521" s="19">
        <f t="shared" si="85"/>
        <v>1</v>
      </c>
      <c r="D521" s="665"/>
      <c r="E521" s="19">
        <f t="shared" si="86"/>
        <v>1</v>
      </c>
      <c r="F521" s="665"/>
      <c r="G521" s="19">
        <f t="shared" si="87"/>
        <v>1</v>
      </c>
      <c r="H521" s="665"/>
      <c r="I521" s="19">
        <f t="shared" si="88"/>
        <v>1</v>
      </c>
      <c r="J521" s="665"/>
      <c r="K521" s="19">
        <f t="shared" si="89"/>
        <v>1</v>
      </c>
      <c r="L521" s="665"/>
      <c r="M521" s="19">
        <f t="shared" si="90"/>
        <v>1</v>
      </c>
      <c r="N521" s="665"/>
      <c r="O521" s="19">
        <f t="shared" si="91"/>
        <v>1</v>
      </c>
      <c r="P521" s="665"/>
      <c r="Q521" s="19">
        <f t="shared" si="92"/>
        <v>1</v>
      </c>
      <c r="R521" s="661">
        <f t="shared" si="93"/>
        <v>0</v>
      </c>
      <c r="S521" s="314">
        <f t="shared" si="94"/>
        <v>0</v>
      </c>
    </row>
    <row r="522" spans="1:19">
      <c r="A522" s="148"/>
      <c r="B522" s="52"/>
      <c r="C522" s="19">
        <f t="shared" si="85"/>
        <v>1</v>
      </c>
      <c r="D522" s="665"/>
      <c r="E522" s="19">
        <f t="shared" si="86"/>
        <v>1</v>
      </c>
      <c r="F522" s="665"/>
      <c r="G522" s="19">
        <f t="shared" si="87"/>
        <v>1</v>
      </c>
      <c r="H522" s="665"/>
      <c r="I522" s="19">
        <f t="shared" si="88"/>
        <v>1</v>
      </c>
      <c r="J522" s="665"/>
      <c r="K522" s="19">
        <f t="shared" si="89"/>
        <v>1</v>
      </c>
      <c r="L522" s="665"/>
      <c r="M522" s="19">
        <f t="shared" si="90"/>
        <v>1</v>
      </c>
      <c r="N522" s="665"/>
      <c r="O522" s="19">
        <f t="shared" si="91"/>
        <v>1</v>
      </c>
      <c r="P522" s="665"/>
      <c r="Q522" s="19">
        <f t="shared" si="92"/>
        <v>1</v>
      </c>
      <c r="R522" s="661">
        <f t="shared" si="93"/>
        <v>0</v>
      </c>
      <c r="S522" s="314">
        <f t="shared" si="94"/>
        <v>0</v>
      </c>
    </row>
    <row r="523" spans="1:19">
      <c r="A523" s="148"/>
      <c r="B523" s="52"/>
      <c r="C523" s="19">
        <f t="shared" si="85"/>
        <v>1</v>
      </c>
      <c r="D523" s="665"/>
      <c r="E523" s="19">
        <f t="shared" si="86"/>
        <v>1</v>
      </c>
      <c r="F523" s="665"/>
      <c r="G523" s="19">
        <f t="shared" si="87"/>
        <v>1</v>
      </c>
      <c r="H523" s="665"/>
      <c r="I523" s="19">
        <f t="shared" si="88"/>
        <v>1</v>
      </c>
      <c r="J523" s="665"/>
      <c r="K523" s="19">
        <f t="shared" si="89"/>
        <v>1</v>
      </c>
      <c r="L523" s="665"/>
      <c r="M523" s="19">
        <f t="shared" si="90"/>
        <v>1</v>
      </c>
      <c r="N523" s="665"/>
      <c r="O523" s="19">
        <f t="shared" si="91"/>
        <v>1</v>
      </c>
      <c r="P523" s="665"/>
      <c r="Q523" s="19">
        <f t="shared" si="92"/>
        <v>1</v>
      </c>
      <c r="R523" s="661">
        <f t="shared" si="93"/>
        <v>0</v>
      </c>
      <c r="S523" s="314">
        <f t="shared" si="94"/>
        <v>0</v>
      </c>
    </row>
    <row r="524" spans="1:19">
      <c r="A524" s="148"/>
      <c r="B524" s="52"/>
      <c r="C524" s="19">
        <f t="shared" si="85"/>
        <v>1</v>
      </c>
      <c r="D524" s="665"/>
      <c r="E524" s="19">
        <f t="shared" si="86"/>
        <v>1</v>
      </c>
      <c r="F524" s="665"/>
      <c r="G524" s="19">
        <f t="shared" si="87"/>
        <v>1</v>
      </c>
      <c r="H524" s="665"/>
      <c r="I524" s="19">
        <f t="shared" si="88"/>
        <v>1</v>
      </c>
      <c r="J524" s="665"/>
      <c r="K524" s="19">
        <f t="shared" si="89"/>
        <v>1</v>
      </c>
      <c r="L524" s="665"/>
      <c r="M524" s="19">
        <f t="shared" si="90"/>
        <v>1</v>
      </c>
      <c r="N524" s="665"/>
      <c r="O524" s="19">
        <f t="shared" si="91"/>
        <v>1</v>
      </c>
      <c r="P524" s="665"/>
      <c r="Q524" s="19">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0</v>
      </c>
      <c r="C2" s="2140" t="s">
        <v>2074</v>
      </c>
      <c r="D2" s="2140" t="s">
        <v>2075</v>
      </c>
      <c r="E2" s="2607">
        <f ca="1">SUMIF(E6:E13,"&lt;&gt;#ref!",E6:E13)</f>
        <v>0</v>
      </c>
      <c r="F2" s="2788"/>
      <c r="G2" s="2788"/>
      <c r="H2" s="2788"/>
      <c r="I2" s="2788"/>
      <c r="J2" s="2788"/>
      <c r="K2" s="2788"/>
      <c r="L2" s="2788"/>
      <c r="M2" s="2788"/>
      <c r="N2" s="2788"/>
      <c r="O2" s="2788"/>
      <c r="P2" s="2788"/>
    </row>
    <row r="3" spans="1:16" ht="15.75">
      <c r="A3" s="2140" t="s">
        <v>2076</v>
      </c>
      <c r="B3" s="2597" t="e">
        <f ca="1">ROUND(B2*10000/E2,0)</f>
        <v>#DIV/0!</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#REF!</v>
      </c>
      <c r="C6" s="2140" t="s">
        <v>2074</v>
      </c>
      <c r="D6" s="2788"/>
      <c r="E6" s="2607" t="e">
        <f ca="1">SUMIF(INDIRECT("'"&amp;A6&amp;"'"&amp;"!C:C"),"建筑面积",INDIRECT("'"&amp;A6&amp;"'"&amp;"!D:D"))</f>
        <v>#REF!</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8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17"/>
      <c r="C2" s="3817"/>
      <c r="D2" s="3817"/>
      <c r="E2" s="3817"/>
    </row>
    <row r="3" spans="1:5" ht="18">
      <c r="A3" s="3818" t="str">
        <f>IF(项目基本情况!B9="房地产市场价值","估价结果一览表（市场价值不需“结果表-1”）","估价结果一览表")</f>
        <v>估价结果一览表（市场价值不需“结果表-1”）</v>
      </c>
      <c r="B3" s="3818"/>
      <c r="C3" s="3818"/>
      <c r="D3" s="3818"/>
      <c r="E3" s="3818"/>
    </row>
    <row r="4" spans="1:5" ht="19.5" thickBot="1">
      <c r="A4" s="1488"/>
      <c r="B4" s="3816" t="s">
        <v>917</v>
      </c>
      <c r="C4" s="3816"/>
      <c r="D4" s="3816"/>
      <c r="E4" s="1488"/>
    </row>
    <row r="5" spans="1:5" ht="16.5" thickTop="1">
      <c r="A5" s="1486"/>
      <c r="B5" s="3814" t="s">
        <v>909</v>
      </c>
      <c r="C5" s="1489" t="s">
        <v>910</v>
      </c>
      <c r="D5" s="845">
        <f ca="1">结果表!H101</f>
        <v>228424</v>
      </c>
      <c r="E5" s="1486"/>
    </row>
    <row r="6" spans="1:5" ht="15.75">
      <c r="A6" s="1486"/>
      <c r="B6" s="3814"/>
      <c r="C6" s="1489" t="s">
        <v>911</v>
      </c>
      <c r="D6" s="845" t="str">
        <f ca="1">NUMBERSTRING(INT(D5*10000),2)&amp;"元整"</f>
        <v>贰拾贰亿捌仟肆佰贰拾肆万元整</v>
      </c>
      <c r="E6" s="1486"/>
    </row>
    <row r="7" spans="1:5" ht="15.75">
      <c r="A7" s="1486"/>
      <c r="B7" s="3819"/>
      <c r="C7" s="1490" t="s">
        <v>912</v>
      </c>
      <c r="D7" s="846">
        <f ca="1">结果表!H102</f>
        <v>37363</v>
      </c>
      <c r="E7" s="1486"/>
    </row>
    <row r="8" spans="1:5" ht="15.75">
      <c r="A8" s="1486"/>
      <c r="B8" s="3820" t="str">
        <f>结果表!E103</f>
        <v>2.估价师知悉的法定优先受偿款</v>
      </c>
      <c r="C8" s="1491" t="s">
        <v>913</v>
      </c>
      <c r="D8" s="846">
        <f>结果表!H103</f>
        <v>0</v>
      </c>
      <c r="E8" s="1486"/>
    </row>
    <row r="9" spans="1:5" ht="15.75">
      <c r="A9" s="1486"/>
      <c r="B9" s="3822"/>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813" t="str">
        <f>结果表!E107</f>
        <v>3.房地产抵押价值</v>
      </c>
      <c r="C13" s="1494" t="s">
        <v>910</v>
      </c>
      <c r="D13" s="848">
        <f ca="1">结果表!H107</f>
        <v>228424</v>
      </c>
      <c r="E13" s="1486"/>
    </row>
    <row r="14" spans="1:5" ht="15.75">
      <c r="A14" s="1486"/>
      <c r="B14" s="3814"/>
      <c r="C14" s="1489" t="s">
        <v>911</v>
      </c>
      <c r="D14" s="845" t="str">
        <f ca="1">NUMBERSTRING(INT(D13*10000),2)&amp;"元整"</f>
        <v>贰拾贰亿捌仟肆佰贰拾肆万元整</v>
      </c>
      <c r="E14" s="1486"/>
    </row>
    <row r="15" spans="1:5" ht="15">
      <c r="A15" s="1486"/>
      <c r="B15" s="3819"/>
      <c r="C15" s="1490" t="s">
        <v>921</v>
      </c>
      <c r="D15" s="854">
        <f ca="1">结果表!H108</f>
        <v>37363</v>
      </c>
      <c r="E15" s="1486"/>
    </row>
    <row r="16" spans="1:5" ht="15">
      <c r="A16" s="1486"/>
      <c r="B16" s="3820" t="str">
        <f>结果表!E109</f>
        <v>——</v>
      </c>
      <c r="C16" s="1494" t="s">
        <v>922</v>
      </c>
      <c r="D16" s="1495" t="str">
        <f>结果表!H109</f>
        <v>——</v>
      </c>
      <c r="E16" s="1486"/>
    </row>
    <row r="17" spans="1:5" ht="15.75">
      <c r="A17" s="1486"/>
      <c r="B17" s="3821"/>
      <c r="C17" s="1489" t="s">
        <v>923</v>
      </c>
      <c r="D17" s="845" t="e">
        <f>NUMBERSTRING(INT(D16*10000),2)&amp;"元整"</f>
        <v>#VALUE!</v>
      </c>
      <c r="E17" s="1486"/>
    </row>
    <row r="18" spans="1:5" ht="15">
      <c r="A18" s="1486"/>
      <c r="B18" s="3822"/>
      <c r="C18" s="1490" t="s">
        <v>912</v>
      </c>
      <c r="D18" s="854" t="str">
        <f>结果表!H110</f>
        <v>——</v>
      </c>
      <c r="E18" s="1486"/>
    </row>
    <row r="19" spans="1:5" ht="15.75">
      <c r="A19" s="1486"/>
      <c r="B19" s="3813" t="str">
        <f>结果表!E111</f>
        <v>——</v>
      </c>
      <c r="C19" s="1494" t="s">
        <v>910</v>
      </c>
      <c r="D19" s="846" t="str">
        <f>结果表!H111</f>
        <v>——</v>
      </c>
      <c r="E19" s="1486"/>
    </row>
    <row r="20" spans="1:5" ht="15.75">
      <c r="A20" s="1486"/>
      <c r="B20" s="3814"/>
      <c r="C20" s="1489" t="s">
        <v>923</v>
      </c>
      <c r="D20" s="845" t="e">
        <f>NUMBERSTRING(INT(D19*10000),2)&amp;"元整"</f>
        <v>#VALUE!</v>
      </c>
      <c r="E20" s="1486"/>
    </row>
    <row r="21" spans="1:5" ht="15.75" thickBot="1">
      <c r="A21" s="1486"/>
      <c r="B21" s="3815"/>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27" sqref="L2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16340.339999999998</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40405</v>
      </c>
      <c r="C2" s="1994" t="s">
        <v>1935</v>
      </c>
      <c r="D2" s="1995" t="s">
        <v>1936</v>
      </c>
      <c r="E2" s="3347"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286">
        <f>ROUND(SUMPRODUCT((B106:B110=R2)*(C105:N105=G2)*(C106:N110)),4)</f>
        <v>1.5206</v>
      </c>
      <c r="T2" s="3286">
        <f t="shared" ref="T2:T16" si="0">ROUND($C$5*$C$22*$C$23*$C$24*S2*$C$28,0)</f>
        <v>41274</v>
      </c>
      <c r="U2" s="1208"/>
      <c r="V2" s="3286">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24727</v>
      </c>
      <c r="C3" s="1994" t="s">
        <v>1941</v>
      </c>
      <c r="D3" s="1995" t="s">
        <v>1942</v>
      </c>
      <c r="E3" s="3345" t="s">
        <v>2432</v>
      </c>
      <c r="F3" s="1999" t="s">
        <v>3755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286">
        <f>ROUND(SUMPRODUCT((B106:B110=R3)*(C105:N105=G2)*(C106:N110)),4)</f>
        <v>1.2072000000000001</v>
      </c>
      <c r="T3" s="3286">
        <f t="shared" si="0"/>
        <v>32767</v>
      </c>
      <c r="U3" s="1208"/>
      <c r="V3" s="3286">
        <f t="shared" ref="V3:V16" si="1">ROUND(T3*U3/10000,0)</f>
        <v>0</v>
      </c>
      <c r="W3" s="1211"/>
      <c r="X3" s="1211"/>
      <c r="Y3" s="1211"/>
      <c r="Z3" s="1211"/>
      <c r="AA3" s="1211"/>
      <c r="AB3" s="1211"/>
      <c r="AC3" s="1212"/>
      <c r="AD3" s="1213"/>
      <c r="AE3" s="1213"/>
      <c r="AF3" s="1213"/>
      <c r="AG3" s="1213"/>
      <c r="AH3" s="1213"/>
      <c r="AI3" s="1213"/>
      <c r="AJ3" s="1214"/>
    </row>
    <row r="4" spans="1:36" ht="15.75">
      <c r="A4" s="4149"/>
      <c r="B4" s="4150"/>
      <c r="C4" s="4150"/>
      <c r="D4" s="4151"/>
      <c r="E4" s="4151"/>
      <c r="F4" s="4151"/>
      <c r="G4" s="4151"/>
      <c r="H4" s="4151"/>
      <c r="I4" s="4151"/>
      <c r="J4" s="4152"/>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286">
        <f>ROUND(SUMPRODUCT((B106:B110=R4)*(C105:N105=G2)*(C106:N110)),4)</f>
        <v>1.0430999999999999</v>
      </c>
      <c r="T4" s="3286">
        <f t="shared" si="0"/>
        <v>28313</v>
      </c>
      <c r="U4" s="1208"/>
      <c r="V4" s="3286">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35704</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286">
        <f>ROUND(SUMPRODUCT((B106:B110=R5)*(C105:N105=G2)*(C106:N110)),4)</f>
        <v>0.94389999999999996</v>
      </c>
      <c r="T5" s="3286">
        <f t="shared" si="0"/>
        <v>25620</v>
      </c>
      <c r="U5" s="1208"/>
      <c r="V5" s="3286">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286">
        <f>ROUND(SUMPRODUCT((B106:B110=R6)*(C105:N105=G2)*(C106:N110)),4)</f>
        <v>0.89959999999999996</v>
      </c>
      <c r="T6" s="3286">
        <f t="shared" si="0"/>
        <v>24418</v>
      </c>
      <c r="U6" s="1208"/>
      <c r="V6" s="3286">
        <f t="shared" si="1"/>
        <v>0</v>
      </c>
      <c r="W6" s="1211"/>
      <c r="X6" s="1211"/>
      <c r="Y6" s="1211"/>
      <c r="Z6" s="1211"/>
      <c r="AA6" s="1211"/>
      <c r="AB6" s="1211"/>
      <c r="AC6" s="2006"/>
      <c r="AD6" s="2007"/>
      <c r="AE6" s="2007"/>
      <c r="AF6" s="2007"/>
      <c r="AG6" s="2007"/>
      <c r="AH6" s="2007"/>
      <c r="AI6" s="2007"/>
      <c r="AJ6" s="2008"/>
    </row>
    <row r="7" spans="1:36" ht="24.75" thickBot="1">
      <c r="A7" s="3229" t="s">
        <v>3202</v>
      </c>
      <c r="B7" s="3661" t="s">
        <v>1952</v>
      </c>
      <c r="C7" s="750">
        <f>IF(C8="不临65条商业街",1,ROUND(1+(1.6*E8+1.2*E9+0.8*E10+0.4*E11)*C9,4))</f>
        <v>1.0334000000000001</v>
      </c>
      <c r="D7" s="2017" t="s">
        <v>1953</v>
      </c>
      <c r="E7" s="771">
        <v>150</v>
      </c>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344"/>
      <c r="T7" s="3286">
        <f t="shared" si="0"/>
        <v>0</v>
      </c>
      <c r="U7" s="1208"/>
      <c r="V7" s="3286">
        <f t="shared" si="1"/>
        <v>0</v>
      </c>
      <c r="W7" s="3668" t="s">
        <v>1955</v>
      </c>
      <c r="X7" s="1209" t="str">
        <f>G2</f>
        <v>一级</v>
      </c>
      <c r="Y7" s="1209" t="s">
        <v>1956</v>
      </c>
      <c r="Z7" s="1210">
        <f>G3</f>
        <v>7.99</v>
      </c>
      <c r="AA7" s="1211"/>
      <c r="AB7" s="1211"/>
      <c r="AC7" s="1212"/>
      <c r="AD7" s="1213"/>
      <c r="AE7" s="1213"/>
      <c r="AF7" s="1213"/>
      <c r="AG7" s="1213"/>
      <c r="AH7" s="1213"/>
      <c r="AI7" s="1213"/>
      <c r="AJ7" s="1214"/>
    </row>
    <row r="8" spans="1:36" ht="25.5">
      <c r="A8" s="3224"/>
      <c r="B8" s="168" t="s">
        <v>1957</v>
      </c>
      <c r="C8" s="2021" t="s">
        <v>3756</v>
      </c>
      <c r="D8" s="751" t="s">
        <v>112</v>
      </c>
      <c r="E8" s="752">
        <f>ROUND(C11/E7,4)</f>
        <v>4.1700000000000001E-2</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286">
        <f t="shared" si="0"/>
        <v>0</v>
      </c>
      <c r="U8" s="1208"/>
      <c r="V8" s="3286">
        <f t="shared" si="1"/>
        <v>0</v>
      </c>
      <c r="W8" s="4153" t="s">
        <v>1960</v>
      </c>
      <c r="X8" s="4154"/>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24"/>
      <c r="B9" s="168" t="s">
        <v>1973</v>
      </c>
      <c r="C9" s="753">
        <f>SUMIF(修正!C71:C138,C8,修正!E71:E138)</f>
        <v>0.2</v>
      </c>
      <c r="D9" s="169" t="s">
        <v>113</v>
      </c>
      <c r="E9" s="169">
        <f>ROUND(C11/E7,4)</f>
        <v>4.1700000000000001E-2</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286">
        <f t="shared" si="0"/>
        <v>0</v>
      </c>
      <c r="U9" s="1208"/>
      <c r="V9" s="3286">
        <f t="shared" si="1"/>
        <v>0</v>
      </c>
      <c r="W9" s="4155"/>
      <c r="X9" s="3287" t="s">
        <v>3233</v>
      </c>
      <c r="Y9" s="3288">
        <v>6</v>
      </c>
      <c r="Z9" s="3289">
        <f>$Y$9</f>
        <v>6</v>
      </c>
      <c r="AA9" s="3289">
        <f t="shared" ref="AA9:AJ9" si="2">$Y$9</f>
        <v>6</v>
      </c>
      <c r="AB9" s="3289">
        <f t="shared" si="2"/>
        <v>6</v>
      </c>
      <c r="AC9" s="3289">
        <f t="shared" si="2"/>
        <v>6</v>
      </c>
      <c r="AD9" s="3289">
        <f t="shared" si="2"/>
        <v>6</v>
      </c>
      <c r="AE9" s="3289">
        <f t="shared" si="2"/>
        <v>6</v>
      </c>
      <c r="AF9" s="3289">
        <f t="shared" si="2"/>
        <v>6</v>
      </c>
      <c r="AG9" s="3289">
        <f t="shared" si="2"/>
        <v>6</v>
      </c>
      <c r="AH9" s="3289">
        <f t="shared" si="2"/>
        <v>6</v>
      </c>
      <c r="AI9" s="3289">
        <f t="shared" si="2"/>
        <v>6</v>
      </c>
      <c r="AJ9" s="3289">
        <f t="shared" si="2"/>
        <v>6</v>
      </c>
    </row>
    <row r="10" spans="1:36" ht="15">
      <c r="A10" s="3224"/>
      <c r="B10" s="168" t="s">
        <v>1976</v>
      </c>
      <c r="C10" s="169">
        <f>SUMIF(修正!C71:C138,C8,修正!F71:F138)</f>
        <v>25</v>
      </c>
      <c r="D10" s="169" t="s">
        <v>114</v>
      </c>
      <c r="E10" s="169">
        <f>ROUND(C11/E7,4)</f>
        <v>4.1700000000000001E-2</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286">
        <f t="shared" si="0"/>
        <v>0</v>
      </c>
      <c r="U10" s="1208"/>
      <c r="V10" s="3286">
        <f t="shared" si="1"/>
        <v>0</v>
      </c>
      <c r="W10" s="4155"/>
      <c r="X10" s="3287">
        <v>6</v>
      </c>
      <c r="Y10" s="3290">
        <f>ROUND((-0.5556*(Y9^2)-0.2719*Y9+8944)*(10^(-4)),4)</f>
        <v>0.89219999999999999</v>
      </c>
      <c r="Z10" s="3290">
        <f>ROUND((-0.5556*(Z9^2)-0.2719*Z9+8944)*(10^(-4)),4)</f>
        <v>0.89219999999999999</v>
      </c>
      <c r="AA10" s="3290">
        <f>ROUND((-0.7912*(AA9^2)-11.3794*AA9+8482)*(10^(-4)),4)</f>
        <v>0.83850000000000002</v>
      </c>
      <c r="AB10" s="3290">
        <f>ROUND((-0.7912*(AB9^2)-11.3794*AB9+8482)*(10^(-4)),4)</f>
        <v>0.83850000000000002</v>
      </c>
      <c r="AC10" s="3290">
        <f>ROUND((-0.7912*(AC9^2)-11.3794*AC9+8482)*(10^(-4)),4)</f>
        <v>0.83850000000000002</v>
      </c>
      <c r="AD10" s="3290">
        <f>ROUND((-0.7912*(AD9^2)-11.3794*AD9+8482)*(10^(-4)),4)</f>
        <v>0.83850000000000002</v>
      </c>
      <c r="AE10" s="3290">
        <f>ROUND((-0.7912*(AE9^2)-11.3794*AE9+8482)*(10^(-4)),4)</f>
        <v>0.83850000000000002</v>
      </c>
      <c r="AF10" s="3290">
        <f>ROUND((-0.989*(AF9^2)-63.78*AF9+7771)*(10^(-4)),4)</f>
        <v>0.73529999999999995</v>
      </c>
      <c r="AG10" s="3290">
        <f>ROUND((-0.989*(AG9^2)-63.78*AG9+7771)*(10^(-4)),4)</f>
        <v>0.73529999999999995</v>
      </c>
      <c r="AH10" s="3290">
        <f>ROUND((-0.989*(AH9^2)-63.78*AH9+7771)*(10^(-4)),4)</f>
        <v>0.73529999999999995</v>
      </c>
      <c r="AI10" s="3290">
        <f>ROUND((-0.989*(AI9^2)-63.78*AI9+7771)*(10^(-4)),4)</f>
        <v>0.73529999999999995</v>
      </c>
      <c r="AJ10" s="3290">
        <f>ROUND((-0.989*(AJ9^2)-63.78*AJ9+7771)*(10^(-4)),4)</f>
        <v>0.73529999999999995</v>
      </c>
    </row>
    <row r="11" spans="1:36" ht="15.75" thickBot="1">
      <c r="A11" s="3228"/>
      <c r="B11" s="2025" t="s">
        <v>1979</v>
      </c>
      <c r="C11" s="754">
        <f>C10/4</f>
        <v>6.25</v>
      </c>
      <c r="D11" s="754" t="s">
        <v>115</v>
      </c>
      <c r="E11" s="754">
        <f>ROUND(C11/E7,4)</f>
        <v>4.1700000000000001E-2</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286">
        <f t="shared" si="0"/>
        <v>0</v>
      </c>
      <c r="U11" s="1208"/>
      <c r="V11" s="3286">
        <f t="shared" si="1"/>
        <v>0</v>
      </c>
      <c r="W11" s="1211"/>
      <c r="X11" s="1211"/>
      <c r="Y11" s="1211"/>
      <c r="Z11" s="1211"/>
      <c r="AA11" s="1211"/>
      <c r="AB11" s="1211"/>
      <c r="AC11" s="1212"/>
      <c r="AD11" s="2784"/>
      <c r="AE11" s="2784"/>
      <c r="AF11" s="2784"/>
      <c r="AG11" s="2784"/>
      <c r="AH11" s="2784"/>
      <c r="AI11" s="2784"/>
      <c r="AJ11" s="2785"/>
    </row>
    <row r="12" spans="1:36" ht="25.5" thickBot="1">
      <c r="A12" s="3229" t="s">
        <v>3203</v>
      </c>
      <c r="B12" s="3230" t="s">
        <v>3204</v>
      </c>
      <c r="C12" s="3231">
        <v>1</v>
      </c>
      <c r="D12" s="3232" t="s">
        <v>3205</v>
      </c>
      <c r="E12" s="3233" t="s">
        <v>3206</v>
      </c>
      <c r="F12" s="3234"/>
      <c r="G12" s="3235"/>
      <c r="H12" s="3235"/>
      <c r="I12" s="3235"/>
      <c r="J12" s="3236"/>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286">
        <f t="shared" si="0"/>
        <v>0</v>
      </c>
      <c r="U12" s="1208"/>
      <c r="V12" s="3286">
        <f t="shared" si="1"/>
        <v>0</v>
      </c>
      <c r="W12" s="1211"/>
      <c r="X12" s="1211"/>
      <c r="Y12" s="1211"/>
      <c r="Z12" s="1211"/>
      <c r="AA12" s="1211"/>
      <c r="AB12" s="1211"/>
      <c r="AC12" s="1212"/>
      <c r="AD12" s="2784"/>
      <c r="AE12" s="2784"/>
      <c r="AF12" s="2784"/>
      <c r="AG12" s="2784"/>
      <c r="AH12" s="2784"/>
      <c r="AI12" s="2784"/>
      <c r="AJ12" s="2785"/>
    </row>
    <row r="13" spans="1:36" ht="15.75" thickBot="1">
      <c r="A13" s="3229" t="s">
        <v>3207</v>
      </c>
      <c r="B13" s="2029" t="s">
        <v>1982</v>
      </c>
      <c r="C13" s="750">
        <f>ROUND(C16*D16*E16*F16*G16*H16*I16*J16,4)</f>
        <v>0</v>
      </c>
      <c r="D13" s="2030" t="s">
        <v>1983</v>
      </c>
      <c r="E13" s="2031"/>
      <c r="F13" s="2031"/>
      <c r="G13" s="2032"/>
      <c r="H13" s="2032"/>
      <c r="I13" s="2032"/>
      <c r="J13" s="2033"/>
      <c r="K13" s="1114"/>
      <c r="L13" s="3225"/>
      <c r="M13" s="3226"/>
      <c r="N13" s="3227"/>
      <c r="O13" s="1114"/>
      <c r="P13" s="1114"/>
      <c r="Q13" s="1114"/>
      <c r="R13" s="1207">
        <v>12</v>
      </c>
      <c r="S13" s="1208"/>
      <c r="T13" s="3286">
        <f t="shared" si="0"/>
        <v>0</v>
      </c>
      <c r="U13" s="1208"/>
      <c r="V13" s="3286">
        <f t="shared" si="1"/>
        <v>0</v>
      </c>
      <c r="W13" s="1211"/>
      <c r="X13" s="1211"/>
      <c r="Y13" s="1211"/>
      <c r="Z13" s="1211"/>
      <c r="AA13" s="1211"/>
      <c r="AB13" s="1211"/>
      <c r="AC13" s="1212"/>
      <c r="AD13" s="2784"/>
      <c r="AE13" s="2784"/>
      <c r="AF13" s="2784"/>
      <c r="AG13" s="2784"/>
      <c r="AH13" s="2784"/>
      <c r="AI13" s="2784"/>
      <c r="AJ13" s="2785"/>
    </row>
    <row r="14" spans="1:36" ht="15">
      <c r="A14" s="3223"/>
      <c r="B14" s="3663" t="s">
        <v>1985</v>
      </c>
      <c r="C14" s="2036" t="s">
        <v>1986</v>
      </c>
      <c r="D14" s="1345" t="s">
        <v>1987</v>
      </c>
      <c r="E14" s="25" t="s">
        <v>1988</v>
      </c>
      <c r="F14" s="3237" t="s">
        <v>3208</v>
      </c>
      <c r="G14" s="3237" t="s">
        <v>3208</v>
      </c>
      <c r="H14" s="3237" t="s">
        <v>3208</v>
      </c>
      <c r="I14" s="3237" t="s">
        <v>3208</v>
      </c>
      <c r="J14" s="3237" t="s">
        <v>3208</v>
      </c>
      <c r="K14" s="1114"/>
      <c r="L14" s="1114"/>
      <c r="M14" s="1114"/>
      <c r="N14" s="1114"/>
      <c r="O14" s="1114"/>
      <c r="P14" s="1114"/>
      <c r="Q14" s="1114"/>
      <c r="R14" s="1207">
        <v>13</v>
      </c>
      <c r="S14" s="1208"/>
      <c r="T14" s="3286">
        <f t="shared" si="0"/>
        <v>0</v>
      </c>
      <c r="U14" s="1208"/>
      <c r="V14" s="3286">
        <f t="shared" si="1"/>
        <v>0</v>
      </c>
      <c r="W14" s="1211"/>
      <c r="X14" s="1211"/>
      <c r="Y14" s="1211"/>
      <c r="Z14" s="1211"/>
      <c r="AA14" s="1211"/>
      <c r="AB14" s="1211"/>
      <c r="AC14" s="1212"/>
      <c r="AD14" s="2784"/>
      <c r="AE14" s="2784"/>
      <c r="AF14" s="2784"/>
      <c r="AG14" s="2784"/>
      <c r="AH14" s="2784"/>
      <c r="AI14" s="2784"/>
      <c r="AJ14" s="2785"/>
    </row>
    <row r="15" spans="1:36" ht="15">
      <c r="A15" s="3223"/>
      <c r="B15" s="3664"/>
      <c r="C15" s="2038"/>
      <c r="D15" s="2039"/>
      <c r="E15" s="2040"/>
      <c r="F15" s="3238" t="s">
        <v>3209</v>
      </c>
      <c r="G15" s="3239"/>
      <c r="H15" s="3240"/>
      <c r="I15" s="3241"/>
      <c r="J15" s="3242"/>
      <c r="K15" s="1114"/>
      <c r="L15" s="1114"/>
      <c r="M15" s="1114"/>
      <c r="N15" s="1114"/>
      <c r="O15" s="1114"/>
      <c r="P15" s="1114"/>
      <c r="Q15" s="1114"/>
      <c r="R15" s="1207">
        <v>14</v>
      </c>
      <c r="S15" s="1208"/>
      <c r="T15" s="3286">
        <f t="shared" si="0"/>
        <v>0</v>
      </c>
      <c r="U15" s="1208"/>
      <c r="V15" s="3286">
        <f t="shared" si="1"/>
        <v>0</v>
      </c>
      <c r="W15" s="1211"/>
      <c r="X15" s="1211"/>
      <c r="Y15" s="1211"/>
      <c r="Z15" s="1211"/>
      <c r="AA15" s="1211"/>
      <c r="AB15" s="1211"/>
      <c r="AC15" s="1212"/>
      <c r="AD15" s="2784"/>
      <c r="AE15" s="2784"/>
      <c r="AF15" s="2784"/>
      <c r="AG15" s="2784"/>
      <c r="AH15" s="2784"/>
      <c r="AI15" s="2784"/>
      <c r="AJ15" s="2785"/>
    </row>
    <row r="16" spans="1:36" ht="15.75" thickBot="1">
      <c r="A16" s="3223"/>
      <c r="B16" s="3245" t="s">
        <v>1989</v>
      </c>
      <c r="C16" s="3243"/>
      <c r="D16" s="3243"/>
      <c r="E16" s="3243"/>
      <c r="F16" s="3243">
        <v>1</v>
      </c>
      <c r="G16" s="3243">
        <v>1</v>
      </c>
      <c r="H16" s="3243">
        <v>1</v>
      </c>
      <c r="I16" s="3243">
        <v>1</v>
      </c>
      <c r="J16" s="3244">
        <v>1</v>
      </c>
      <c r="K16" s="1114"/>
      <c r="L16" s="1992"/>
      <c r="M16" s="1992"/>
      <c r="N16" s="1992"/>
      <c r="O16" s="1992"/>
      <c r="P16" s="1992"/>
      <c r="Q16" s="1114"/>
      <c r="R16" s="1207">
        <v>15</v>
      </c>
      <c r="S16" s="1208"/>
      <c r="T16" s="3286">
        <f t="shared" si="0"/>
        <v>0</v>
      </c>
      <c r="U16" s="1208"/>
      <c r="V16" s="3286">
        <f t="shared" si="1"/>
        <v>0</v>
      </c>
      <c r="W16" s="1211"/>
      <c r="X16" s="1211"/>
      <c r="Y16" s="1211"/>
      <c r="Z16" s="1211"/>
      <c r="AA16" s="1211"/>
      <c r="AB16" s="1211"/>
      <c r="AC16" s="1212"/>
      <c r="AD16" s="2784"/>
      <c r="AE16" s="2784"/>
      <c r="AF16" s="2784"/>
      <c r="AG16" s="2784"/>
      <c r="AH16" s="2784"/>
      <c r="AI16" s="2784"/>
      <c r="AJ16" s="2785"/>
    </row>
    <row r="17" spans="1:37">
      <c r="A17" s="3255" t="s">
        <v>3210</v>
      </c>
      <c r="B17" s="3246" t="s">
        <v>3211</v>
      </c>
      <c r="C17" s="3256">
        <f>ROUND(IF(OR(E2="工业",E2="公共服务"),1,IF(AND(E18=0,E19=0),1,IF(AND(E18=J24,E19=G19),0.8,IF(E19=0,1+E17*(-0.2),1+E17*G17*(-0.2))))),4)</f>
        <v>1</v>
      </c>
      <c r="D17" s="3247" t="s">
        <v>3212</v>
      </c>
      <c r="E17" s="3256">
        <f>ROUND(G18/I18,2)</f>
        <v>0</v>
      </c>
      <c r="F17" s="3247" t="s">
        <v>3215</v>
      </c>
      <c r="G17" s="3256" t="e">
        <f>ROUND(E19/G19,2)</f>
        <v>#DIV/0!</v>
      </c>
      <c r="H17" s="3256"/>
      <c r="I17" s="3256"/>
      <c r="J17" s="325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258"/>
      <c r="B18" s="3662"/>
      <c r="C18" s="3253"/>
      <c r="D18" s="3248" t="s">
        <v>3213</v>
      </c>
      <c r="E18" s="3254"/>
      <c r="F18" s="3249" t="s">
        <v>3216</v>
      </c>
      <c r="G18" s="3253">
        <f>ROUND(1-(1/(POWER(1+G24,E18))),4)</f>
        <v>0</v>
      </c>
      <c r="H18" s="3249" t="s">
        <v>3218</v>
      </c>
      <c r="I18" s="3253">
        <f>ROUND(1-(1/(POWER(1+G24,J24))),4)</f>
        <v>0.88249999999999995</v>
      </c>
      <c r="J18" s="325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260"/>
      <c r="B19" s="3261"/>
      <c r="C19" s="3262"/>
      <c r="D19" s="3262" t="s">
        <v>3214</v>
      </c>
      <c r="E19" s="3263"/>
      <c r="F19" s="3264" t="s">
        <v>3217</v>
      </c>
      <c r="G19" s="3263"/>
      <c r="H19" s="3262"/>
      <c r="I19" s="3262"/>
      <c r="J19" s="326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56" t="s">
        <v>3219</v>
      </c>
      <c r="B20" s="165" t="s">
        <v>1994</v>
      </c>
      <c r="C20" s="3250">
        <f>ROUND(IF(F21="与级别开发程度一致",0,(G21-E21)/C21),0)</f>
        <v>0</v>
      </c>
      <c r="D20" s="3266" t="s">
        <v>1998</v>
      </c>
      <c r="E20" s="3267"/>
      <c r="F20" s="4158" t="s">
        <v>1995</v>
      </c>
      <c r="G20" s="4159"/>
      <c r="H20" s="3251"/>
      <c r="I20" s="3251"/>
      <c r="J20" s="3252"/>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57"/>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3757</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0.9</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1.0471999999999999</v>
      </c>
      <c r="D23" s="2049" t="s">
        <v>2002</v>
      </c>
      <c r="E23" s="756">
        <v>44197</v>
      </c>
      <c r="F23" s="2049" t="s">
        <v>2003</v>
      </c>
      <c r="G23" s="757">
        <f>'数据-取费表'!B2</f>
        <v>45226</v>
      </c>
      <c r="H23" s="3268" t="s">
        <v>3221</v>
      </c>
      <c r="I23" s="3269" t="str">
        <f>IF(H23="季度增幅（自定义）",SUMIF(N25:N28,E2,O25:O28),"")</f>
        <v/>
      </c>
      <c r="J23" s="3371" t="s">
        <v>3220</v>
      </c>
      <c r="K23" s="1120"/>
      <c r="L23" s="2050" t="s">
        <v>2004</v>
      </c>
      <c r="M23" s="1323">
        <f>ROUND(SUMIF(地价!B2:G2,E2,地价!B16:G16),0)</f>
        <v>350</v>
      </c>
      <c r="N23" s="2051" t="s">
        <v>2005</v>
      </c>
      <c r="O23" s="758">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0.75860000000000005</v>
      </c>
      <c r="D24" s="2055" t="s">
        <v>2007</v>
      </c>
      <c r="E24" s="1330">
        <f>存贷款利率!E24/100</f>
        <v>4.3499999999999997E-2</v>
      </c>
      <c r="F24" s="2055" t="s">
        <v>1999</v>
      </c>
      <c r="G24" s="763">
        <f>SUMIF(M30:Q30,E2,M33:Q33)</f>
        <v>5.5E-2</v>
      </c>
      <c r="H24" s="2055" t="s">
        <v>2008</v>
      </c>
      <c r="I24" s="764">
        <f>SUMIF('数据-取费表'!C6:C15,E2,'数据-取费表'!F6:F15)/COUNTIF('数据-取费表'!C6:C15,E2)</f>
        <v>20.68</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3300</v>
      </c>
      <c r="C25" s="3666">
        <f>IF(B25="容积率修正",IF(G3&lt;10,D26,J26),C27)</f>
        <v>0.91100000000000003</v>
      </c>
      <c r="D25" s="2062"/>
      <c r="E25" s="2062"/>
      <c r="F25" s="2062"/>
      <c r="G25" s="2062"/>
      <c r="H25" s="2062"/>
      <c r="I25" s="2062"/>
      <c r="J25" s="2063"/>
      <c r="K25" s="1120"/>
      <c r="L25" s="2783"/>
      <c r="M25" s="2783"/>
      <c r="N25" s="2064" t="s">
        <v>2013</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270" t="s">
        <v>3222</v>
      </c>
      <c r="D26" s="3665">
        <f>IF(E26=G26,F26,IF(G3&lt;10,ROUND(F26+(H26-F26)*(G3-E26)/(G26-E26),4),"——"))</f>
        <v>0.91100000000000003</v>
      </c>
      <c r="E26" s="747">
        <f>ROUNDDOWN(G3,1)</f>
        <v>7.9</v>
      </c>
      <c r="F26" s="3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3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270" t="s">
        <v>3223</v>
      </c>
      <c r="J26" s="767" t="str">
        <f>IF(G3&gt;=10,D115,"——")</f>
        <v>——</v>
      </c>
      <c r="K26" s="1120"/>
      <c r="L26" s="2783"/>
      <c r="M26" s="2783"/>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1.0632999999999999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40405</v>
      </c>
      <c r="D30" s="2078"/>
      <c r="E30" s="2041"/>
      <c r="F30" s="2079"/>
      <c r="G30" s="2041"/>
      <c r="H30" s="2041"/>
      <c r="I30" s="2041"/>
      <c r="J30" s="2080"/>
      <c r="K30" s="1114"/>
      <c r="L30" s="3276" t="s">
        <v>1936</v>
      </c>
      <c r="M30" s="3277" t="s">
        <v>1990</v>
      </c>
      <c r="N30" s="3277" t="s">
        <v>1991</v>
      </c>
      <c r="O30" s="3277" t="s">
        <v>1992</v>
      </c>
      <c r="P30" s="3277" t="s">
        <v>1993</v>
      </c>
      <c r="Q30" s="3280" t="s">
        <v>3227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278" t="s">
        <v>1996</v>
      </c>
      <c r="M31" s="1995">
        <v>0.25</v>
      </c>
      <c r="N31" s="1995">
        <v>0.2</v>
      </c>
      <c r="O31" s="1995">
        <v>0.15</v>
      </c>
      <c r="P31" s="1995">
        <v>0.1</v>
      </c>
      <c r="Q31" s="327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279" t="s">
        <v>1999</v>
      </c>
      <c r="M32" s="2565">
        <f>ROUND($E$24*(1+M31),3)</f>
        <v>5.3999999999999999E-2</v>
      </c>
      <c r="N32" s="2565">
        <f>ROUND($E$24*(1+N31),3)</f>
        <v>5.1999999999999998E-2</v>
      </c>
      <c r="O32" s="2565">
        <f>ROUND($E$24*(1+O31),3)</f>
        <v>0.05</v>
      </c>
      <c r="P32" s="2565">
        <f>ROUND($E$24*(1+P31),3)</f>
        <v>4.8000000000000001E-2</v>
      </c>
      <c r="Q32" s="328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24727</v>
      </c>
      <c r="D33" s="2093">
        <f>'数据-汇总表'!F21</f>
        <v>16340.339999999998</v>
      </c>
      <c r="E33" s="768">
        <f>ROUND(C33*D33/10000,0)</f>
        <v>40405</v>
      </c>
      <c r="F33" s="3271" t="s">
        <v>3225</v>
      </c>
      <c r="G33" s="2094"/>
      <c r="H33" s="2094"/>
      <c r="I33" s="2094"/>
      <c r="J33" s="2095"/>
      <c r="K33" s="1114"/>
      <c r="L33" s="3274" t="s">
        <v>3228</v>
      </c>
      <c r="M33" s="3275">
        <v>5.5E-2</v>
      </c>
      <c r="N33" s="3275">
        <v>5.5E-2</v>
      </c>
      <c r="O33" s="3275">
        <v>0.05</v>
      </c>
      <c r="P33" s="3275">
        <v>0.05</v>
      </c>
      <c r="Q33" s="327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6182</v>
      </c>
      <c r="D34" s="2098"/>
      <c r="E34" s="768">
        <f>ROUND(IF(B25="楼层修正",SUM(V2:V16)*M40,C34*D34/10000),0)</f>
        <v>0</v>
      </c>
      <c r="F34" s="2099" t="s">
        <v>2032</v>
      </c>
      <c r="G34" s="2100"/>
      <c r="H34" s="2100"/>
      <c r="I34" s="2100"/>
      <c r="J34" s="2101"/>
      <c r="K34" s="1114"/>
      <c r="L34" s="3274" t="s">
        <v>3229</v>
      </c>
      <c r="M34" s="3275">
        <v>6.5000000000000002E-2</v>
      </c>
      <c r="N34" s="3275">
        <v>6.5000000000000002E-2</v>
      </c>
      <c r="O34" s="3275">
        <v>0.06</v>
      </c>
      <c r="P34" s="3275">
        <v>0.06</v>
      </c>
      <c r="Q34" s="327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272" t="s">
        <v>3226</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282" t="s">
        <v>3230</v>
      </c>
      <c r="L36" s="3372">
        <f ca="1">'数据-取费表'!B40</f>
        <v>3.4500000000000003E-2</v>
      </c>
      <c r="M36" s="3283">
        <f ca="1">ROUND($L$36*(1+M31),3)</f>
        <v>4.2999999999999997E-2</v>
      </c>
      <c r="N36" s="3283">
        <f ca="1">ROUND($L$36*(1+N31),3)</f>
        <v>4.1000000000000002E-2</v>
      </c>
      <c r="O36" s="3283">
        <f ca="1">ROUND($L$36*(1+O31),3)</f>
        <v>0.04</v>
      </c>
      <c r="P36" s="3283">
        <f ca="1">ROUND($L$36*(1+P31),3)</f>
        <v>3.7999999999999999E-2</v>
      </c>
      <c r="Q36" s="328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47"/>
      <c r="B37" s="2108" t="s">
        <v>2036</v>
      </c>
      <c r="C37" s="173">
        <f>ROUND(D5*C22*C23*C24*C28*F37,0)</f>
        <v>18386</v>
      </c>
      <c r="D37" s="2093"/>
      <c r="E37" s="169">
        <f>ROUND(C37*D37/10000,0)</f>
        <v>0</v>
      </c>
      <c r="F37" s="169">
        <f>SUMIF(修正!A57:A68,G2,修正!B57:B68)</f>
        <v>0.7</v>
      </c>
      <c r="G37" s="169">
        <f>ROUND(IF(E2="工业",C37*$M$42,C37*$M$41),0)</f>
        <v>4597</v>
      </c>
      <c r="H37" s="169">
        <f>D37</f>
        <v>0</v>
      </c>
      <c r="I37" s="169">
        <f>ROUND(G37*H37/10000,0)</f>
        <v>0</v>
      </c>
      <c r="J37" s="3003"/>
      <c r="K37" s="3284" t="s">
        <v>3231</v>
      </c>
      <c r="L37" s="3282">
        <f ca="1">L36+K38</f>
        <v>3.95E-2</v>
      </c>
      <c r="M37" s="3283">
        <f ca="1">ROUND($L$37*(1+M31),3)</f>
        <v>4.9000000000000002E-2</v>
      </c>
      <c r="N37" s="3283">
        <f t="shared" ref="N37:Q37" ca="1" si="3">ROUND($L$37*(1+N31),3)</f>
        <v>4.7E-2</v>
      </c>
      <c r="O37" s="3283">
        <f t="shared" ca="1" si="3"/>
        <v>4.4999999999999998E-2</v>
      </c>
      <c r="P37" s="3283">
        <f t="shared" ca="1" si="3"/>
        <v>4.2999999999999997E-2</v>
      </c>
      <c r="Q37" s="3283">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48"/>
      <c r="B38" s="2036" t="s">
        <v>2037</v>
      </c>
      <c r="C38" s="173">
        <f>ROUND(D5*C22*C23*C24*C28*F38,0)</f>
        <v>10506</v>
      </c>
      <c r="D38" s="2093"/>
      <c r="E38" s="169">
        <f t="shared" ref="E38:E42" si="4">ROUND(C38*D38/10000,0)</f>
        <v>0</v>
      </c>
      <c r="F38" s="169">
        <f>SUMIF(修正!A57:A68,G2,修正!C57:C68)</f>
        <v>0.4</v>
      </c>
      <c r="G38" s="169">
        <f>ROUND(IF(E2="工业",C38*$M$42,C38*$M$41),0)</f>
        <v>2627</v>
      </c>
      <c r="H38" s="169">
        <f t="shared" ref="H38:H42" si="5">D38</f>
        <v>0</v>
      </c>
      <c r="I38" s="169">
        <f t="shared" ref="I38:I42" si="6">ROUND(G38*H38/10000,0)</f>
        <v>0</v>
      </c>
      <c r="J38" s="3671"/>
      <c r="K38" s="3282">
        <v>5.0000000000000001E-3</v>
      </c>
      <c r="L38" s="3282"/>
      <c r="M38" s="3282"/>
      <c r="N38" s="3282"/>
      <c r="O38" s="3282"/>
      <c r="P38" s="3282"/>
      <c r="Q38" s="3282"/>
      <c r="R38" s="1114"/>
      <c r="S38" s="1114"/>
      <c r="T38" s="1114"/>
      <c r="U38" s="1114"/>
      <c r="V38" s="1114"/>
      <c r="W38" s="1114"/>
      <c r="X38" s="1114"/>
      <c r="Y38" s="1114"/>
      <c r="Z38" s="1115"/>
      <c r="AA38" s="1115"/>
      <c r="AB38" s="1115"/>
      <c r="AC38" s="1115"/>
      <c r="AD38" s="1115"/>
    </row>
    <row r="39" spans="1:37" ht="13.5" thickBot="1">
      <c r="A39" s="4148"/>
      <c r="B39" s="2036" t="s">
        <v>3224</v>
      </c>
      <c r="C39" s="173">
        <f>ROUND(D5*C22*C23*C24*C28*F39,0)</f>
        <v>7880</v>
      </c>
      <c r="D39" s="2093"/>
      <c r="E39" s="169">
        <f t="shared" si="4"/>
        <v>0</v>
      </c>
      <c r="F39" s="169">
        <f>SUMIF(修正!A57:A68,G2,修正!D57:D68)</f>
        <v>0.3</v>
      </c>
      <c r="G39" s="169">
        <f>ROUND(IF(E2="工业",C39*$M$42,C39*$M$41),0)</f>
        <v>1970</v>
      </c>
      <c r="H39" s="169">
        <f t="shared" si="5"/>
        <v>0</v>
      </c>
      <c r="I39" s="169">
        <f t="shared" si="6"/>
        <v>0</v>
      </c>
      <c r="J39" s="3671"/>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7880</v>
      </c>
      <c r="D40" s="2093"/>
      <c r="E40" s="169">
        <f t="shared" si="4"/>
        <v>0</v>
      </c>
      <c r="F40" s="173">
        <f>SUMIF(修正!A57:A68,G2,修正!E57:E68)</f>
        <v>0.3</v>
      </c>
      <c r="G40" s="169">
        <f>ROUND(IF(E2="工业",C40*$M$42,C40*$M$41),0)</f>
        <v>1970</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7468</v>
      </c>
      <c r="D41" s="2093"/>
      <c r="E41" s="169">
        <f t="shared" si="4"/>
        <v>0</v>
      </c>
      <c r="F41" s="173">
        <f>SUMIF(修正!A57:A68,G2,修正!F57:F68)</f>
        <v>0.3</v>
      </c>
      <c r="G41" s="169">
        <f>ROUND(IF(E2="工业",C41*$M$42,C41*$M$41),0)</f>
        <v>1867</v>
      </c>
      <c r="H41" s="169">
        <f t="shared" si="5"/>
        <v>0</v>
      </c>
      <c r="I41" s="169">
        <f t="shared" si="6"/>
        <v>0</v>
      </c>
      <c r="J41" s="2109"/>
      <c r="L41" s="3285" t="s">
        <v>3232</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4979</v>
      </c>
      <c r="D42" s="2098"/>
      <c r="E42" s="185">
        <f t="shared" si="4"/>
        <v>0</v>
      </c>
      <c r="F42" s="762">
        <f>SUMIF(修正!A57:A68,G2,修正!G57:G68)</f>
        <v>0.2</v>
      </c>
      <c r="G42" s="185">
        <f>ROUND(IF(E2="工业",C42*$M$42,C42*$M$41),0)</f>
        <v>1245</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0.71899999999999997</v>
      </c>
      <c r="D44" s="169" t="s">
        <v>1999</v>
      </c>
      <c r="E44" s="2148">
        <f>G24</f>
        <v>5.5E-2</v>
      </c>
      <c r="F44" s="169" t="s">
        <v>2008</v>
      </c>
      <c r="G44" s="181">
        <f>项目基本情况!D15</f>
        <v>20.68</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1.0632999999999999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3758</v>
      </c>
      <c r="D50" s="1060">
        <f t="shared" ref="D50:D58" si="7">SUMIF($J$49:$N$49,C50,J50:N50)</f>
        <v>2.9399999999999999E-2</v>
      </c>
      <c r="E50" s="739">
        <f>ROUND(SUM(D50:D58),4)</f>
        <v>6.3299999999999995E-2</v>
      </c>
      <c r="F50" s="1809">
        <f>IF(E2="商业",SUMIF(L1:L12,G2,N1:N12),"——")</f>
        <v>9.8000000000000004E-2</v>
      </c>
      <c r="G50" s="1058">
        <f>H50</f>
        <v>1.47E-2</v>
      </c>
      <c r="H50" s="1061">
        <f t="shared" ref="H50:H58" si="8">IFERROR(ROUNDDOWN($F$50*I50/2,4),"——")</f>
        <v>1.47E-2</v>
      </c>
      <c r="I50" s="3292">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3759</v>
      </c>
      <c r="D51" s="1060">
        <f t="shared" si="7"/>
        <v>1.0699999999999999E-2</v>
      </c>
      <c r="E51" s="740"/>
      <c r="F51" s="1809"/>
      <c r="G51" s="1058">
        <f t="shared" ref="G51:G58" si="12">H51</f>
        <v>1.0699999999999999E-2</v>
      </c>
      <c r="H51" s="1061">
        <f t="shared" si="8"/>
        <v>1.0699999999999999E-2</v>
      </c>
      <c r="I51" s="3292">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294" t="s">
        <v>3234</v>
      </c>
      <c r="B52" s="2129">
        <f>估价对象房地状况!C19</f>
        <v>0</v>
      </c>
      <c r="C52" s="2039" t="s">
        <v>3759</v>
      </c>
      <c r="D52" s="1060">
        <f t="shared" si="7"/>
        <v>5.7999999999999996E-3</v>
      </c>
      <c r="E52" s="740"/>
      <c r="F52" s="1809"/>
      <c r="G52" s="1058">
        <f t="shared" si="12"/>
        <v>5.7999999999999996E-3</v>
      </c>
      <c r="H52" s="1061">
        <f t="shared" si="8"/>
        <v>5.7999999999999996E-3</v>
      </c>
      <c r="I52" s="3292">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3759</v>
      </c>
      <c r="D53" s="1060">
        <f t="shared" si="7"/>
        <v>2.3999999999999998E-3</v>
      </c>
      <c r="E53" s="740"/>
      <c r="F53" s="1809"/>
      <c r="G53" s="1058">
        <f t="shared" si="12"/>
        <v>2.3999999999999998E-3</v>
      </c>
      <c r="H53" s="1061">
        <f t="shared" si="8"/>
        <v>2.3999999999999998E-3</v>
      </c>
      <c r="I53" s="3292">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3759</v>
      </c>
      <c r="D54" s="1060">
        <f t="shared" si="7"/>
        <v>3.8999999999999998E-3</v>
      </c>
      <c r="E54" s="740"/>
      <c r="F54" s="1809"/>
      <c r="G54" s="1058">
        <f t="shared" si="12"/>
        <v>3.8999999999999998E-3</v>
      </c>
      <c r="H54" s="1061">
        <f t="shared" si="8"/>
        <v>3.8999999999999998E-3</v>
      </c>
      <c r="I54" s="3292">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3759</v>
      </c>
      <c r="D55" s="1060">
        <f t="shared" si="7"/>
        <v>2.3999999999999998E-3</v>
      </c>
      <c r="E55" s="740"/>
      <c r="F55" s="1809"/>
      <c r="G55" s="1058">
        <f t="shared" si="12"/>
        <v>2.3999999999999998E-3</v>
      </c>
      <c r="H55" s="1061">
        <f t="shared" si="8"/>
        <v>2.3999999999999998E-3</v>
      </c>
      <c r="I55" s="3292">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3759</v>
      </c>
      <c r="D56" s="1060">
        <f t="shared" si="7"/>
        <v>2.3999999999999998E-3</v>
      </c>
      <c r="E56" s="740"/>
      <c r="F56" s="1809"/>
      <c r="G56" s="1058">
        <f t="shared" si="12"/>
        <v>2.3999999999999998E-3</v>
      </c>
      <c r="H56" s="1061">
        <f t="shared" si="8"/>
        <v>2.3999999999999998E-3</v>
      </c>
      <c r="I56" s="3292">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3759</v>
      </c>
      <c r="D57" s="1060">
        <f t="shared" si="7"/>
        <v>3.8999999999999998E-3</v>
      </c>
      <c r="E57" s="740"/>
      <c r="F57" s="1809"/>
      <c r="G57" s="1058">
        <f t="shared" si="12"/>
        <v>3.8999999999999998E-3</v>
      </c>
      <c r="H57" s="1061">
        <f t="shared" si="8"/>
        <v>3.8999999999999998E-3</v>
      </c>
      <c r="I57" s="3292">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3759</v>
      </c>
      <c r="D58" s="1060">
        <f t="shared" si="7"/>
        <v>2.3999999999999998E-3</v>
      </c>
      <c r="E58" s="741"/>
      <c r="F58" s="1809"/>
      <c r="G58" s="1058">
        <f t="shared" si="12"/>
        <v>2.3999999999999998E-3</v>
      </c>
      <c r="H58" s="1061">
        <f t="shared" si="8"/>
        <v>2.3999999999999998E-3</v>
      </c>
      <c r="I58" s="3293">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292">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292">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294" t="s">
        <v>3234</v>
      </c>
      <c r="B63" s="2129">
        <f>估价对象房地状况!C19</f>
        <v>0</v>
      </c>
      <c r="C63" s="2039"/>
      <c r="D63" s="1060">
        <f t="shared" si="13"/>
        <v>0</v>
      </c>
      <c r="E63" s="740"/>
      <c r="F63" s="1809"/>
      <c r="G63" s="1058"/>
      <c r="H63" s="1061" t="str">
        <f t="shared" si="14"/>
        <v>——</v>
      </c>
      <c r="I63" s="3292">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292">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292">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292">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292">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292">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293">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292">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292">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294" t="s">
        <v>3234</v>
      </c>
      <c r="B74" s="2129">
        <f>估价对象房地状况!C19</f>
        <v>0</v>
      </c>
      <c r="C74" s="2039"/>
      <c r="D74" s="1060">
        <f t="shared" si="18"/>
        <v>0</v>
      </c>
      <c r="E74" s="742"/>
      <c r="F74" s="1809"/>
      <c r="G74" s="1058"/>
      <c r="H74" s="1061" t="str">
        <f t="shared" si="19"/>
        <v>——</v>
      </c>
      <c r="I74" s="3292">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292">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292">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292">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292">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292">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293">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292">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292">
        <v>0.3</v>
      </c>
      <c r="J84" s="1059">
        <f t="shared" si="25"/>
        <v>0</v>
      </c>
      <c r="K84" s="1059">
        <f t="shared" si="26"/>
        <v>0</v>
      </c>
      <c r="L84" s="1059">
        <v>0</v>
      </c>
      <c r="M84" s="1059">
        <f t="shared" si="27"/>
        <v>0</v>
      </c>
      <c r="N84" s="1059">
        <f t="shared" si="27"/>
        <v>0</v>
      </c>
      <c r="Z84" s="1993"/>
      <c r="AA84" s="2048"/>
      <c r="AG84" s="1116"/>
      <c r="AK84" s="2048"/>
    </row>
    <row r="85" spans="1:37" ht="36">
      <c r="A85" s="3294" t="s">
        <v>3235</v>
      </c>
      <c r="B85" s="2129">
        <f>估价对象房地状况!G17</f>
        <v>0</v>
      </c>
      <c r="C85" s="2039"/>
      <c r="D85" s="1060">
        <f t="shared" si="23"/>
        <v>0</v>
      </c>
      <c r="E85" s="742"/>
      <c r="F85" s="1809"/>
      <c r="G85" s="1058"/>
      <c r="H85" s="1061" t="str">
        <f t="shared" si="24"/>
        <v>——</v>
      </c>
      <c r="I85" s="3292">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292">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292">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292">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292">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293">
        <v>0.05</v>
      </c>
      <c r="J90" s="1059">
        <f t="shared" si="25"/>
        <v>0</v>
      </c>
      <c r="K90" s="1059">
        <f t="shared" si="26"/>
        <v>0</v>
      </c>
      <c r="L90" s="1059">
        <v>0</v>
      </c>
      <c r="M90" s="1059">
        <f t="shared" si="27"/>
        <v>0</v>
      </c>
      <c r="N90" s="1059">
        <f t="shared" si="27"/>
        <v>0</v>
      </c>
    </row>
    <row r="91" spans="1:37" ht="15">
      <c r="A91" s="3302" t="s">
        <v>2599</v>
      </c>
      <c r="B91" s="3303">
        <f>1+E93</f>
        <v>1</v>
      </c>
      <c r="C91" s="3296"/>
      <c r="D91" s="3297"/>
      <c r="E91" s="1809"/>
      <c r="F91" s="1809"/>
      <c r="G91" s="3298"/>
      <c r="H91" s="3299"/>
      <c r="I91" s="3300"/>
      <c r="J91" s="3301"/>
      <c r="K91" s="3301"/>
      <c r="L91" s="3301"/>
      <c r="M91" s="3301"/>
      <c r="N91" s="3301"/>
    </row>
    <row r="92" spans="1:37" ht="24.75">
      <c r="A92" s="3304" t="s">
        <v>3236</v>
      </c>
      <c r="B92" s="3291"/>
      <c r="C92" s="3291" t="s">
        <v>2046</v>
      </c>
      <c r="D92" s="3291" t="s">
        <v>3246</v>
      </c>
      <c r="E92" s="3273" t="s">
        <v>3247</v>
      </c>
      <c r="F92" s="3306" t="s">
        <v>3248</v>
      </c>
      <c r="G92" s="3291" t="s">
        <v>3249</v>
      </c>
      <c r="H92" s="3313" t="s">
        <v>3252</v>
      </c>
      <c r="I92" s="3291" t="s">
        <v>3253</v>
      </c>
      <c r="J92" s="3314" t="s">
        <v>3254</v>
      </c>
      <c r="K92" s="3314" t="s">
        <v>3255</v>
      </c>
      <c r="L92" s="3314" t="s">
        <v>3256</v>
      </c>
      <c r="M92" s="3314" t="s">
        <v>3257</v>
      </c>
      <c r="N92" s="3314" t="s">
        <v>3258</v>
      </c>
    </row>
    <row r="93" spans="1:37" ht="24">
      <c r="A93" s="3294" t="s">
        <v>3237</v>
      </c>
      <c r="B93" s="1301"/>
      <c r="C93" s="2039"/>
      <c r="D93" s="3291">
        <f>SUMIF($J$92:$N$92,C93,J93:N93)</f>
        <v>0</v>
      </c>
      <c r="E93" s="3307">
        <f>ROUND(SUM(D93:D101),4)</f>
        <v>0</v>
      </c>
      <c r="F93" s="1809" t="str">
        <f>IF(E2="公共服务",SUMIF(L1:L12,G2,N1:N12),"——")</f>
        <v>——</v>
      </c>
      <c r="G93" s="3298"/>
      <c r="H93" s="3346" t="str">
        <f>IFERROR(ROUNDDOWN($F$93*I93/2,4),"——")</f>
        <v>——</v>
      </c>
      <c r="I93" s="3292">
        <v>0.25</v>
      </c>
      <c r="J93" s="3270">
        <f t="shared" ref="J93:J101" si="28">K93+$G93</f>
        <v>0</v>
      </c>
      <c r="K93" s="3270">
        <f t="shared" ref="K93:K101" si="29">$L93+$G93</f>
        <v>0</v>
      </c>
      <c r="L93" s="3270">
        <v>0</v>
      </c>
      <c r="M93" s="3270">
        <f t="shared" ref="M93:N101" si="30">L93-$G93</f>
        <v>0</v>
      </c>
      <c r="N93" s="3270">
        <f t="shared" si="30"/>
        <v>0</v>
      </c>
    </row>
    <row r="94" spans="1:37" ht="14.25">
      <c r="A94" s="3304" t="s">
        <v>2053</v>
      </c>
      <c r="B94" s="3295">
        <f>估价对象房地状况!C18</f>
        <v>0</v>
      </c>
      <c r="C94" s="2039"/>
      <c r="D94" s="3291">
        <f t="shared" ref="D94:D101" si="31">SUMIF($J$60:$N$60,C94,J94:N94)</f>
        <v>0</v>
      </c>
      <c r="E94" s="3308"/>
      <c r="F94" s="1809"/>
      <c r="G94" s="3298"/>
      <c r="H94" s="3346" t="str">
        <f>IFERROR(ROUNDDOWN($F$93*I94/2,4),"——")</f>
        <v>——</v>
      </c>
      <c r="I94" s="3292">
        <v>0.26</v>
      </c>
      <c r="J94" s="3270">
        <f t="shared" si="28"/>
        <v>0</v>
      </c>
      <c r="K94" s="3270">
        <f t="shared" si="29"/>
        <v>0</v>
      </c>
      <c r="L94" s="3270">
        <v>0</v>
      </c>
      <c r="M94" s="3270">
        <f t="shared" si="30"/>
        <v>0</v>
      </c>
      <c r="N94" s="3270">
        <f t="shared" si="30"/>
        <v>0</v>
      </c>
    </row>
    <row r="95" spans="1:37" ht="36">
      <c r="A95" s="3294" t="s">
        <v>3234</v>
      </c>
      <c r="B95" s="3295">
        <f>估价对象房地状况!C19</f>
        <v>0</v>
      </c>
      <c r="C95" s="2039"/>
      <c r="D95" s="3291">
        <f t="shared" si="31"/>
        <v>0</v>
      </c>
      <c r="E95" s="3308"/>
      <c r="F95" s="1809"/>
      <c r="G95" s="3298"/>
      <c r="H95" s="3346" t="str">
        <f t="shared" ref="H95:H101" si="32">IFERROR(ROUNDDOWN($F$93*I95/2,4),"——")</f>
        <v>——</v>
      </c>
      <c r="I95" s="3292">
        <v>0.11</v>
      </c>
      <c r="J95" s="3270">
        <f t="shared" si="28"/>
        <v>0</v>
      </c>
      <c r="K95" s="3270">
        <f t="shared" si="29"/>
        <v>0</v>
      </c>
      <c r="L95" s="3270">
        <v>0</v>
      </c>
      <c r="M95" s="3270">
        <f t="shared" si="30"/>
        <v>0</v>
      </c>
      <c r="N95" s="3270">
        <f t="shared" si="30"/>
        <v>0</v>
      </c>
    </row>
    <row r="96" spans="1:37" ht="36.75">
      <c r="A96" s="3304" t="s">
        <v>3239</v>
      </c>
      <c r="B96" s="3310" t="s">
        <v>3250</v>
      </c>
      <c r="C96" s="2039"/>
      <c r="D96" s="3291">
        <f t="shared" si="31"/>
        <v>0</v>
      </c>
      <c r="E96" s="3308"/>
      <c r="F96" s="1809"/>
      <c r="G96" s="3298"/>
      <c r="H96" s="3346" t="str">
        <f t="shared" si="32"/>
        <v>——</v>
      </c>
      <c r="I96" s="3292">
        <v>0.05</v>
      </c>
      <c r="J96" s="3270">
        <f t="shared" si="28"/>
        <v>0</v>
      </c>
      <c r="K96" s="3270">
        <f t="shared" si="29"/>
        <v>0</v>
      </c>
      <c r="L96" s="3270">
        <v>0</v>
      </c>
      <c r="M96" s="3270">
        <f t="shared" si="30"/>
        <v>0</v>
      </c>
      <c r="N96" s="3270">
        <f t="shared" si="30"/>
        <v>0</v>
      </c>
    </row>
    <row r="97" spans="1:14" ht="24">
      <c r="A97" s="3304" t="s">
        <v>3240</v>
      </c>
      <c r="B97" s="3295">
        <f>估价对象房地状况!C24</f>
        <v>0</v>
      </c>
      <c r="C97" s="2039"/>
      <c r="D97" s="3291">
        <f t="shared" si="31"/>
        <v>0</v>
      </c>
      <c r="E97" s="3308"/>
      <c r="F97" s="1809"/>
      <c r="G97" s="3298"/>
      <c r="H97" s="3346" t="str">
        <f t="shared" si="32"/>
        <v>——</v>
      </c>
      <c r="I97" s="3292">
        <v>0.05</v>
      </c>
      <c r="J97" s="3270">
        <f t="shared" si="28"/>
        <v>0</v>
      </c>
      <c r="K97" s="3270">
        <f t="shared" si="29"/>
        <v>0</v>
      </c>
      <c r="L97" s="3270">
        <v>0</v>
      </c>
      <c r="M97" s="3270">
        <f t="shared" si="30"/>
        <v>0</v>
      </c>
      <c r="N97" s="3270">
        <f t="shared" si="30"/>
        <v>0</v>
      </c>
    </row>
    <row r="98" spans="1:14" ht="24">
      <c r="A98" s="3304" t="s">
        <v>2057</v>
      </c>
      <c r="B98" s="3311" t="s">
        <v>3251</v>
      </c>
      <c r="C98" s="2039"/>
      <c r="D98" s="3291">
        <f t="shared" si="31"/>
        <v>0</v>
      </c>
      <c r="E98" s="3308"/>
      <c r="F98" s="1809"/>
      <c r="G98" s="3298"/>
      <c r="H98" s="3346" t="str">
        <f t="shared" si="32"/>
        <v>——</v>
      </c>
      <c r="I98" s="3292">
        <v>0.06</v>
      </c>
      <c r="J98" s="3270">
        <f t="shared" si="28"/>
        <v>0</v>
      </c>
      <c r="K98" s="3270">
        <f t="shared" si="29"/>
        <v>0</v>
      </c>
      <c r="L98" s="3270">
        <v>0</v>
      </c>
      <c r="M98" s="3270">
        <f t="shared" si="30"/>
        <v>0</v>
      </c>
      <c r="N98" s="3270">
        <f t="shared" si="30"/>
        <v>0</v>
      </c>
    </row>
    <row r="99" spans="1:14" ht="24">
      <c r="A99" s="3304" t="s">
        <v>3242</v>
      </c>
      <c r="B99" s="3295">
        <f>估价对象房地状况!C21</f>
        <v>0</v>
      </c>
      <c r="C99" s="2039"/>
      <c r="D99" s="3291">
        <f t="shared" si="31"/>
        <v>0</v>
      </c>
      <c r="E99" s="3308"/>
      <c r="F99" s="1809"/>
      <c r="G99" s="3298"/>
      <c r="H99" s="3346" t="str">
        <f t="shared" si="32"/>
        <v>——</v>
      </c>
      <c r="I99" s="3292">
        <v>0.06</v>
      </c>
      <c r="J99" s="3270">
        <f t="shared" si="28"/>
        <v>0</v>
      </c>
      <c r="K99" s="3270">
        <f t="shared" si="29"/>
        <v>0</v>
      </c>
      <c r="L99" s="3270">
        <v>0</v>
      </c>
      <c r="M99" s="3270">
        <f t="shared" si="30"/>
        <v>0</v>
      </c>
      <c r="N99" s="3270">
        <f t="shared" si="30"/>
        <v>0</v>
      </c>
    </row>
    <row r="100" spans="1:14" ht="24">
      <c r="A100" s="3304" t="s">
        <v>3243</v>
      </c>
      <c r="B100" s="3295">
        <f>估价对象房地状况!C22</f>
        <v>0</v>
      </c>
      <c r="C100" s="2039"/>
      <c r="D100" s="3291">
        <f t="shared" si="31"/>
        <v>0</v>
      </c>
      <c r="E100" s="3308"/>
      <c r="F100" s="1809"/>
      <c r="G100" s="3298"/>
      <c r="H100" s="3346" t="str">
        <f t="shared" si="32"/>
        <v>——</v>
      </c>
      <c r="I100" s="3292">
        <v>0.09</v>
      </c>
      <c r="J100" s="3270">
        <f t="shared" si="28"/>
        <v>0</v>
      </c>
      <c r="K100" s="3270">
        <f t="shared" si="29"/>
        <v>0</v>
      </c>
      <c r="L100" s="3270">
        <v>0</v>
      </c>
      <c r="M100" s="3270">
        <f t="shared" si="30"/>
        <v>0</v>
      </c>
      <c r="N100" s="3270">
        <f t="shared" si="30"/>
        <v>0</v>
      </c>
    </row>
    <row r="101" spans="1:14" ht="24.75" thickBot="1">
      <c r="A101" s="3305" t="s">
        <v>3244</v>
      </c>
      <c r="B101" s="3312">
        <f>估价对象房地状况!C20</f>
        <v>0</v>
      </c>
      <c r="C101" s="2039"/>
      <c r="D101" s="3291">
        <f t="shared" si="31"/>
        <v>0</v>
      </c>
      <c r="E101" s="3309"/>
      <c r="F101" s="1809"/>
      <c r="G101" s="3298"/>
      <c r="H101" s="3346" t="str">
        <f t="shared" si="32"/>
        <v>——</v>
      </c>
      <c r="I101" s="3293">
        <v>7.0000000000000007E-2</v>
      </c>
      <c r="J101" s="3270">
        <f t="shared" si="28"/>
        <v>0</v>
      </c>
      <c r="K101" s="3270">
        <f t="shared" si="29"/>
        <v>0</v>
      </c>
      <c r="L101" s="3270">
        <v>0</v>
      </c>
      <c r="M101" s="3270">
        <f t="shared" si="30"/>
        <v>0</v>
      </c>
      <c r="N101" s="3270">
        <f t="shared" si="30"/>
        <v>0</v>
      </c>
    </row>
    <row r="103" spans="1:14">
      <c r="A103" s="4141" t="s">
        <v>3259</v>
      </c>
      <c r="B103" s="4141"/>
      <c r="C103" s="4141"/>
      <c r="D103" s="4141"/>
      <c r="E103" s="4141"/>
      <c r="F103" s="4141"/>
      <c r="G103" s="4141"/>
      <c r="H103" s="4141"/>
      <c r="I103" s="4141"/>
      <c r="J103" s="4141"/>
      <c r="K103" s="3669"/>
      <c r="L103" s="3669"/>
      <c r="M103" s="3669"/>
      <c r="N103" s="3669"/>
    </row>
    <row r="104" spans="1:14">
      <c r="A104" s="4142" t="s">
        <v>3260</v>
      </c>
      <c r="B104" s="4142" t="s">
        <v>3261</v>
      </c>
      <c r="C104" s="3316" t="s">
        <v>3262</v>
      </c>
      <c r="D104" s="3317"/>
      <c r="E104" s="3317"/>
      <c r="F104" s="3317"/>
      <c r="G104" s="3317"/>
      <c r="H104" s="3317"/>
      <c r="I104" s="3317"/>
      <c r="J104" s="3318"/>
      <c r="K104" s="3319"/>
      <c r="L104" s="3319"/>
      <c r="M104" s="3319"/>
      <c r="N104" s="3319"/>
    </row>
    <row r="105" spans="1:14">
      <c r="A105" s="4142"/>
      <c r="B105" s="4142"/>
      <c r="C105" s="3670" t="s">
        <v>3263</v>
      </c>
      <c r="D105" s="3670" t="s">
        <v>3264</v>
      </c>
      <c r="E105" s="3670" t="s">
        <v>3265</v>
      </c>
      <c r="F105" s="3670" t="s">
        <v>3266</v>
      </c>
      <c r="G105" s="3670" t="s">
        <v>3267</v>
      </c>
      <c r="H105" s="3670" t="s">
        <v>3268</v>
      </c>
      <c r="I105" s="3670" t="s">
        <v>3269</v>
      </c>
      <c r="J105" s="3670" t="s">
        <v>3270</v>
      </c>
      <c r="K105" s="3670" t="s">
        <v>3271</v>
      </c>
      <c r="L105" s="3670" t="s">
        <v>3272</v>
      </c>
      <c r="M105" s="3670" t="s">
        <v>3273</v>
      </c>
      <c r="N105" s="3670" t="s">
        <v>3274</v>
      </c>
    </row>
    <row r="106" spans="1:14">
      <c r="A106" s="4143" t="s">
        <v>3275</v>
      </c>
      <c r="B106" s="3670">
        <v>1</v>
      </c>
      <c r="C106" s="3670">
        <v>1.5206</v>
      </c>
      <c r="D106" s="3670">
        <v>1.5206</v>
      </c>
      <c r="E106" s="3670">
        <v>1.5019</v>
      </c>
      <c r="F106" s="3670">
        <v>1.5019</v>
      </c>
      <c r="G106" s="3670">
        <v>1.5019</v>
      </c>
      <c r="H106" s="3670">
        <v>1.5019</v>
      </c>
      <c r="I106" s="3670">
        <v>1.5019</v>
      </c>
      <c r="J106" s="3670">
        <v>1.5418000000000001</v>
      </c>
      <c r="K106" s="3670">
        <v>1.5418000000000001</v>
      </c>
      <c r="L106" s="3670">
        <v>1.5418000000000001</v>
      </c>
      <c r="M106" s="3670">
        <v>1.5418000000000001</v>
      </c>
      <c r="N106" s="3670">
        <v>1.5418000000000001</v>
      </c>
    </row>
    <row r="107" spans="1:14">
      <c r="A107" s="4144"/>
      <c r="B107" s="3670">
        <v>2</v>
      </c>
      <c r="C107" s="3670">
        <v>1.2072000000000001</v>
      </c>
      <c r="D107" s="3670">
        <v>1.2072000000000001</v>
      </c>
      <c r="E107" s="3670">
        <v>1.1838</v>
      </c>
      <c r="F107" s="3670">
        <v>1.1838</v>
      </c>
      <c r="G107" s="3670">
        <v>1.1838</v>
      </c>
      <c r="H107" s="3670">
        <v>1.1838</v>
      </c>
      <c r="I107" s="3670">
        <v>1.1838</v>
      </c>
      <c r="J107" s="3670">
        <v>1.1883999999999999</v>
      </c>
      <c r="K107" s="3670">
        <v>1.1883999999999999</v>
      </c>
      <c r="L107" s="3670">
        <v>1.1883999999999999</v>
      </c>
      <c r="M107" s="3670">
        <v>1.1883999999999999</v>
      </c>
      <c r="N107" s="3670">
        <v>1.1883999999999999</v>
      </c>
    </row>
    <row r="108" spans="1:14">
      <c r="A108" s="4144"/>
      <c r="B108" s="3670">
        <v>3</v>
      </c>
      <c r="C108" s="3670">
        <v>1.0430999999999999</v>
      </c>
      <c r="D108" s="3670">
        <v>1.0430999999999999</v>
      </c>
      <c r="E108" s="3670">
        <v>1.0004999999999999</v>
      </c>
      <c r="F108" s="3670">
        <v>1.0004999999999999</v>
      </c>
      <c r="G108" s="3670">
        <v>1.0004999999999999</v>
      </c>
      <c r="H108" s="3670">
        <v>1.0004999999999999</v>
      </c>
      <c r="I108" s="3670">
        <v>1.0004999999999999</v>
      </c>
      <c r="J108" s="3670">
        <v>0.96940000000000004</v>
      </c>
      <c r="K108" s="3670">
        <v>0.96940000000000004</v>
      </c>
      <c r="L108" s="3670">
        <v>0.96940000000000004</v>
      </c>
      <c r="M108" s="3670">
        <v>0.96940000000000004</v>
      </c>
      <c r="N108" s="3670">
        <v>0.96940000000000004</v>
      </c>
    </row>
    <row r="109" spans="1:14">
      <c r="A109" s="4144"/>
      <c r="B109" s="3670">
        <v>4</v>
      </c>
      <c r="C109" s="3670">
        <v>0.94389999999999996</v>
      </c>
      <c r="D109" s="3670">
        <v>0.94389999999999996</v>
      </c>
      <c r="E109" s="3670">
        <v>0.88239999999999996</v>
      </c>
      <c r="F109" s="3670">
        <v>0.88239999999999996</v>
      </c>
      <c r="G109" s="3670">
        <v>0.88239999999999996</v>
      </c>
      <c r="H109" s="3670">
        <v>0.88239999999999996</v>
      </c>
      <c r="I109" s="3670">
        <v>0.88239999999999996</v>
      </c>
      <c r="J109" s="3670">
        <v>0.82299999999999995</v>
      </c>
      <c r="K109" s="3670">
        <v>0.82299999999999995</v>
      </c>
      <c r="L109" s="3670">
        <v>0.82299999999999995</v>
      </c>
      <c r="M109" s="3670">
        <v>0.82299999999999995</v>
      </c>
      <c r="N109" s="3670">
        <v>0.82299999999999995</v>
      </c>
    </row>
    <row r="110" spans="1:14">
      <c r="A110" s="4144"/>
      <c r="B110" s="3670">
        <v>5</v>
      </c>
      <c r="C110" s="3670">
        <v>0.89959999999999996</v>
      </c>
      <c r="D110" s="3670">
        <v>0.89959999999999996</v>
      </c>
      <c r="E110" s="3670">
        <v>0.84799999999999998</v>
      </c>
      <c r="F110" s="3670">
        <v>0.84799999999999998</v>
      </c>
      <c r="G110" s="3670">
        <v>0.84799999999999998</v>
      </c>
      <c r="H110" s="3670">
        <v>0.84799999999999998</v>
      </c>
      <c r="I110" s="3670">
        <v>0.84799999999999998</v>
      </c>
      <c r="J110" s="3670">
        <v>0.74980000000000002</v>
      </c>
      <c r="K110" s="3670">
        <v>0.74980000000000002</v>
      </c>
      <c r="L110" s="3670">
        <v>0.74980000000000002</v>
      </c>
      <c r="M110" s="3670">
        <v>0.74980000000000002</v>
      </c>
      <c r="N110" s="3670">
        <v>0.74980000000000002</v>
      </c>
    </row>
    <row r="111" spans="1:14">
      <c r="A111" s="4144"/>
      <c r="B111" s="3670" t="s">
        <v>3233</v>
      </c>
      <c r="C111" s="3321">
        <f>$I$3</f>
        <v>0</v>
      </c>
      <c r="D111" s="3321">
        <f t="shared" ref="D111:M111" si="33">$I$3</f>
        <v>0</v>
      </c>
      <c r="E111" s="3321">
        <f t="shared" si="33"/>
        <v>0</v>
      </c>
      <c r="F111" s="3321">
        <f t="shared" si="33"/>
        <v>0</v>
      </c>
      <c r="G111" s="3321">
        <f t="shared" si="33"/>
        <v>0</v>
      </c>
      <c r="H111" s="3321">
        <f t="shared" si="33"/>
        <v>0</v>
      </c>
      <c r="I111" s="3321">
        <f t="shared" si="33"/>
        <v>0</v>
      </c>
      <c r="J111" s="3321">
        <f t="shared" si="33"/>
        <v>0</v>
      </c>
      <c r="K111" s="3321">
        <f t="shared" si="33"/>
        <v>0</v>
      </c>
      <c r="L111" s="3321">
        <f t="shared" si="33"/>
        <v>0</v>
      </c>
      <c r="M111" s="3321">
        <f t="shared" si="33"/>
        <v>0</v>
      </c>
      <c r="N111" s="3321">
        <f>$I$3</f>
        <v>0</v>
      </c>
    </row>
    <row r="112" spans="1:14">
      <c r="A112" s="4145"/>
      <c r="B112" s="3670">
        <v>6</v>
      </c>
      <c r="C112" s="3313">
        <f>(-0.5556*(C111^2)-0.2719*C111+8944)*(10^(-4))</f>
        <v>0.89440000000000008</v>
      </c>
      <c r="D112" s="3313">
        <f>(-0.5556*(D111^2)-0.2719*D111+8944)*(10^(-4))</f>
        <v>0.89440000000000008</v>
      </c>
      <c r="E112" s="3313">
        <f>(-0.7912*(E111^2)-11.3794*E111+8482)*(10^(-4))</f>
        <v>0.84820000000000007</v>
      </c>
      <c r="F112" s="3313">
        <f t="shared" ref="F112:I112" si="34">(-0.7912*(F111^2)-11.3794*F111+8482)*(10^(-4))</f>
        <v>0.84820000000000007</v>
      </c>
      <c r="G112" s="3313">
        <f t="shared" si="34"/>
        <v>0.84820000000000007</v>
      </c>
      <c r="H112" s="3313">
        <f t="shared" si="34"/>
        <v>0.84820000000000007</v>
      </c>
      <c r="I112" s="3313">
        <f t="shared" si="34"/>
        <v>0.84820000000000007</v>
      </c>
      <c r="J112" s="3313">
        <f>(-0.989*(J111^2)-63.78*J111+7771)*(10^(-4))</f>
        <v>0.77710000000000001</v>
      </c>
      <c r="K112" s="3313">
        <f t="shared" ref="K112:N112" si="35">(-0.989*(K111^2)-63.78*K111+7771)*(10^(-4))</f>
        <v>0.77710000000000001</v>
      </c>
      <c r="L112" s="3313">
        <f t="shared" si="35"/>
        <v>0.77710000000000001</v>
      </c>
      <c r="M112" s="3313">
        <f t="shared" si="35"/>
        <v>0.77710000000000001</v>
      </c>
      <c r="N112" s="3313">
        <f t="shared" si="35"/>
        <v>0.77710000000000001</v>
      </c>
    </row>
    <row r="113" spans="1:14">
      <c r="A113" s="4146" t="s">
        <v>3276</v>
      </c>
      <c r="B113" s="4146"/>
      <c r="C113" s="4146"/>
      <c r="D113" s="4146"/>
      <c r="E113" s="4146"/>
      <c r="F113" s="4146"/>
      <c r="G113" s="4146"/>
      <c r="H113" s="4146"/>
      <c r="I113" s="4146"/>
      <c r="J113" s="4146"/>
      <c r="K113" s="3667"/>
      <c r="L113" s="3667"/>
      <c r="M113" s="3667"/>
      <c r="N113" s="3667"/>
    </row>
    <row r="114" spans="1:14">
      <c r="A114" s="3323"/>
      <c r="B114" s="3323"/>
      <c r="C114" s="3323"/>
      <c r="D114" s="3323"/>
      <c r="E114" s="3323"/>
      <c r="F114" s="3323"/>
      <c r="G114" s="3323"/>
      <c r="H114" s="3323"/>
      <c r="I114" s="3323"/>
      <c r="J114" s="3323"/>
      <c r="K114" s="3282"/>
      <c r="L114" s="3323"/>
      <c r="M114" s="3323"/>
      <c r="N114" s="3323"/>
    </row>
    <row r="115" spans="1:14" ht="13.5" thickBot="1">
      <c r="A115" s="3323"/>
      <c r="B115" s="3323"/>
      <c r="C115" s="3323"/>
      <c r="D115" s="3323"/>
      <c r="E115" s="3323"/>
      <c r="F115" s="3323"/>
      <c r="G115" s="3323"/>
      <c r="H115" s="3323"/>
      <c r="I115" s="3323"/>
      <c r="J115" s="3323"/>
      <c r="K115" s="3282"/>
      <c r="L115" s="3323"/>
      <c r="M115" s="3323"/>
      <c r="N115" s="3323"/>
    </row>
    <row r="116" spans="1:14" ht="25.5" thickBot="1">
      <c r="A116" s="3324" t="s">
        <v>3277</v>
      </c>
      <c r="B116" s="3341">
        <f>G3</f>
        <v>7.99</v>
      </c>
      <c r="C116" s="3325" t="s">
        <v>3278</v>
      </c>
      <c r="D116" s="3326">
        <f>SUMPRODUCT((A118:A122=F116)*(B117:M117=H116)*B118:M122)</f>
        <v>0.90890000000000004</v>
      </c>
      <c r="E116" s="1995" t="s">
        <v>3279</v>
      </c>
      <c r="F116" s="3327" t="str">
        <f>E2</f>
        <v>商业</v>
      </c>
      <c r="G116" s="1995" t="s">
        <v>3280</v>
      </c>
      <c r="H116" s="3327" t="str">
        <f>G2</f>
        <v>一级</v>
      </c>
      <c r="I116" s="1995"/>
      <c r="J116" s="3328"/>
      <c r="K116" s="3328"/>
      <c r="L116" s="3328"/>
      <c r="M116" s="3328"/>
      <c r="N116" s="3323"/>
    </row>
    <row r="117" spans="1:14">
      <c r="A117" s="3329"/>
      <c r="B117" s="3330" t="s">
        <v>3281</v>
      </c>
      <c r="C117" s="3330" t="s">
        <v>3282</v>
      </c>
      <c r="D117" s="3330" t="s">
        <v>3283</v>
      </c>
      <c r="E117" s="3331" t="s">
        <v>3284</v>
      </c>
      <c r="F117" s="3331" t="s">
        <v>3285</v>
      </c>
      <c r="G117" s="3331" t="s">
        <v>3286</v>
      </c>
      <c r="H117" s="3332" t="s">
        <v>3287</v>
      </c>
      <c r="I117" s="3332" t="s">
        <v>3288</v>
      </c>
      <c r="J117" s="3333" t="s">
        <v>3289</v>
      </c>
      <c r="K117" s="3333" t="s">
        <v>3290</v>
      </c>
      <c r="L117" s="3333" t="s">
        <v>3291</v>
      </c>
      <c r="M117" s="3334" t="s">
        <v>3292</v>
      </c>
      <c r="N117" s="3323"/>
    </row>
    <row r="118" spans="1:14">
      <c r="A118" s="3335" t="s">
        <v>3293</v>
      </c>
      <c r="B118" s="3313">
        <f>ROUND(0.9968-0.011*B116,4)</f>
        <v>0.90890000000000004</v>
      </c>
      <c r="C118" s="3313">
        <f>B118</f>
        <v>0.90890000000000004</v>
      </c>
      <c r="D118" s="3313">
        <f>ROUND(0.949-0.014*B116,4)</f>
        <v>0.83709999999999996</v>
      </c>
      <c r="E118" s="3313">
        <f>D118</f>
        <v>0.83709999999999996</v>
      </c>
      <c r="F118" s="3313">
        <f>E118</f>
        <v>0.83709999999999996</v>
      </c>
      <c r="G118" s="3313">
        <f>F118</f>
        <v>0.83709999999999996</v>
      </c>
      <c r="H118" s="3313">
        <f>G118</f>
        <v>0.83709999999999996</v>
      </c>
      <c r="I118" s="3313">
        <f>ROUND(0.8486-0.018*B116,4)</f>
        <v>0.70479999999999998</v>
      </c>
      <c r="J118" s="3313">
        <f t="shared" ref="J118:M122" si="36">I118</f>
        <v>0.70479999999999998</v>
      </c>
      <c r="K118" s="3313">
        <f t="shared" si="36"/>
        <v>0.70479999999999998</v>
      </c>
      <c r="L118" s="3313">
        <f t="shared" si="36"/>
        <v>0.70479999999999998</v>
      </c>
      <c r="M118" s="3336">
        <f t="shared" si="36"/>
        <v>0.70479999999999998</v>
      </c>
      <c r="N118" s="3323"/>
    </row>
    <row r="119" spans="1:14">
      <c r="A119" s="3335" t="s">
        <v>1991</v>
      </c>
      <c r="B119" s="3313">
        <f>ROUND(0.993-0.0112*B116,4)</f>
        <v>0.90349999999999997</v>
      </c>
      <c r="C119" s="3313">
        <f>B119</f>
        <v>0.90349999999999997</v>
      </c>
      <c r="D119" s="3313">
        <f>ROUND(0.9415-0.0142*B116,4)</f>
        <v>0.82799999999999996</v>
      </c>
      <c r="E119" s="3313">
        <f t="shared" ref="E119:H120" si="37">D119</f>
        <v>0.82799999999999996</v>
      </c>
      <c r="F119" s="3313">
        <f t="shared" si="37"/>
        <v>0.82799999999999996</v>
      </c>
      <c r="G119" s="3313">
        <f t="shared" si="37"/>
        <v>0.82799999999999996</v>
      </c>
      <c r="H119" s="3313">
        <f t="shared" si="37"/>
        <v>0.82799999999999996</v>
      </c>
      <c r="I119" s="3313">
        <f>ROUND(0.838-0.0182*B116,4)</f>
        <v>0.69259999999999999</v>
      </c>
      <c r="J119" s="3313">
        <f t="shared" si="36"/>
        <v>0.69259999999999999</v>
      </c>
      <c r="K119" s="3313">
        <f t="shared" si="36"/>
        <v>0.69259999999999999</v>
      </c>
      <c r="L119" s="3313">
        <f t="shared" si="36"/>
        <v>0.69259999999999999</v>
      </c>
      <c r="M119" s="3336">
        <f t="shared" si="36"/>
        <v>0.69259999999999999</v>
      </c>
      <c r="N119" s="3323"/>
    </row>
    <row r="120" spans="1:14">
      <c r="A120" s="3335" t="s">
        <v>3295</v>
      </c>
      <c r="B120" s="3313">
        <f>ROUND(0.9448-0.0115*B116,4)</f>
        <v>0.85289999999999999</v>
      </c>
      <c r="C120" s="3313">
        <f>B120</f>
        <v>0.85289999999999999</v>
      </c>
      <c r="D120" s="3313">
        <f>ROUND(0.937-0.0145*B116,4)</f>
        <v>0.82110000000000005</v>
      </c>
      <c r="E120" s="3313">
        <f t="shared" si="37"/>
        <v>0.82110000000000005</v>
      </c>
      <c r="F120" s="3313">
        <f t="shared" si="37"/>
        <v>0.82110000000000005</v>
      </c>
      <c r="G120" s="3313">
        <f t="shared" si="37"/>
        <v>0.82110000000000005</v>
      </c>
      <c r="H120" s="3313">
        <f t="shared" si="37"/>
        <v>0.82110000000000005</v>
      </c>
      <c r="I120" s="3313">
        <f>ROUND(0.7965-0.0185*B116,4)</f>
        <v>0.64870000000000005</v>
      </c>
      <c r="J120" s="3313">
        <f t="shared" si="36"/>
        <v>0.64870000000000005</v>
      </c>
      <c r="K120" s="3313">
        <f t="shared" si="36"/>
        <v>0.64870000000000005</v>
      </c>
      <c r="L120" s="3313">
        <f t="shared" si="36"/>
        <v>0.64870000000000005</v>
      </c>
      <c r="M120" s="3336">
        <f t="shared" si="36"/>
        <v>0.64870000000000005</v>
      </c>
      <c r="N120" s="3323"/>
    </row>
    <row r="121" spans="1:14" ht="13.5" thickBot="1">
      <c r="A121" s="3337" t="s">
        <v>1993</v>
      </c>
      <c r="B121" s="3338">
        <f>ROUND(0.7836-0.012*B116,4)</f>
        <v>0.68769999999999998</v>
      </c>
      <c r="C121" s="3338">
        <f>B121</f>
        <v>0.68769999999999998</v>
      </c>
      <c r="D121" s="3338">
        <f>ROUND(0.753-0.015*B116,4)</f>
        <v>0.63319999999999999</v>
      </c>
      <c r="E121" s="3338">
        <f>D121</f>
        <v>0.63319999999999999</v>
      </c>
      <c r="F121" s="3338">
        <f>E121</f>
        <v>0.63319999999999999</v>
      </c>
      <c r="G121" s="3338">
        <f>ROUND(0.6612-0.018*B116,4)</f>
        <v>0.51739999999999997</v>
      </c>
      <c r="H121" s="3338">
        <f>G121</f>
        <v>0.51739999999999997</v>
      </c>
      <c r="I121" s="3338">
        <f>ROUND(0.5905-0.019*B116,4)</f>
        <v>0.43869999999999998</v>
      </c>
      <c r="J121" s="3338">
        <f t="shared" si="36"/>
        <v>0.43869999999999998</v>
      </c>
      <c r="K121" s="3338">
        <f t="shared" si="36"/>
        <v>0.43869999999999998</v>
      </c>
      <c r="L121" s="3338">
        <f t="shared" si="36"/>
        <v>0.43869999999999998</v>
      </c>
      <c r="M121" s="3339">
        <f t="shared" si="36"/>
        <v>0.43869999999999998</v>
      </c>
      <c r="N121" s="3323"/>
    </row>
    <row r="122" spans="1:14">
      <c r="A122" s="3340" t="s">
        <v>2599</v>
      </c>
      <c r="B122" s="3313">
        <f>ROUND(0.9404-0.0106*B116,4)</f>
        <v>0.85570000000000002</v>
      </c>
      <c r="C122" s="3313">
        <f>B122</f>
        <v>0.85570000000000002</v>
      </c>
      <c r="D122" s="3313">
        <f>ROUND(0.8955-0.0135*B116,4)</f>
        <v>0.78759999999999997</v>
      </c>
      <c r="E122" s="3313">
        <f t="shared" ref="E122:H122" si="38">D122</f>
        <v>0.78759999999999997</v>
      </c>
      <c r="F122" s="3313">
        <f t="shared" si="38"/>
        <v>0.78759999999999997</v>
      </c>
      <c r="G122" s="3313">
        <f t="shared" si="38"/>
        <v>0.78759999999999997</v>
      </c>
      <c r="H122" s="3313">
        <f t="shared" si="38"/>
        <v>0.78759999999999997</v>
      </c>
      <c r="I122" s="3313">
        <f>ROUND(0.7632-0.0166*B116,4)</f>
        <v>0.63060000000000005</v>
      </c>
      <c r="J122" s="3313">
        <f t="shared" si="36"/>
        <v>0.63060000000000005</v>
      </c>
      <c r="K122" s="3313">
        <f t="shared" si="36"/>
        <v>0.63060000000000005</v>
      </c>
      <c r="L122" s="3313">
        <f t="shared" si="36"/>
        <v>0.63060000000000005</v>
      </c>
      <c r="M122" s="3336">
        <f t="shared" si="36"/>
        <v>0.63060000000000005</v>
      </c>
      <c r="N122" s="332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3" sqref="D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33979.269999999997</v>
      </c>
      <c r="E1" s="1990"/>
      <c r="F1" s="1990"/>
      <c r="G1" s="1990"/>
      <c r="H1" s="1990"/>
      <c r="I1" s="1990"/>
      <c r="J1" s="1990"/>
      <c r="K1" s="1114"/>
      <c r="L1" s="1991" t="s">
        <v>1928</v>
      </c>
      <c r="M1" s="858">
        <f>SUMPRODUCT((区片价!B5:B9=I2)*(区片价!C3:G3=E2)*(区片价!C5:G9))</f>
        <v>34330</v>
      </c>
      <c r="N1" s="861">
        <f>SUMPRODUCT((因素修正幅度!B5:B9=I2)*(因素修正幅度!C3:G3=E2)*(因素修正幅度!C5:G9))</f>
        <v>8.6999999999999994E-2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103862</v>
      </c>
      <c r="C2" s="1994" t="s">
        <v>1935</v>
      </c>
      <c r="D2" s="1995" t="s">
        <v>1936</v>
      </c>
      <c r="E2" s="3347" t="s">
        <v>3774</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286">
        <f>ROUND(SUMPRODUCT((B106:B110=R2)*(C105:N105=G2)*(C106:N110)),4)</f>
        <v>1.5206</v>
      </c>
      <c r="T2" s="3286">
        <f t="shared" ref="T2:T16" si="0">ROUND($C$5*$C$22*$C$23*$C$24*S2*$C$28,0)</f>
        <v>61807</v>
      </c>
      <c r="U2" s="1208"/>
      <c r="V2" s="3286">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30566</v>
      </c>
      <c r="C3" s="1994" t="s">
        <v>1941</v>
      </c>
      <c r="D3" s="1995" t="s">
        <v>1942</v>
      </c>
      <c r="E3" s="3345" t="s">
        <v>3775</v>
      </c>
      <c r="F3" s="1999" t="s">
        <v>3755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286">
        <f>ROUND(SUMPRODUCT((B106:B110=R3)*(C105:N105=G2)*(C106:N110)),4)</f>
        <v>1.2072000000000001</v>
      </c>
      <c r="T3" s="3286">
        <f t="shared" si="0"/>
        <v>49068</v>
      </c>
      <c r="U3" s="1208"/>
      <c r="V3" s="3286">
        <f t="shared" ref="V3:V16" si="1">ROUND(T3*U3/10000,0)</f>
        <v>0</v>
      </c>
      <c r="W3" s="1211"/>
      <c r="X3" s="1211"/>
      <c r="Y3" s="1211"/>
      <c r="Z3" s="1211"/>
      <c r="AA3" s="1211"/>
      <c r="AB3" s="1211"/>
      <c r="AC3" s="1212"/>
      <c r="AD3" s="1213"/>
      <c r="AE3" s="1213"/>
      <c r="AF3" s="1213"/>
      <c r="AG3" s="1213"/>
      <c r="AH3" s="1213"/>
      <c r="AI3" s="1213"/>
      <c r="AJ3" s="1214"/>
    </row>
    <row r="4" spans="1:36" ht="15.75">
      <c r="A4" s="4149"/>
      <c r="B4" s="4150"/>
      <c r="C4" s="4150"/>
      <c r="D4" s="4151"/>
      <c r="E4" s="4151"/>
      <c r="F4" s="4151"/>
      <c r="G4" s="4151"/>
      <c r="H4" s="4151"/>
      <c r="I4" s="4151"/>
      <c r="J4" s="4152"/>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286">
        <f>ROUND(SUMPRODUCT((B106:B110=R4)*(C105:N105=G2)*(C106:N110)),4)</f>
        <v>1.0430999999999999</v>
      </c>
      <c r="T4" s="3286">
        <f t="shared" si="0"/>
        <v>42398</v>
      </c>
      <c r="U4" s="1208"/>
      <c r="V4" s="3286">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37763</v>
      </c>
      <c r="D5" s="1334">
        <f>ROUND(C6*C17+C20,0)</f>
        <v>34330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286">
        <f>ROUND(SUMPRODUCT((B106:B110=R5)*(C105:N105=G2)*(C106:N110)),4)</f>
        <v>0.94389999999999996</v>
      </c>
      <c r="T5" s="3286">
        <f t="shared" si="0"/>
        <v>38366</v>
      </c>
      <c r="U5" s="1208"/>
      <c r="V5" s="3286">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34330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286">
        <f>ROUND(SUMPRODUCT((B106:B110=R6)*(C105:N105=G2)*(C106:N110)),4)</f>
        <v>0.89959999999999996</v>
      </c>
      <c r="T6" s="3286">
        <f t="shared" si="0"/>
        <v>36565</v>
      </c>
      <c r="U6" s="1208"/>
      <c r="V6" s="3286">
        <f t="shared" si="1"/>
        <v>0</v>
      </c>
      <c r="W6" s="1211"/>
      <c r="X6" s="1211"/>
      <c r="Y6" s="1211"/>
      <c r="Z6" s="1211"/>
      <c r="AA6" s="1211"/>
      <c r="AB6" s="1211"/>
      <c r="AC6" s="2006"/>
      <c r="AD6" s="2007"/>
      <c r="AE6" s="2007"/>
      <c r="AF6" s="2007"/>
      <c r="AG6" s="2007"/>
      <c r="AH6" s="2007"/>
      <c r="AI6" s="2007"/>
      <c r="AJ6" s="2008"/>
    </row>
    <row r="7" spans="1:36" ht="24.75" thickBot="1">
      <c r="A7" s="3229" t="s">
        <v>3202</v>
      </c>
      <c r="B7" s="3661"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344"/>
      <c r="T7" s="3286">
        <f t="shared" si="0"/>
        <v>0</v>
      </c>
      <c r="U7" s="1208"/>
      <c r="V7" s="3286">
        <f t="shared" si="1"/>
        <v>0</v>
      </c>
      <c r="W7" s="3668" t="s">
        <v>1955</v>
      </c>
      <c r="X7" s="1209" t="str">
        <f>G2</f>
        <v>一级</v>
      </c>
      <c r="Y7" s="1209" t="s">
        <v>1956</v>
      </c>
      <c r="Z7" s="1210">
        <f>G3</f>
        <v>7.99</v>
      </c>
      <c r="AA7" s="1211"/>
      <c r="AB7" s="1211"/>
      <c r="AC7" s="1212"/>
      <c r="AD7" s="1213"/>
      <c r="AE7" s="1213"/>
      <c r="AF7" s="1213"/>
      <c r="AG7" s="1213"/>
      <c r="AH7" s="1213"/>
      <c r="AI7" s="1213"/>
      <c r="AJ7" s="1214"/>
    </row>
    <row r="8" spans="1:36" ht="25.5">
      <c r="A8" s="3224"/>
      <c r="B8" s="168" t="s">
        <v>1957</v>
      </c>
      <c r="C8" s="2021" t="s">
        <v>3776</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286">
        <f t="shared" si="0"/>
        <v>0</v>
      </c>
      <c r="U8" s="1208"/>
      <c r="V8" s="3286">
        <f t="shared" si="1"/>
        <v>0</v>
      </c>
      <c r="W8" s="4153" t="s">
        <v>1960</v>
      </c>
      <c r="X8" s="4154"/>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24"/>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286">
        <f t="shared" si="0"/>
        <v>0</v>
      </c>
      <c r="U9" s="1208"/>
      <c r="V9" s="3286">
        <f t="shared" si="1"/>
        <v>0</v>
      </c>
      <c r="W9" s="4155"/>
      <c r="X9" s="3287" t="s">
        <v>3233</v>
      </c>
      <c r="Y9" s="3288">
        <v>6</v>
      </c>
      <c r="Z9" s="3289">
        <f>$Y$9</f>
        <v>6</v>
      </c>
      <c r="AA9" s="3289">
        <f t="shared" ref="AA9:AJ9" si="2">$Y$9</f>
        <v>6</v>
      </c>
      <c r="AB9" s="3289">
        <f t="shared" si="2"/>
        <v>6</v>
      </c>
      <c r="AC9" s="3289">
        <f t="shared" si="2"/>
        <v>6</v>
      </c>
      <c r="AD9" s="3289">
        <f t="shared" si="2"/>
        <v>6</v>
      </c>
      <c r="AE9" s="3289">
        <f t="shared" si="2"/>
        <v>6</v>
      </c>
      <c r="AF9" s="3289">
        <f t="shared" si="2"/>
        <v>6</v>
      </c>
      <c r="AG9" s="3289">
        <f t="shared" si="2"/>
        <v>6</v>
      </c>
      <c r="AH9" s="3289">
        <f t="shared" si="2"/>
        <v>6</v>
      </c>
      <c r="AI9" s="3289">
        <f t="shared" si="2"/>
        <v>6</v>
      </c>
      <c r="AJ9" s="3289">
        <f t="shared" si="2"/>
        <v>6</v>
      </c>
    </row>
    <row r="10" spans="1:36" ht="15">
      <c r="A10" s="3224"/>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286">
        <f t="shared" si="0"/>
        <v>0</v>
      </c>
      <c r="U10" s="1208"/>
      <c r="V10" s="3286">
        <f t="shared" si="1"/>
        <v>0</v>
      </c>
      <c r="W10" s="4155"/>
      <c r="X10" s="3287">
        <v>6</v>
      </c>
      <c r="Y10" s="3290">
        <f>ROUND((-0.5556*(Y9^2)-0.2719*Y9+8944)*(10^(-4)),4)</f>
        <v>0.89219999999999999</v>
      </c>
      <c r="Z10" s="3290">
        <f>ROUND((-0.5556*(Z9^2)-0.2719*Z9+8944)*(10^(-4)),4)</f>
        <v>0.89219999999999999</v>
      </c>
      <c r="AA10" s="3290">
        <f>ROUND((-0.7912*(AA9^2)-11.3794*AA9+8482)*(10^(-4)),4)</f>
        <v>0.83850000000000002</v>
      </c>
      <c r="AB10" s="3290">
        <f>ROUND((-0.7912*(AB9^2)-11.3794*AB9+8482)*(10^(-4)),4)</f>
        <v>0.83850000000000002</v>
      </c>
      <c r="AC10" s="3290">
        <f>ROUND((-0.7912*(AC9^2)-11.3794*AC9+8482)*(10^(-4)),4)</f>
        <v>0.83850000000000002</v>
      </c>
      <c r="AD10" s="3290">
        <f>ROUND((-0.7912*(AD9^2)-11.3794*AD9+8482)*(10^(-4)),4)</f>
        <v>0.83850000000000002</v>
      </c>
      <c r="AE10" s="3290">
        <f>ROUND((-0.7912*(AE9^2)-11.3794*AE9+8482)*(10^(-4)),4)</f>
        <v>0.83850000000000002</v>
      </c>
      <c r="AF10" s="3290">
        <f>ROUND((-0.989*(AF9^2)-63.78*AF9+7771)*(10^(-4)),4)</f>
        <v>0.73529999999999995</v>
      </c>
      <c r="AG10" s="3290">
        <f>ROUND((-0.989*(AG9^2)-63.78*AG9+7771)*(10^(-4)),4)</f>
        <v>0.73529999999999995</v>
      </c>
      <c r="AH10" s="3290">
        <f>ROUND((-0.989*(AH9^2)-63.78*AH9+7771)*(10^(-4)),4)</f>
        <v>0.73529999999999995</v>
      </c>
      <c r="AI10" s="3290">
        <f>ROUND((-0.989*(AI9^2)-63.78*AI9+7771)*(10^(-4)),4)</f>
        <v>0.73529999999999995</v>
      </c>
      <c r="AJ10" s="3290">
        <f>ROUND((-0.989*(AJ9^2)-63.78*AJ9+7771)*(10^(-4)),4)</f>
        <v>0.73529999999999995</v>
      </c>
    </row>
    <row r="11" spans="1:36" ht="15.75" thickBot="1">
      <c r="A11" s="3228"/>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286">
        <f t="shared" si="0"/>
        <v>0</v>
      </c>
      <c r="U11" s="1208"/>
      <c r="V11" s="3286">
        <f t="shared" si="1"/>
        <v>0</v>
      </c>
      <c r="W11" s="1211"/>
      <c r="X11" s="1211"/>
      <c r="Y11" s="1211"/>
      <c r="Z11" s="1211"/>
      <c r="AA11" s="1211"/>
      <c r="AB11" s="1211"/>
      <c r="AC11" s="1212"/>
      <c r="AD11" s="2784"/>
      <c r="AE11" s="2784"/>
      <c r="AF11" s="2784"/>
      <c r="AG11" s="2784"/>
      <c r="AH11" s="2784"/>
      <c r="AI11" s="2784"/>
      <c r="AJ11" s="2785"/>
    </row>
    <row r="12" spans="1:36" ht="25.5" thickBot="1">
      <c r="A12" s="3229" t="s">
        <v>3203</v>
      </c>
      <c r="B12" s="3230" t="s">
        <v>3204</v>
      </c>
      <c r="C12" s="3231">
        <v>1</v>
      </c>
      <c r="D12" s="3232" t="s">
        <v>3205</v>
      </c>
      <c r="E12" s="3233" t="s">
        <v>3206</v>
      </c>
      <c r="F12" s="3234"/>
      <c r="G12" s="3235"/>
      <c r="H12" s="3235"/>
      <c r="I12" s="3235"/>
      <c r="J12" s="3236"/>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286">
        <f t="shared" si="0"/>
        <v>0</v>
      </c>
      <c r="U12" s="1208"/>
      <c r="V12" s="3286">
        <f t="shared" si="1"/>
        <v>0</v>
      </c>
      <c r="W12" s="1211"/>
      <c r="X12" s="1211"/>
      <c r="Y12" s="1211"/>
      <c r="Z12" s="1211"/>
      <c r="AA12" s="1211"/>
      <c r="AB12" s="1211"/>
      <c r="AC12" s="1212"/>
      <c r="AD12" s="2784"/>
      <c r="AE12" s="2784"/>
      <c r="AF12" s="2784"/>
      <c r="AG12" s="2784"/>
      <c r="AH12" s="2784"/>
      <c r="AI12" s="2784"/>
      <c r="AJ12" s="2785"/>
    </row>
    <row r="13" spans="1:36" ht="15.75" thickBot="1">
      <c r="A13" s="3229" t="s">
        <v>3207</v>
      </c>
      <c r="B13" s="2029" t="s">
        <v>1982</v>
      </c>
      <c r="C13" s="750">
        <f>ROUND(C16*D16*E16*F16*G16*H16*I16*J16,4)</f>
        <v>1.1000000000000001</v>
      </c>
      <c r="D13" s="2030" t="s">
        <v>1983</v>
      </c>
      <c r="E13" s="2031"/>
      <c r="F13" s="2031"/>
      <c r="G13" s="2032"/>
      <c r="H13" s="2032"/>
      <c r="I13" s="2032"/>
      <c r="J13" s="2033"/>
      <c r="K13" s="1114"/>
      <c r="L13" s="3225"/>
      <c r="M13" s="3226"/>
      <c r="N13" s="3227"/>
      <c r="O13" s="1114"/>
      <c r="P13" s="1114"/>
      <c r="Q13" s="1114"/>
      <c r="R13" s="1207">
        <v>12</v>
      </c>
      <c r="S13" s="1208"/>
      <c r="T13" s="3286">
        <f t="shared" si="0"/>
        <v>0</v>
      </c>
      <c r="U13" s="1208"/>
      <c r="V13" s="3286">
        <f t="shared" si="1"/>
        <v>0</v>
      </c>
      <c r="W13" s="1211"/>
      <c r="X13" s="1211"/>
      <c r="Y13" s="1211"/>
      <c r="Z13" s="1211"/>
      <c r="AA13" s="1211"/>
      <c r="AB13" s="1211"/>
      <c r="AC13" s="1212"/>
      <c r="AD13" s="2784"/>
      <c r="AE13" s="2784"/>
      <c r="AF13" s="2784"/>
      <c r="AG13" s="2784"/>
      <c r="AH13" s="2784"/>
      <c r="AI13" s="2784"/>
      <c r="AJ13" s="2785"/>
    </row>
    <row r="14" spans="1:36" ht="15">
      <c r="A14" s="3223"/>
      <c r="B14" s="3663" t="s">
        <v>1985</v>
      </c>
      <c r="C14" s="2036" t="s">
        <v>1986</v>
      </c>
      <c r="D14" s="1345" t="s">
        <v>1987</v>
      </c>
      <c r="E14" s="25" t="s">
        <v>1988</v>
      </c>
      <c r="F14" s="3237" t="s">
        <v>3208</v>
      </c>
      <c r="G14" s="3237" t="s">
        <v>3208</v>
      </c>
      <c r="H14" s="3237" t="s">
        <v>3208</v>
      </c>
      <c r="I14" s="3237" t="s">
        <v>3208</v>
      </c>
      <c r="J14" s="3237" t="s">
        <v>3208</v>
      </c>
      <c r="K14" s="1114"/>
      <c r="L14" s="1114"/>
      <c r="M14" s="1114"/>
      <c r="N14" s="1114"/>
      <c r="O14" s="1114"/>
      <c r="P14" s="1114"/>
      <c r="Q14" s="1114"/>
      <c r="R14" s="1207">
        <v>13</v>
      </c>
      <c r="S14" s="1208"/>
      <c r="T14" s="3286">
        <f t="shared" si="0"/>
        <v>0</v>
      </c>
      <c r="U14" s="1208"/>
      <c r="V14" s="3286">
        <f t="shared" si="1"/>
        <v>0</v>
      </c>
      <c r="W14" s="1211"/>
      <c r="X14" s="1211"/>
      <c r="Y14" s="1211"/>
      <c r="Z14" s="1211"/>
      <c r="AA14" s="1211"/>
      <c r="AB14" s="1211"/>
      <c r="AC14" s="1212"/>
      <c r="AD14" s="2784"/>
      <c r="AE14" s="2784"/>
      <c r="AF14" s="2784"/>
      <c r="AG14" s="2784"/>
      <c r="AH14" s="2784"/>
      <c r="AI14" s="2784"/>
      <c r="AJ14" s="2785"/>
    </row>
    <row r="15" spans="1:36" ht="15">
      <c r="A15" s="3223"/>
      <c r="B15" s="3664"/>
      <c r="C15" s="2038" t="s">
        <v>3777</v>
      </c>
      <c r="D15" s="2039" t="s">
        <v>3777</v>
      </c>
      <c r="E15" s="2040" t="s">
        <v>3778</v>
      </c>
      <c r="F15" s="3238" t="s">
        <v>3209</v>
      </c>
      <c r="G15" s="3239"/>
      <c r="H15" s="3240"/>
      <c r="I15" s="3241"/>
      <c r="J15" s="3242"/>
      <c r="K15" s="1114"/>
      <c r="L15" s="1114"/>
      <c r="M15" s="1114"/>
      <c r="N15" s="1114"/>
      <c r="O15" s="1114"/>
      <c r="P15" s="1114"/>
      <c r="Q15" s="1114"/>
      <c r="R15" s="1207">
        <v>14</v>
      </c>
      <c r="S15" s="1208"/>
      <c r="T15" s="3286">
        <f t="shared" si="0"/>
        <v>0</v>
      </c>
      <c r="U15" s="1208"/>
      <c r="V15" s="3286">
        <f t="shared" si="1"/>
        <v>0</v>
      </c>
      <c r="W15" s="1211"/>
      <c r="X15" s="1211"/>
      <c r="Y15" s="1211"/>
      <c r="Z15" s="1211"/>
      <c r="AA15" s="1211"/>
      <c r="AB15" s="1211"/>
      <c r="AC15" s="1212"/>
      <c r="AD15" s="2784"/>
      <c r="AE15" s="2784"/>
      <c r="AF15" s="2784"/>
      <c r="AG15" s="2784"/>
      <c r="AH15" s="2784"/>
      <c r="AI15" s="2784"/>
      <c r="AJ15" s="2785"/>
    </row>
    <row r="16" spans="1:36" ht="15.75" thickBot="1">
      <c r="A16" s="3223"/>
      <c r="B16" s="3245" t="s">
        <v>1989</v>
      </c>
      <c r="C16" s="3243">
        <v>1</v>
      </c>
      <c r="D16" s="3243">
        <v>1</v>
      </c>
      <c r="E16" s="3243">
        <v>1.1000000000000001</v>
      </c>
      <c r="F16" s="3243">
        <v>1</v>
      </c>
      <c r="G16" s="3243">
        <v>1</v>
      </c>
      <c r="H16" s="3243">
        <v>1</v>
      </c>
      <c r="I16" s="3243">
        <v>1</v>
      </c>
      <c r="J16" s="3244">
        <v>1</v>
      </c>
      <c r="K16" s="1114"/>
      <c r="L16" s="1992"/>
      <c r="M16" s="1992"/>
      <c r="N16" s="1992"/>
      <c r="O16" s="1992"/>
      <c r="P16" s="1992"/>
      <c r="Q16" s="1114"/>
      <c r="R16" s="1207">
        <v>15</v>
      </c>
      <c r="S16" s="1208"/>
      <c r="T16" s="3286">
        <f t="shared" si="0"/>
        <v>0</v>
      </c>
      <c r="U16" s="1208"/>
      <c r="V16" s="3286">
        <f t="shared" si="1"/>
        <v>0</v>
      </c>
      <c r="W16" s="1211"/>
      <c r="X16" s="1211"/>
      <c r="Y16" s="1211"/>
      <c r="Z16" s="1211"/>
      <c r="AA16" s="1211"/>
      <c r="AB16" s="1211"/>
      <c r="AC16" s="1212"/>
      <c r="AD16" s="2784"/>
      <c r="AE16" s="2784"/>
      <c r="AF16" s="2784"/>
      <c r="AG16" s="2784"/>
      <c r="AH16" s="2784"/>
      <c r="AI16" s="2784"/>
      <c r="AJ16" s="2785"/>
    </row>
    <row r="17" spans="1:37">
      <c r="A17" s="3255" t="s">
        <v>3210</v>
      </c>
      <c r="B17" s="3246" t="s">
        <v>3211</v>
      </c>
      <c r="C17" s="3256">
        <f>ROUND(IF(OR(E2="工业",E2="公共服务"),1,IF(AND(E18=0,E19=0),1,IF(AND(E18=J24,E19=G19),0.8,IF(E19=0,1+E17*(-0.2),1+E17*G17*(-0.2))))),4)</f>
        <v>1</v>
      </c>
      <c r="D17" s="3247" t="s">
        <v>3212</v>
      </c>
      <c r="E17" s="3256">
        <f>ROUND(G18/I18,2)</f>
        <v>0</v>
      </c>
      <c r="F17" s="3247" t="s">
        <v>3215</v>
      </c>
      <c r="G17" s="3256" t="e">
        <f>ROUND(E19/G19,2)</f>
        <v>#DIV/0!</v>
      </c>
      <c r="H17" s="3256"/>
      <c r="I17" s="3256"/>
      <c r="J17" s="325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258"/>
      <c r="B18" s="3662"/>
      <c r="C18" s="3253"/>
      <c r="D18" s="3248" t="s">
        <v>3213</v>
      </c>
      <c r="E18" s="3254"/>
      <c r="F18" s="3249" t="s">
        <v>3216</v>
      </c>
      <c r="G18" s="3253">
        <f>ROUND(1-(1/(POWER(1+G24,E18))),4)</f>
        <v>0</v>
      </c>
      <c r="H18" s="3249" t="s">
        <v>3218</v>
      </c>
      <c r="I18" s="3253">
        <f>ROUND(1-(1/(POWER(1+G24,J24))),4)</f>
        <v>0.96709999999999996</v>
      </c>
      <c r="J18" s="325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260"/>
      <c r="B19" s="3261"/>
      <c r="C19" s="3262"/>
      <c r="D19" s="3262" t="s">
        <v>3214</v>
      </c>
      <c r="E19" s="3263"/>
      <c r="F19" s="3264" t="s">
        <v>3217</v>
      </c>
      <c r="G19" s="3263"/>
      <c r="H19" s="3262"/>
      <c r="I19" s="3262"/>
      <c r="J19" s="326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56" t="s">
        <v>3219</v>
      </c>
      <c r="B20" s="165" t="s">
        <v>1994</v>
      </c>
      <c r="C20" s="3250">
        <f>ROUND(IF(F21="与级别开发程度一致",0,(G21-E21)/C21),0)</f>
        <v>0</v>
      </c>
      <c r="D20" s="3266" t="s">
        <v>1998</v>
      </c>
      <c r="E20" s="3267"/>
      <c r="F20" s="4158" t="s">
        <v>1995</v>
      </c>
      <c r="G20" s="4159"/>
      <c r="H20" s="3251" t="s">
        <v>3896</v>
      </c>
      <c r="I20" s="3251" t="s">
        <v>3897</v>
      </c>
      <c r="J20" s="3252" t="s">
        <v>3898</v>
      </c>
      <c r="K20" s="2042" t="s">
        <v>3899</v>
      </c>
      <c r="L20" s="2042" t="s">
        <v>3900</v>
      </c>
      <c r="M20" s="2042" t="s">
        <v>3901</v>
      </c>
      <c r="N20" s="2042" t="s">
        <v>3902</v>
      </c>
      <c r="O20" s="2043" t="s">
        <v>3903</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57"/>
      <c r="B21" s="2159" t="s">
        <v>1997</v>
      </c>
      <c r="C21" s="2160">
        <f>IF(E3="M4科研用地",SUMPRODUCT((修正!A2:A7=E3)*(修正!B1:M1=G2)*(修正!B2:M7)),SUMPRODUCT((修正!A2:A7=E2)*(修正!B1:M1=G2)*(修正!B2:M7)))</f>
        <v>2.5</v>
      </c>
      <c r="D21" s="185" t="str">
        <f>IF(OR(G2="八级",G2="九级",G2="十级",G2="十一级",G2="十二级"),"五通一平","七通一平")</f>
        <v>七通一平</v>
      </c>
      <c r="E21" s="2150">
        <f>SUMPRODUCT((修正!B1:M1=G2)*(修正!B17:M17))</f>
        <v>375</v>
      </c>
      <c r="F21" s="2151" t="s">
        <v>3757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1.0859000000000001</v>
      </c>
      <c r="D23" s="2049" t="s">
        <v>2002</v>
      </c>
      <c r="E23" s="756">
        <v>44197</v>
      </c>
      <c r="F23" s="2049" t="s">
        <v>2003</v>
      </c>
      <c r="G23" s="757">
        <f>'数据-取费表'!B2</f>
        <v>45226</v>
      </c>
      <c r="H23" s="3268" t="s">
        <v>3221</v>
      </c>
      <c r="I23" s="3269" t="str">
        <f>IF(H23="季度增幅（自定义）",SUMIF(N25:N28,E2,O25:O28),"")</f>
        <v/>
      </c>
      <c r="J23" s="3371" t="s">
        <v>3220</v>
      </c>
      <c r="K23" s="1120"/>
      <c r="L23" s="2050" t="s">
        <v>2004</v>
      </c>
      <c r="M23" s="1323">
        <f>ROUND(SUMIF(地价!B2:G2,E2,地价!B16:G16),0)</f>
        <v>687</v>
      </c>
      <c r="N23" s="2051" t="s">
        <v>2005</v>
      </c>
      <c r="O23" s="758">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0.94679999999999997</v>
      </c>
      <c r="D24" s="2055" t="s">
        <v>2007</v>
      </c>
      <c r="E24" s="1330">
        <f>存贷款利率!E24/100</f>
        <v>4.3499999999999997E-2</v>
      </c>
      <c r="F24" s="2055" t="s">
        <v>1999</v>
      </c>
      <c r="G24" s="763">
        <f>SUMIF(M30:Q30,E2,M33:Q33)</f>
        <v>0.05</v>
      </c>
      <c r="H24" s="2055" t="s">
        <v>2008</v>
      </c>
      <c r="I24" s="764">
        <f>SUMIF('数据-取费表'!C6:C15,E2,'数据-取费表'!F6:F15)/COUNTIF('数据-取费表'!C6:C15,E2)</f>
        <v>50.7</v>
      </c>
      <c r="J24" s="765">
        <f>IF(E2="住宅",70,IF(E2="商业",40,50))</f>
        <v>70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3300</v>
      </c>
      <c r="C25" s="3666">
        <f>IF(B25="容积率修正",IF(G3&lt;10,D26,J26),C27)</f>
        <v>0.85640000000000005</v>
      </c>
      <c r="D25" s="2062"/>
      <c r="E25" s="2062"/>
      <c r="F25" s="2062"/>
      <c r="G25" s="2062"/>
      <c r="H25" s="2062"/>
      <c r="I25" s="2062"/>
      <c r="J25" s="2063"/>
      <c r="K25" s="1120"/>
      <c r="L25" s="2783"/>
      <c r="M25" s="2783"/>
      <c r="N25" s="2064" t="s">
        <v>2013</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270" t="s">
        <v>3222</v>
      </c>
      <c r="D26" s="3665">
        <f>IF(E26=G26,F26,IF(G3&lt;10,ROUND(F26+(H26-F26)*(G3-E26)/(G26-E26),4),"——"))</f>
        <v>0.85640000000000005</v>
      </c>
      <c r="E26" s="747">
        <f>ROUNDDOWN(G3,1)</f>
        <v>7.9</v>
      </c>
      <c r="F26" s="3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0.85770000000000002</v>
      </c>
      <c r="G26" s="747">
        <f>ROUNDUP(G3,1)</f>
        <v>8</v>
      </c>
      <c r="H26" s="3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0.85619999999999996</v>
      </c>
      <c r="I26" s="3270" t="s">
        <v>3223</v>
      </c>
      <c r="J26" s="767" t="str">
        <f>IF(G3&gt;=10,D115,"——")</f>
        <v>——</v>
      </c>
      <c r="K26" s="1120"/>
      <c r="L26" s="2783"/>
      <c r="M26" s="2783"/>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1.0468999999999999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103862</v>
      </c>
      <c r="D30" s="2078"/>
      <c r="E30" s="2041"/>
      <c r="F30" s="2079"/>
      <c r="G30" s="2041"/>
      <c r="H30" s="2041"/>
      <c r="I30" s="2041"/>
      <c r="J30" s="2080"/>
      <c r="K30" s="1114"/>
      <c r="L30" s="3276" t="s">
        <v>1936</v>
      </c>
      <c r="M30" s="3277" t="s">
        <v>1990</v>
      </c>
      <c r="N30" s="3277" t="s">
        <v>1991</v>
      </c>
      <c r="O30" s="3277" t="s">
        <v>1992</v>
      </c>
      <c r="P30" s="3277" t="s">
        <v>1993</v>
      </c>
      <c r="Q30" s="3280" t="s">
        <v>3227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666</v>
      </c>
      <c r="D31" s="2082"/>
      <c r="E31" s="2083"/>
      <c r="F31" s="2084"/>
      <c r="G31" s="2083"/>
      <c r="H31" s="2083"/>
      <c r="I31" s="2083"/>
      <c r="J31" s="2085"/>
      <c r="K31" s="1114"/>
      <c r="L31" s="3278" t="s">
        <v>1996</v>
      </c>
      <c r="M31" s="1995">
        <v>0.25</v>
      </c>
      <c r="N31" s="1995">
        <v>0.2</v>
      </c>
      <c r="O31" s="1995">
        <v>0.15</v>
      </c>
      <c r="P31" s="1995">
        <v>0.1</v>
      </c>
      <c r="Q31" s="327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279" t="s">
        <v>1999</v>
      </c>
      <c r="M32" s="2565">
        <f>ROUND($E$24*(1+M31),3)</f>
        <v>5.3999999999999999E-2</v>
      </c>
      <c r="N32" s="2565">
        <f>ROUND($E$24*(1+N31),3)</f>
        <v>5.1999999999999998E-2</v>
      </c>
      <c r="O32" s="2565">
        <f>ROUND($E$24*(1+O31),3)</f>
        <v>0.05</v>
      </c>
      <c r="P32" s="2565">
        <f>ROUND($E$24*(1+P31),3)</f>
        <v>4.8000000000000001E-2</v>
      </c>
      <c r="Q32" s="328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34809</v>
      </c>
      <c r="D33" s="2093">
        <f>区域分配表!S38</f>
        <v>29071.829999999998</v>
      </c>
      <c r="E33" s="768">
        <f>ROUND(C33*D33/10000,0)</f>
        <v>101196</v>
      </c>
      <c r="F33" s="3271" t="s">
        <v>3225</v>
      </c>
      <c r="G33" s="2094"/>
      <c r="H33" s="2094"/>
      <c r="I33" s="2094"/>
      <c r="J33" s="2095"/>
      <c r="K33" s="1114"/>
      <c r="L33" s="3274" t="s">
        <v>3228</v>
      </c>
      <c r="M33" s="3275">
        <v>5.5E-2</v>
      </c>
      <c r="N33" s="3275">
        <v>5.5E-2</v>
      </c>
      <c r="O33" s="3275">
        <v>0.05</v>
      </c>
      <c r="P33" s="3275">
        <v>0.05</v>
      </c>
      <c r="Q33" s="327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8702</v>
      </c>
      <c r="D34" s="2098"/>
      <c r="E34" s="768">
        <f>ROUND(IF(B25="楼层修正",SUM(V2:V16)*M40,C34*D34/10000),0)</f>
        <v>0</v>
      </c>
      <c r="F34" s="2099" t="s">
        <v>2032</v>
      </c>
      <c r="G34" s="2100"/>
      <c r="H34" s="2100"/>
      <c r="I34" s="2100"/>
      <c r="J34" s="2101"/>
      <c r="K34" s="1114"/>
      <c r="L34" s="3274" t="s">
        <v>3229</v>
      </c>
      <c r="M34" s="3275">
        <v>6.5000000000000002E-2</v>
      </c>
      <c r="N34" s="3275">
        <v>6.5000000000000002E-2</v>
      </c>
      <c r="O34" s="3275">
        <v>0.06</v>
      </c>
      <c r="P34" s="3275">
        <v>0.06</v>
      </c>
      <c r="Q34" s="327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272" t="s">
        <v>3226</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282" t="s">
        <v>3230</v>
      </c>
      <c r="L36" s="3372">
        <f ca="1">'数据-取费表'!B40</f>
        <v>3.4500000000000003E-2</v>
      </c>
      <c r="M36" s="3283">
        <f ca="1">ROUND($L$36*(1+M31),3)</f>
        <v>4.2999999999999997E-2</v>
      </c>
      <c r="N36" s="3283">
        <f ca="1">ROUND($L$36*(1+N31),3)</f>
        <v>4.1000000000000002E-2</v>
      </c>
      <c r="O36" s="3283">
        <f ca="1">ROUND($L$36*(1+O31),3)</f>
        <v>0.04</v>
      </c>
      <c r="P36" s="3283">
        <f ca="1">ROUND($L$36*(1+P31),3)</f>
        <v>3.7999999999999999E-2</v>
      </c>
      <c r="Q36" s="328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47"/>
      <c r="B37" s="2108" t="s">
        <v>2036</v>
      </c>
      <c r="C37" s="173">
        <f>ROUND(D5*C22*C23*C24*C28*F37,0)</f>
        <v>25866</v>
      </c>
      <c r="D37" s="2093"/>
      <c r="E37" s="169">
        <f>ROUND(C37*D37/10000,0)</f>
        <v>0</v>
      </c>
      <c r="F37" s="169">
        <f>SUMIF(修正!A57:A68,G2,修正!B57:B68)</f>
        <v>0.7</v>
      </c>
      <c r="G37" s="169">
        <f>ROUND(IF(E2="工业",C37*$M$42,C37*$M$41),0)</f>
        <v>6467</v>
      </c>
      <c r="H37" s="169">
        <f>D37</f>
        <v>0</v>
      </c>
      <c r="I37" s="169">
        <f>ROUND(G37*H37/10000,0)</f>
        <v>0</v>
      </c>
      <c r="J37" s="3003"/>
      <c r="K37" s="3284" t="s">
        <v>3231</v>
      </c>
      <c r="L37" s="3282">
        <f ca="1">L36+K38</f>
        <v>3.95E-2</v>
      </c>
      <c r="M37" s="3283">
        <f ca="1">ROUND($L$37*(1+M31),3)</f>
        <v>4.9000000000000002E-2</v>
      </c>
      <c r="N37" s="3283">
        <f t="shared" ref="N37:Q37" ca="1" si="3">ROUND($L$37*(1+N31),3)</f>
        <v>4.7E-2</v>
      </c>
      <c r="O37" s="3283">
        <f t="shared" ca="1" si="3"/>
        <v>4.4999999999999998E-2</v>
      </c>
      <c r="P37" s="3283">
        <f t="shared" ca="1" si="3"/>
        <v>4.2999999999999997E-2</v>
      </c>
      <c r="Q37" s="3283">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48"/>
      <c r="B38" s="2036" t="s">
        <v>2037</v>
      </c>
      <c r="C38" s="173">
        <f>ROUND(D5*C22*C23*C24*C28*F38,0)</f>
        <v>14780</v>
      </c>
      <c r="D38" s="2093"/>
      <c r="E38" s="169">
        <f t="shared" ref="E38:E42" si="4">ROUND(C38*D38/10000,0)</f>
        <v>0</v>
      </c>
      <c r="F38" s="169">
        <f>SUMIF(修正!A57:A68,G2,修正!C57:C68)</f>
        <v>0.4</v>
      </c>
      <c r="G38" s="169">
        <f>ROUND(IF(E2="工业",C38*$M$42,C38*$M$41),0)</f>
        <v>3695</v>
      </c>
      <c r="H38" s="169">
        <f t="shared" ref="H38:H42" si="5">D38</f>
        <v>0</v>
      </c>
      <c r="I38" s="169">
        <f t="shared" ref="I38:I42" si="6">ROUND(G38*H38/10000,0)</f>
        <v>0</v>
      </c>
      <c r="J38" s="3671"/>
      <c r="K38" s="3282">
        <v>5.0000000000000001E-3</v>
      </c>
      <c r="L38" s="3282"/>
      <c r="M38" s="3282"/>
      <c r="N38" s="3282"/>
      <c r="O38" s="3282"/>
      <c r="P38" s="3282"/>
      <c r="Q38" s="3282"/>
      <c r="R38" s="1114"/>
      <c r="S38" s="1114"/>
      <c r="T38" s="1114"/>
      <c r="U38" s="1114"/>
      <c r="V38" s="1114"/>
      <c r="W38" s="1114"/>
      <c r="X38" s="1114"/>
      <c r="Y38" s="1114"/>
      <c r="Z38" s="1115"/>
      <c r="AA38" s="1115"/>
      <c r="AB38" s="1115"/>
      <c r="AC38" s="1115"/>
      <c r="AD38" s="1115"/>
    </row>
    <row r="39" spans="1:37" ht="13.5" thickBot="1">
      <c r="A39" s="4148"/>
      <c r="B39" s="2036" t="s">
        <v>3224</v>
      </c>
      <c r="C39" s="173">
        <f>ROUND(D5*C22*C23*C24*C28*F39,0)</f>
        <v>11085</v>
      </c>
      <c r="D39" s="2093"/>
      <c r="E39" s="169">
        <f t="shared" si="4"/>
        <v>0</v>
      </c>
      <c r="F39" s="169">
        <f>SUMIF(修正!A57:A68,G2,修正!D57:D68)</f>
        <v>0.3</v>
      </c>
      <c r="G39" s="169">
        <f>ROUND(IF(E2="工业",C39*$M$42,C39*$M$41),0)</f>
        <v>2771</v>
      </c>
      <c r="H39" s="169">
        <f t="shared" si="5"/>
        <v>0</v>
      </c>
      <c r="I39" s="169">
        <f t="shared" si="6"/>
        <v>0</v>
      </c>
      <c r="J39" s="3671"/>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11085</v>
      </c>
      <c r="D40" s="2093"/>
      <c r="E40" s="169">
        <f t="shared" si="4"/>
        <v>0</v>
      </c>
      <c r="F40" s="173">
        <f>SUMIF(修正!A57:A68,G2,修正!E57:E68)</f>
        <v>0.3</v>
      </c>
      <c r="G40" s="169">
        <f>ROUND(IF(E2="工业",C40*$M$42,C40*$M$41),0)</f>
        <v>2771</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8150</v>
      </c>
      <c r="D41" s="2093"/>
      <c r="E41" s="169">
        <f t="shared" si="4"/>
        <v>0</v>
      </c>
      <c r="F41" s="173">
        <f>SUMIF(修正!A57:A68,G2,修正!F57:F68)</f>
        <v>0.3</v>
      </c>
      <c r="G41" s="169">
        <f>ROUND(IF(E2="工业",C41*$M$42,C41*$M$41),0)</f>
        <v>2038</v>
      </c>
      <c r="H41" s="169">
        <f t="shared" si="5"/>
        <v>0</v>
      </c>
      <c r="I41" s="169">
        <f t="shared" si="6"/>
        <v>0</v>
      </c>
      <c r="J41" s="2109"/>
      <c r="L41" s="3285" t="s">
        <v>3232</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5433</v>
      </c>
      <c r="D42" s="2098">
        <f>区域分配表!T36</f>
        <v>4907.4399999999996</v>
      </c>
      <c r="E42" s="185">
        <f t="shared" si="4"/>
        <v>2666</v>
      </c>
      <c r="F42" s="762">
        <f>SUMIF(修正!A57:A68,G2,修正!G57:G68)</f>
        <v>0.2</v>
      </c>
      <c r="G42" s="185">
        <f>ROUND(IF(E2="工业",C42*$M$42,C42*$M$41),0)</f>
        <v>1358</v>
      </c>
      <c r="H42" s="185">
        <f t="shared" si="5"/>
        <v>4907.4399999999996</v>
      </c>
      <c r="I42" s="185">
        <f t="shared" si="6"/>
        <v>666</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0.69610000000000005</v>
      </c>
      <c r="D44" s="169" t="s">
        <v>1999</v>
      </c>
      <c r="E44" s="2148">
        <f>G24</f>
        <v>0.05</v>
      </c>
      <c r="F44" s="169" t="s">
        <v>2008</v>
      </c>
      <c r="G44" s="181">
        <f>项目基本情况!D15</f>
        <v>20.68</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t="e">
        <f>1+E50</f>
        <v>#VALUE!</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3758</v>
      </c>
      <c r="D50" s="1060" t="e">
        <f t="shared" ref="D50:D58" si="7">SUMIF($J$49:$N$49,C50,J50:N50)</f>
        <v>#VALUE!</v>
      </c>
      <c r="E50" s="739" t="e">
        <f>ROUND(SUM(D50:D58),4)</f>
        <v>#VALUE!</v>
      </c>
      <c r="F50" s="1809" t="str">
        <f>IF(E2="商业",SUMIF(L1:L12,G2,N1:N12),"——")</f>
        <v>——</v>
      </c>
      <c r="G50" s="1058" t="str">
        <f>H50</f>
        <v>——</v>
      </c>
      <c r="H50" s="1061" t="str">
        <f t="shared" ref="H50:H58" si="8">IFERROR(ROUNDDOWN($F$50*I50/2,4),"——")</f>
        <v>——</v>
      </c>
      <c r="I50" s="3292">
        <v>0.3</v>
      </c>
      <c r="J50" s="1059" t="e">
        <f t="shared" ref="J50:J58" si="9">K50+$G50</f>
        <v>#VALUE!</v>
      </c>
      <c r="K50" s="1059" t="e">
        <f t="shared" ref="K50:K58" si="10">$L50+$G50</f>
        <v>#VALUE!</v>
      </c>
      <c r="L50" s="1059">
        <v>0</v>
      </c>
      <c r="M50" s="1059" t="e">
        <f t="shared" ref="M50:N58" si="11">L50-$G50</f>
        <v>#VALUE!</v>
      </c>
      <c r="N50" s="1059" t="e">
        <f t="shared" si="11"/>
        <v>#VALUE!</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3759</v>
      </c>
      <c r="D51" s="1060" t="e">
        <f t="shared" si="7"/>
        <v>#VALUE!</v>
      </c>
      <c r="E51" s="740"/>
      <c r="F51" s="1809"/>
      <c r="G51" s="1058" t="str">
        <f t="shared" ref="G51:G58" si="12">H51</f>
        <v>——</v>
      </c>
      <c r="H51" s="1061" t="str">
        <f t="shared" si="8"/>
        <v>——</v>
      </c>
      <c r="I51" s="3292">
        <v>0.22</v>
      </c>
      <c r="J51" s="1059" t="e">
        <f t="shared" si="9"/>
        <v>#VALUE!</v>
      </c>
      <c r="K51" s="1059" t="e">
        <f t="shared" si="10"/>
        <v>#VALUE!</v>
      </c>
      <c r="L51" s="1059">
        <v>0</v>
      </c>
      <c r="M51" s="1059" t="e">
        <f t="shared" si="11"/>
        <v>#VALUE!</v>
      </c>
      <c r="N51" s="1059" t="e">
        <f t="shared" si="11"/>
        <v>#VALUE!</v>
      </c>
      <c r="AA51" s="1115"/>
      <c r="AB51" s="1115"/>
      <c r="AC51" s="1115"/>
      <c r="AD51" s="1115"/>
      <c r="AE51" s="1115"/>
      <c r="AF51" s="1115"/>
      <c r="AG51" s="1115"/>
      <c r="AH51" s="1115"/>
      <c r="AI51" s="1115"/>
      <c r="AJ51" s="1115"/>
      <c r="AK51" s="1115"/>
    </row>
    <row r="52" spans="1:37" s="1114" customFormat="1" ht="36">
      <c r="A52" s="3294" t="s">
        <v>3234</v>
      </c>
      <c r="B52" s="2129">
        <f>估价对象房地状况!C19</f>
        <v>0</v>
      </c>
      <c r="C52" s="2039" t="s">
        <v>3759</v>
      </c>
      <c r="D52" s="1060" t="e">
        <f t="shared" si="7"/>
        <v>#VALUE!</v>
      </c>
      <c r="E52" s="740"/>
      <c r="F52" s="1809"/>
      <c r="G52" s="1058" t="str">
        <f t="shared" si="12"/>
        <v>——</v>
      </c>
      <c r="H52" s="1061" t="str">
        <f t="shared" si="8"/>
        <v>——</v>
      </c>
      <c r="I52" s="3292">
        <v>0.12</v>
      </c>
      <c r="J52" s="1059" t="e">
        <f t="shared" si="9"/>
        <v>#VALUE!</v>
      </c>
      <c r="K52" s="1059" t="e">
        <f t="shared" si="10"/>
        <v>#VALUE!</v>
      </c>
      <c r="L52" s="1059">
        <v>0</v>
      </c>
      <c r="M52" s="1059" t="e">
        <f t="shared" si="11"/>
        <v>#VALUE!</v>
      </c>
      <c r="N52" s="1059" t="e">
        <f t="shared" si="11"/>
        <v>#VALUE!</v>
      </c>
      <c r="AA52" s="1115"/>
      <c r="AB52" s="1115"/>
      <c r="AC52" s="1115"/>
      <c r="AD52" s="1115"/>
      <c r="AE52" s="1115"/>
      <c r="AF52" s="1115"/>
      <c r="AG52" s="1115"/>
      <c r="AH52" s="1115"/>
      <c r="AI52" s="1115"/>
      <c r="AJ52" s="1115"/>
      <c r="AK52" s="1115"/>
    </row>
    <row r="53" spans="1:37" s="1114" customFormat="1" ht="36.75">
      <c r="A53" s="2125" t="s">
        <v>2054</v>
      </c>
      <c r="B53" s="2130" t="s">
        <v>2055</v>
      </c>
      <c r="C53" s="2039" t="s">
        <v>3759</v>
      </c>
      <c r="D53" s="1060" t="e">
        <f t="shared" si="7"/>
        <v>#VALUE!</v>
      </c>
      <c r="E53" s="740"/>
      <c r="F53" s="1809"/>
      <c r="G53" s="1058" t="str">
        <f t="shared" si="12"/>
        <v>——</v>
      </c>
      <c r="H53" s="1061" t="str">
        <f t="shared" si="8"/>
        <v>——</v>
      </c>
      <c r="I53" s="3292">
        <v>0.05</v>
      </c>
      <c r="J53" s="1059" t="e">
        <f t="shared" si="9"/>
        <v>#VALUE!</v>
      </c>
      <c r="K53" s="1059" t="e">
        <f t="shared" si="10"/>
        <v>#VALUE!</v>
      </c>
      <c r="L53" s="1059">
        <v>0</v>
      </c>
      <c r="M53" s="1059" t="e">
        <f t="shared" si="11"/>
        <v>#VALUE!</v>
      </c>
      <c r="N53" s="1059" t="e">
        <f t="shared" si="11"/>
        <v>#VALUE!</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3779</v>
      </c>
      <c r="D54" s="1060">
        <f t="shared" si="7"/>
        <v>0</v>
      </c>
      <c r="E54" s="740"/>
      <c r="F54" s="1809"/>
      <c r="G54" s="1058" t="str">
        <f t="shared" si="12"/>
        <v>——</v>
      </c>
      <c r="H54" s="1061" t="str">
        <f t="shared" si="8"/>
        <v>——</v>
      </c>
      <c r="I54" s="3292">
        <v>0.08</v>
      </c>
      <c r="J54" s="1059" t="e">
        <f t="shared" si="9"/>
        <v>#VALUE!</v>
      </c>
      <c r="K54" s="1059" t="e">
        <f t="shared" si="10"/>
        <v>#VALUE!</v>
      </c>
      <c r="L54" s="1059">
        <v>0</v>
      </c>
      <c r="M54" s="1059" t="e">
        <f t="shared" si="11"/>
        <v>#VALUE!</v>
      </c>
      <c r="N54" s="1059" t="e">
        <f t="shared" si="11"/>
        <v>#VALUE!</v>
      </c>
      <c r="AA54" s="1115"/>
      <c r="AB54" s="1115"/>
      <c r="AC54" s="1115"/>
      <c r="AD54" s="1115"/>
      <c r="AE54" s="1115"/>
      <c r="AF54" s="1115"/>
      <c r="AG54" s="1115"/>
      <c r="AH54" s="1115"/>
      <c r="AI54" s="1115"/>
      <c r="AJ54" s="1115"/>
      <c r="AK54" s="1115"/>
    </row>
    <row r="55" spans="1:37" s="1114" customFormat="1" ht="24">
      <c r="A55" s="2125" t="s">
        <v>2057</v>
      </c>
      <c r="B55" s="2131" t="s">
        <v>2058</v>
      </c>
      <c r="C55" s="2039" t="s">
        <v>3759</v>
      </c>
      <c r="D55" s="1060" t="e">
        <f t="shared" si="7"/>
        <v>#VALUE!</v>
      </c>
      <c r="E55" s="740"/>
      <c r="F55" s="1809"/>
      <c r="G55" s="1058" t="str">
        <f t="shared" si="12"/>
        <v>——</v>
      </c>
      <c r="H55" s="1061" t="str">
        <f t="shared" si="8"/>
        <v>——</v>
      </c>
      <c r="I55" s="3292">
        <v>0.05</v>
      </c>
      <c r="J55" s="1059" t="e">
        <f t="shared" si="9"/>
        <v>#VALUE!</v>
      </c>
      <c r="K55" s="1059" t="e">
        <f t="shared" si="10"/>
        <v>#VALUE!</v>
      </c>
      <c r="L55" s="1059">
        <v>0</v>
      </c>
      <c r="M55" s="1059" t="e">
        <f t="shared" si="11"/>
        <v>#VALUE!</v>
      </c>
      <c r="N55" s="1059" t="e">
        <f t="shared" si="11"/>
        <v>#VALUE!</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3758</v>
      </c>
      <c r="D56" s="1060" t="e">
        <f t="shared" si="7"/>
        <v>#VALUE!</v>
      </c>
      <c r="E56" s="740"/>
      <c r="F56" s="1809"/>
      <c r="G56" s="1058" t="str">
        <f t="shared" si="12"/>
        <v>——</v>
      </c>
      <c r="H56" s="1061" t="str">
        <f t="shared" si="8"/>
        <v>——</v>
      </c>
      <c r="I56" s="3292">
        <v>0.05</v>
      </c>
      <c r="J56" s="1059" t="e">
        <f t="shared" si="9"/>
        <v>#VALUE!</v>
      </c>
      <c r="K56" s="1059" t="e">
        <f t="shared" si="10"/>
        <v>#VALUE!</v>
      </c>
      <c r="L56" s="1059">
        <v>0</v>
      </c>
      <c r="M56" s="1059" t="e">
        <f t="shared" si="11"/>
        <v>#VALUE!</v>
      </c>
      <c r="N56" s="1059" t="e">
        <f t="shared" si="11"/>
        <v>#VALUE!</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3758</v>
      </c>
      <c r="D57" s="1060" t="e">
        <f t="shared" si="7"/>
        <v>#VALUE!</v>
      </c>
      <c r="E57" s="740"/>
      <c r="F57" s="1809"/>
      <c r="G57" s="1058" t="str">
        <f t="shared" si="12"/>
        <v>——</v>
      </c>
      <c r="H57" s="1061" t="str">
        <f t="shared" si="8"/>
        <v>——</v>
      </c>
      <c r="I57" s="3292">
        <v>0.08</v>
      </c>
      <c r="J57" s="1059" t="e">
        <f t="shared" si="9"/>
        <v>#VALUE!</v>
      </c>
      <c r="K57" s="1059" t="e">
        <f t="shared" si="10"/>
        <v>#VALUE!</v>
      </c>
      <c r="L57" s="1059">
        <v>0</v>
      </c>
      <c r="M57" s="1059" t="e">
        <f t="shared" si="11"/>
        <v>#VALUE!</v>
      </c>
      <c r="N57" s="1059" t="e">
        <f t="shared" si="11"/>
        <v>#VALUE!</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3758</v>
      </c>
      <c r="D58" s="1060" t="e">
        <f t="shared" si="7"/>
        <v>#VALUE!</v>
      </c>
      <c r="E58" s="741"/>
      <c r="F58" s="1809"/>
      <c r="G58" s="1058" t="str">
        <f t="shared" si="12"/>
        <v>——</v>
      </c>
      <c r="H58" s="1061" t="str">
        <f t="shared" si="8"/>
        <v>——</v>
      </c>
      <c r="I58" s="3293">
        <v>0.05</v>
      </c>
      <c r="J58" s="1059" t="e">
        <f t="shared" si="9"/>
        <v>#VALUE!</v>
      </c>
      <c r="K58" s="1059" t="e">
        <f t="shared" si="10"/>
        <v>#VALUE!</v>
      </c>
      <c r="L58" s="1059">
        <v>0</v>
      </c>
      <c r="M58" s="1059" t="e">
        <f t="shared" si="11"/>
        <v>#VALUE!</v>
      </c>
      <c r="N58" s="1059" t="e">
        <f t="shared" si="11"/>
        <v>#VALUE!</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292">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292">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294" t="s">
        <v>3234</v>
      </c>
      <c r="B63" s="2129">
        <f>估价对象房地状况!C19</f>
        <v>0</v>
      </c>
      <c r="C63" s="2039"/>
      <c r="D63" s="1060">
        <f t="shared" si="13"/>
        <v>0</v>
      </c>
      <c r="E63" s="740"/>
      <c r="F63" s="1809"/>
      <c r="G63" s="1058"/>
      <c r="H63" s="1061" t="str">
        <f t="shared" si="14"/>
        <v>——</v>
      </c>
      <c r="I63" s="3292">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292">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292">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292">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292">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292">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293">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1.0468999999999999</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t="s">
        <v>3779</v>
      </c>
      <c r="D72" s="1060">
        <f t="shared" ref="D72:D80" si="18">SUMIF($J$71:$N$71,C72,J72:N72)</f>
        <v>0</v>
      </c>
      <c r="E72" s="739">
        <f>ROUND(SUM(D72:D80),4)</f>
        <v>4.6899999999999997E-2</v>
      </c>
      <c r="F72" s="1809">
        <f>IF(E2="住宅",SUMIF(L1:L12,G2,N1:N12),"——")</f>
        <v>8.6999999999999994E-2</v>
      </c>
      <c r="G72" s="1058">
        <v>8.6999999999999994E-3</v>
      </c>
      <c r="H72" s="1061">
        <f t="shared" ref="H72:H80" si="19">IFERROR(ROUNDDOWN($F$72*I72/2,4),"——")</f>
        <v>8.6999999999999994E-3</v>
      </c>
      <c r="I72" s="3292">
        <v>0.2</v>
      </c>
      <c r="J72" s="1059">
        <f t="shared" ref="J72:J80" si="20">K72+$G72</f>
        <v>1.7399999999999999E-2</v>
      </c>
      <c r="K72" s="1059">
        <f t="shared" ref="K72:K80" si="21">$L72+$G72</f>
        <v>8.6999999999999994E-3</v>
      </c>
      <c r="L72" s="1059">
        <v>0</v>
      </c>
      <c r="M72" s="1059">
        <f t="shared" ref="M72:N80" si="22">L72-$G72</f>
        <v>-8.6999999999999994E-3</v>
      </c>
      <c r="N72" s="1059">
        <f t="shared" si="22"/>
        <v>-1.7399999999999999E-2</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t="s">
        <v>3759</v>
      </c>
      <c r="D73" s="1060">
        <f t="shared" si="18"/>
        <v>1.1299999999999999E-2</v>
      </c>
      <c r="E73" s="742"/>
      <c r="F73" s="1809"/>
      <c r="G73" s="1058">
        <v>1.1299999999999999E-2</v>
      </c>
      <c r="H73" s="1061">
        <f t="shared" si="19"/>
        <v>1.1299999999999999E-2</v>
      </c>
      <c r="I73" s="3292">
        <v>0.26</v>
      </c>
      <c r="J73" s="1059">
        <f t="shared" si="20"/>
        <v>2.2599999999999999E-2</v>
      </c>
      <c r="K73" s="1059">
        <f t="shared" si="21"/>
        <v>1.1299999999999999E-2</v>
      </c>
      <c r="L73" s="1059">
        <v>0</v>
      </c>
      <c r="M73" s="1059">
        <f t="shared" si="22"/>
        <v>-1.1299999999999999E-2</v>
      </c>
      <c r="N73" s="1059">
        <f t="shared" si="22"/>
        <v>-2.2599999999999999E-2</v>
      </c>
      <c r="AA73" s="1115"/>
      <c r="AB73" s="1115"/>
      <c r="AC73" s="1115"/>
      <c r="AD73" s="1115"/>
      <c r="AE73" s="1115"/>
      <c r="AF73" s="1115"/>
      <c r="AG73" s="1115"/>
      <c r="AH73" s="1115"/>
      <c r="AI73" s="1115"/>
      <c r="AJ73" s="1115"/>
      <c r="AK73" s="1115"/>
    </row>
    <row r="74" spans="1:37" s="1992" customFormat="1" ht="36">
      <c r="A74" s="3294" t="s">
        <v>3234</v>
      </c>
      <c r="B74" s="2129">
        <f>估价对象房地状况!C19</f>
        <v>0</v>
      </c>
      <c r="C74" s="2039" t="s">
        <v>3759</v>
      </c>
      <c r="D74" s="1060">
        <f t="shared" si="18"/>
        <v>4.3E-3</v>
      </c>
      <c r="E74" s="742"/>
      <c r="F74" s="1809"/>
      <c r="G74" s="1058">
        <v>4.3E-3</v>
      </c>
      <c r="H74" s="1061">
        <f t="shared" si="19"/>
        <v>4.3E-3</v>
      </c>
      <c r="I74" s="3292">
        <v>0.1</v>
      </c>
      <c r="J74" s="1059">
        <f t="shared" si="20"/>
        <v>8.6E-3</v>
      </c>
      <c r="K74" s="1059">
        <f t="shared" si="21"/>
        <v>4.3E-3</v>
      </c>
      <c r="L74" s="1059">
        <v>0</v>
      </c>
      <c r="M74" s="1059">
        <f t="shared" si="22"/>
        <v>-4.3E-3</v>
      </c>
      <c r="N74" s="1059">
        <f t="shared" si="22"/>
        <v>-8.6E-3</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t="s">
        <v>3779</v>
      </c>
      <c r="D75" s="1060">
        <f t="shared" si="18"/>
        <v>0</v>
      </c>
      <c r="E75" s="742"/>
      <c r="F75" s="1809"/>
      <c r="G75" s="1058">
        <v>2.0999999999999999E-3</v>
      </c>
      <c r="H75" s="1061">
        <f t="shared" si="19"/>
        <v>2.0999999999999999E-3</v>
      </c>
      <c r="I75" s="3292">
        <v>0.05</v>
      </c>
      <c r="J75" s="1059">
        <f t="shared" si="20"/>
        <v>4.1999999999999997E-3</v>
      </c>
      <c r="K75" s="1059">
        <f t="shared" si="21"/>
        <v>2.0999999999999999E-3</v>
      </c>
      <c r="L75" s="1059">
        <v>0</v>
      </c>
      <c r="M75" s="1059">
        <f t="shared" si="22"/>
        <v>-2.0999999999999999E-3</v>
      </c>
      <c r="N75" s="1059">
        <f t="shared" si="22"/>
        <v>-4.1999999999999997E-3</v>
      </c>
      <c r="O75" s="1114"/>
      <c r="P75" s="1114"/>
      <c r="Q75" s="1992"/>
      <c r="Z75" s="1993"/>
      <c r="AA75" s="2048"/>
      <c r="AG75" s="1116"/>
      <c r="AK75" s="2048"/>
    </row>
    <row r="76" spans="1:37" ht="24">
      <c r="A76" s="2125" t="s">
        <v>2059</v>
      </c>
      <c r="B76" s="1321">
        <f>估价对象房地状况!C21</f>
        <v>0</v>
      </c>
      <c r="C76" s="2039" t="s">
        <v>3758</v>
      </c>
      <c r="D76" s="1060">
        <f t="shared" si="18"/>
        <v>6.7999999999999996E-3</v>
      </c>
      <c r="E76" s="742"/>
      <c r="F76" s="1809"/>
      <c r="G76" s="1058">
        <v>3.3999999999999998E-3</v>
      </c>
      <c r="H76" s="1061">
        <f t="shared" si="19"/>
        <v>3.3999999999999998E-3</v>
      </c>
      <c r="I76" s="3292">
        <v>0.08</v>
      </c>
      <c r="J76" s="1059">
        <f t="shared" si="20"/>
        <v>6.7999999999999996E-3</v>
      </c>
      <c r="K76" s="1059">
        <f t="shared" si="21"/>
        <v>3.3999999999999998E-3</v>
      </c>
      <c r="L76" s="1059">
        <v>0</v>
      </c>
      <c r="M76" s="1059">
        <f t="shared" si="22"/>
        <v>-3.3999999999999998E-3</v>
      </c>
      <c r="N76" s="1059">
        <f t="shared" si="22"/>
        <v>-6.7999999999999996E-3</v>
      </c>
      <c r="O76" s="1114"/>
      <c r="P76" s="1114"/>
      <c r="Z76" s="1993"/>
      <c r="AA76" s="2048"/>
      <c r="AG76" s="1116"/>
      <c r="AK76" s="2048"/>
    </row>
    <row r="77" spans="1:37" ht="24">
      <c r="A77" s="2125" t="s">
        <v>2060</v>
      </c>
      <c r="B77" s="1321">
        <f>估价对象房地状况!C22</f>
        <v>0</v>
      </c>
      <c r="C77" s="2039" t="s">
        <v>3758</v>
      </c>
      <c r="D77" s="1060">
        <f t="shared" si="18"/>
        <v>7.7999999999999996E-3</v>
      </c>
      <c r="E77" s="742"/>
      <c r="F77" s="1809"/>
      <c r="G77" s="1058">
        <v>3.8999999999999998E-3</v>
      </c>
      <c r="H77" s="1061">
        <f t="shared" si="19"/>
        <v>3.8999999999999998E-3</v>
      </c>
      <c r="I77" s="3292">
        <v>0.09</v>
      </c>
      <c r="J77" s="1059">
        <f t="shared" si="20"/>
        <v>7.7999999999999996E-3</v>
      </c>
      <c r="K77" s="1059">
        <f t="shared" si="21"/>
        <v>3.8999999999999998E-3</v>
      </c>
      <c r="L77" s="1059">
        <v>0</v>
      </c>
      <c r="M77" s="1059">
        <f t="shared" si="22"/>
        <v>-3.8999999999999998E-3</v>
      </c>
      <c r="N77" s="1059">
        <f t="shared" si="22"/>
        <v>-7.7999999999999996E-3</v>
      </c>
      <c r="O77" s="1114"/>
      <c r="P77" s="1114"/>
      <c r="Z77" s="1993"/>
      <c r="AA77" s="2048"/>
      <c r="AG77" s="1116"/>
      <c r="AK77" s="2048"/>
    </row>
    <row r="78" spans="1:37" ht="24">
      <c r="A78" s="2125" t="s">
        <v>2057</v>
      </c>
      <c r="B78" s="2131" t="s">
        <v>2058</v>
      </c>
      <c r="C78" s="2039" t="s">
        <v>3759</v>
      </c>
      <c r="D78" s="1060">
        <f t="shared" si="18"/>
        <v>2.0999999999999999E-3</v>
      </c>
      <c r="E78" s="742"/>
      <c r="F78" s="1809"/>
      <c r="G78" s="1058">
        <v>2.0999999999999999E-3</v>
      </c>
      <c r="H78" s="1061">
        <f t="shared" si="19"/>
        <v>2.0999999999999999E-3</v>
      </c>
      <c r="I78" s="3292">
        <v>0.05</v>
      </c>
      <c r="J78" s="1059">
        <f t="shared" si="20"/>
        <v>4.1999999999999997E-3</v>
      </c>
      <c r="K78" s="1059">
        <f t="shared" si="21"/>
        <v>2.0999999999999999E-3</v>
      </c>
      <c r="L78" s="1059">
        <v>0</v>
      </c>
      <c r="M78" s="1059">
        <f t="shared" si="22"/>
        <v>-2.0999999999999999E-3</v>
      </c>
      <c r="N78" s="1059">
        <f t="shared" si="22"/>
        <v>-4.1999999999999997E-3</v>
      </c>
      <c r="O78" s="1992"/>
      <c r="P78" s="1992"/>
      <c r="Z78" s="1993"/>
      <c r="AA78" s="2048"/>
      <c r="AG78" s="1116"/>
      <c r="AK78" s="2048"/>
    </row>
    <row r="79" spans="1:37" ht="24">
      <c r="A79" s="2125" t="s">
        <v>2061</v>
      </c>
      <c r="B79" s="2128">
        <f>估价对象房地状况!C20</f>
        <v>0</v>
      </c>
      <c r="C79" s="2039" t="s">
        <v>3758</v>
      </c>
      <c r="D79" s="1060">
        <f t="shared" si="18"/>
        <v>1.04E-2</v>
      </c>
      <c r="E79" s="742"/>
      <c r="F79" s="1809"/>
      <c r="G79" s="1058">
        <v>5.1999999999999998E-3</v>
      </c>
      <c r="H79" s="1061">
        <f t="shared" si="19"/>
        <v>5.1999999999999998E-3</v>
      </c>
      <c r="I79" s="3292">
        <v>0.12</v>
      </c>
      <c r="J79" s="1059">
        <f t="shared" si="20"/>
        <v>1.04E-2</v>
      </c>
      <c r="K79" s="1059">
        <f t="shared" si="21"/>
        <v>5.1999999999999998E-3</v>
      </c>
      <c r="L79" s="1059">
        <v>0</v>
      </c>
      <c r="M79" s="1059">
        <f t="shared" si="22"/>
        <v>-5.1999999999999998E-3</v>
      </c>
      <c r="N79" s="1059">
        <f t="shared" si="22"/>
        <v>-1.04E-2</v>
      </c>
      <c r="Z79" s="1993"/>
      <c r="AA79" s="2048"/>
      <c r="AG79" s="1116"/>
      <c r="AK79" s="2048"/>
    </row>
    <row r="80" spans="1:37" ht="24.75" thickBot="1">
      <c r="A80" s="2133" t="s">
        <v>2068</v>
      </c>
      <c r="B80" s="2137"/>
      <c r="C80" s="2039" t="s">
        <v>3758</v>
      </c>
      <c r="D80" s="1060">
        <f t="shared" si="18"/>
        <v>4.1999999999999997E-3</v>
      </c>
      <c r="E80" s="743"/>
      <c r="F80" s="1809"/>
      <c r="G80" s="1058">
        <v>2.0999999999999999E-3</v>
      </c>
      <c r="H80" s="1061">
        <f t="shared" si="19"/>
        <v>2.0999999999999999E-3</v>
      </c>
      <c r="I80" s="3293">
        <v>0.05</v>
      </c>
      <c r="J80" s="1059">
        <f t="shared" si="20"/>
        <v>4.1999999999999997E-3</v>
      </c>
      <c r="K80" s="1059">
        <f t="shared" si="21"/>
        <v>2.0999999999999999E-3</v>
      </c>
      <c r="L80" s="1059">
        <v>0</v>
      </c>
      <c r="M80" s="1059">
        <f t="shared" si="22"/>
        <v>-2.0999999999999999E-3</v>
      </c>
      <c r="N80" s="1059">
        <f t="shared" si="22"/>
        <v>-4.1999999999999997E-3</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292">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292">
        <v>0.3</v>
      </c>
      <c r="J84" s="1059">
        <f t="shared" si="25"/>
        <v>0</v>
      </c>
      <c r="K84" s="1059">
        <f t="shared" si="26"/>
        <v>0</v>
      </c>
      <c r="L84" s="1059">
        <v>0</v>
      </c>
      <c r="M84" s="1059">
        <f t="shared" si="27"/>
        <v>0</v>
      </c>
      <c r="N84" s="1059">
        <f t="shared" si="27"/>
        <v>0</v>
      </c>
      <c r="Z84" s="1993"/>
      <c r="AA84" s="2048"/>
      <c r="AG84" s="1116"/>
      <c r="AK84" s="2048"/>
    </row>
    <row r="85" spans="1:37" ht="36">
      <c r="A85" s="3294" t="s">
        <v>3235</v>
      </c>
      <c r="B85" s="2129">
        <f>估价对象房地状况!G17</f>
        <v>0</v>
      </c>
      <c r="C85" s="2039"/>
      <c r="D85" s="1060">
        <f t="shared" si="23"/>
        <v>0</v>
      </c>
      <c r="E85" s="742"/>
      <c r="F85" s="1809"/>
      <c r="G85" s="1058"/>
      <c r="H85" s="1061" t="str">
        <f t="shared" si="24"/>
        <v>——</v>
      </c>
      <c r="I85" s="3292">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292">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292">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292">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292">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293">
        <v>0.05</v>
      </c>
      <c r="J90" s="1059">
        <f t="shared" si="25"/>
        <v>0</v>
      </c>
      <c r="K90" s="1059">
        <f t="shared" si="26"/>
        <v>0</v>
      </c>
      <c r="L90" s="1059">
        <v>0</v>
      </c>
      <c r="M90" s="1059">
        <f t="shared" si="27"/>
        <v>0</v>
      </c>
      <c r="N90" s="1059">
        <f t="shared" si="27"/>
        <v>0</v>
      </c>
    </row>
    <row r="91" spans="1:37" ht="15">
      <c r="A91" s="3302" t="s">
        <v>2599</v>
      </c>
      <c r="B91" s="3303">
        <f>1+E93</f>
        <v>1</v>
      </c>
      <c r="C91" s="3296"/>
      <c r="D91" s="3297"/>
      <c r="E91" s="1809"/>
      <c r="F91" s="1809"/>
      <c r="G91" s="3298"/>
      <c r="H91" s="3299"/>
      <c r="I91" s="3300"/>
      <c r="J91" s="3301"/>
      <c r="K91" s="3301"/>
      <c r="L91" s="3301"/>
      <c r="M91" s="3301"/>
      <c r="N91" s="3301"/>
    </row>
    <row r="92" spans="1:37" ht="24.75">
      <c r="A92" s="3304" t="s">
        <v>3236</v>
      </c>
      <c r="B92" s="3291"/>
      <c r="C92" s="3291" t="s">
        <v>2046</v>
      </c>
      <c r="D92" s="3291" t="s">
        <v>3246</v>
      </c>
      <c r="E92" s="3273" t="s">
        <v>3247</v>
      </c>
      <c r="F92" s="3306" t="s">
        <v>3248</v>
      </c>
      <c r="G92" s="3291" t="s">
        <v>3249</v>
      </c>
      <c r="H92" s="3313" t="s">
        <v>3252</v>
      </c>
      <c r="I92" s="3291" t="s">
        <v>3253</v>
      </c>
      <c r="J92" s="3314" t="s">
        <v>3254</v>
      </c>
      <c r="K92" s="3314" t="s">
        <v>3255</v>
      </c>
      <c r="L92" s="3314" t="s">
        <v>3256</v>
      </c>
      <c r="M92" s="3314" t="s">
        <v>3257</v>
      </c>
      <c r="N92" s="3314" t="s">
        <v>3258</v>
      </c>
    </row>
    <row r="93" spans="1:37" ht="24">
      <c r="A93" s="3294" t="s">
        <v>3237</v>
      </c>
      <c r="B93" s="1301"/>
      <c r="C93" s="2039"/>
      <c r="D93" s="3291">
        <f>SUMIF($J$92:$N$92,C93,J93:N93)</f>
        <v>0</v>
      </c>
      <c r="E93" s="3307">
        <f>ROUND(SUM(D93:D101),4)</f>
        <v>0</v>
      </c>
      <c r="F93" s="1809" t="str">
        <f>IF(E2="公共服务",SUMIF(L1:L12,G2,N1:N12),"——")</f>
        <v>——</v>
      </c>
      <c r="G93" s="3298"/>
      <c r="H93" s="3346" t="str">
        <f>IFERROR(ROUNDDOWN($F$93*I93/2,4),"——")</f>
        <v>——</v>
      </c>
      <c r="I93" s="3292">
        <v>0.25</v>
      </c>
      <c r="J93" s="3270">
        <f t="shared" ref="J93:J101" si="28">K93+$G93</f>
        <v>0</v>
      </c>
      <c r="K93" s="3270">
        <f t="shared" ref="K93:K101" si="29">$L93+$G93</f>
        <v>0</v>
      </c>
      <c r="L93" s="3270">
        <v>0</v>
      </c>
      <c r="M93" s="3270">
        <f t="shared" ref="M93:N101" si="30">L93-$G93</f>
        <v>0</v>
      </c>
      <c r="N93" s="3270">
        <f t="shared" si="30"/>
        <v>0</v>
      </c>
    </row>
    <row r="94" spans="1:37" ht="14.25">
      <c r="A94" s="3304" t="s">
        <v>2053</v>
      </c>
      <c r="B94" s="3295">
        <f>估价对象房地状况!C18</f>
        <v>0</v>
      </c>
      <c r="C94" s="2039"/>
      <c r="D94" s="3291">
        <f t="shared" ref="D94:D101" si="31">SUMIF($J$60:$N$60,C94,J94:N94)</f>
        <v>0</v>
      </c>
      <c r="E94" s="3308"/>
      <c r="F94" s="1809"/>
      <c r="G94" s="3298"/>
      <c r="H94" s="3346" t="str">
        <f>IFERROR(ROUNDDOWN($F$93*I94/2,4),"——")</f>
        <v>——</v>
      </c>
      <c r="I94" s="3292">
        <v>0.26</v>
      </c>
      <c r="J94" s="3270">
        <f t="shared" si="28"/>
        <v>0</v>
      </c>
      <c r="K94" s="3270">
        <f t="shared" si="29"/>
        <v>0</v>
      </c>
      <c r="L94" s="3270">
        <v>0</v>
      </c>
      <c r="M94" s="3270">
        <f t="shared" si="30"/>
        <v>0</v>
      </c>
      <c r="N94" s="3270">
        <f t="shared" si="30"/>
        <v>0</v>
      </c>
    </row>
    <row r="95" spans="1:37" ht="36">
      <c r="A95" s="3294" t="s">
        <v>3234</v>
      </c>
      <c r="B95" s="3295">
        <f>估价对象房地状况!C19</f>
        <v>0</v>
      </c>
      <c r="C95" s="2039"/>
      <c r="D95" s="3291">
        <f t="shared" si="31"/>
        <v>0</v>
      </c>
      <c r="E95" s="3308"/>
      <c r="F95" s="1809"/>
      <c r="G95" s="3298"/>
      <c r="H95" s="3346" t="str">
        <f t="shared" ref="H95:H101" si="32">IFERROR(ROUNDDOWN($F$93*I95/2,4),"——")</f>
        <v>——</v>
      </c>
      <c r="I95" s="3292">
        <v>0.11</v>
      </c>
      <c r="J95" s="3270">
        <f t="shared" si="28"/>
        <v>0</v>
      </c>
      <c r="K95" s="3270">
        <f t="shared" si="29"/>
        <v>0</v>
      </c>
      <c r="L95" s="3270">
        <v>0</v>
      </c>
      <c r="M95" s="3270">
        <f t="shared" si="30"/>
        <v>0</v>
      </c>
      <c r="N95" s="3270">
        <f t="shared" si="30"/>
        <v>0</v>
      </c>
    </row>
    <row r="96" spans="1:37" ht="36.75">
      <c r="A96" s="3304" t="s">
        <v>3239</v>
      </c>
      <c r="B96" s="3310" t="s">
        <v>3250</v>
      </c>
      <c r="C96" s="2039"/>
      <c r="D96" s="3291">
        <f t="shared" si="31"/>
        <v>0</v>
      </c>
      <c r="E96" s="3308"/>
      <c r="F96" s="1809"/>
      <c r="G96" s="3298"/>
      <c r="H96" s="3346" t="str">
        <f t="shared" si="32"/>
        <v>——</v>
      </c>
      <c r="I96" s="3292">
        <v>0.05</v>
      </c>
      <c r="J96" s="3270">
        <f t="shared" si="28"/>
        <v>0</v>
      </c>
      <c r="K96" s="3270">
        <f t="shared" si="29"/>
        <v>0</v>
      </c>
      <c r="L96" s="3270">
        <v>0</v>
      </c>
      <c r="M96" s="3270">
        <f t="shared" si="30"/>
        <v>0</v>
      </c>
      <c r="N96" s="3270">
        <f t="shared" si="30"/>
        <v>0</v>
      </c>
    </row>
    <row r="97" spans="1:14" ht="24">
      <c r="A97" s="3304" t="s">
        <v>3240</v>
      </c>
      <c r="B97" s="3295">
        <f>估价对象房地状况!C24</f>
        <v>0</v>
      </c>
      <c r="C97" s="2039"/>
      <c r="D97" s="3291">
        <f t="shared" si="31"/>
        <v>0</v>
      </c>
      <c r="E97" s="3308"/>
      <c r="F97" s="1809"/>
      <c r="G97" s="3298"/>
      <c r="H97" s="3346" t="str">
        <f t="shared" si="32"/>
        <v>——</v>
      </c>
      <c r="I97" s="3292">
        <v>0.05</v>
      </c>
      <c r="J97" s="3270">
        <f t="shared" si="28"/>
        <v>0</v>
      </c>
      <c r="K97" s="3270">
        <f t="shared" si="29"/>
        <v>0</v>
      </c>
      <c r="L97" s="3270">
        <v>0</v>
      </c>
      <c r="M97" s="3270">
        <f t="shared" si="30"/>
        <v>0</v>
      </c>
      <c r="N97" s="3270">
        <f t="shared" si="30"/>
        <v>0</v>
      </c>
    </row>
    <row r="98" spans="1:14" ht="24">
      <c r="A98" s="3304" t="s">
        <v>2057</v>
      </c>
      <c r="B98" s="3311" t="s">
        <v>3251</v>
      </c>
      <c r="C98" s="2039"/>
      <c r="D98" s="3291">
        <f t="shared" si="31"/>
        <v>0</v>
      </c>
      <c r="E98" s="3308"/>
      <c r="F98" s="1809"/>
      <c r="G98" s="3298"/>
      <c r="H98" s="3346" t="str">
        <f t="shared" si="32"/>
        <v>——</v>
      </c>
      <c r="I98" s="3292">
        <v>0.06</v>
      </c>
      <c r="J98" s="3270">
        <f t="shared" si="28"/>
        <v>0</v>
      </c>
      <c r="K98" s="3270">
        <f t="shared" si="29"/>
        <v>0</v>
      </c>
      <c r="L98" s="3270">
        <v>0</v>
      </c>
      <c r="M98" s="3270">
        <f t="shared" si="30"/>
        <v>0</v>
      </c>
      <c r="N98" s="3270">
        <f t="shared" si="30"/>
        <v>0</v>
      </c>
    </row>
    <row r="99" spans="1:14" ht="24">
      <c r="A99" s="3304" t="s">
        <v>3242</v>
      </c>
      <c r="B99" s="3295">
        <f>估价对象房地状况!C21</f>
        <v>0</v>
      </c>
      <c r="C99" s="2039"/>
      <c r="D99" s="3291">
        <f t="shared" si="31"/>
        <v>0</v>
      </c>
      <c r="E99" s="3308"/>
      <c r="F99" s="1809"/>
      <c r="G99" s="3298"/>
      <c r="H99" s="3346" t="str">
        <f t="shared" si="32"/>
        <v>——</v>
      </c>
      <c r="I99" s="3292">
        <v>0.06</v>
      </c>
      <c r="J99" s="3270">
        <f t="shared" si="28"/>
        <v>0</v>
      </c>
      <c r="K99" s="3270">
        <f t="shared" si="29"/>
        <v>0</v>
      </c>
      <c r="L99" s="3270">
        <v>0</v>
      </c>
      <c r="M99" s="3270">
        <f t="shared" si="30"/>
        <v>0</v>
      </c>
      <c r="N99" s="3270">
        <f t="shared" si="30"/>
        <v>0</v>
      </c>
    </row>
    <row r="100" spans="1:14" ht="24">
      <c r="A100" s="3304" t="s">
        <v>3243</v>
      </c>
      <c r="B100" s="3295">
        <f>估价对象房地状况!C22</f>
        <v>0</v>
      </c>
      <c r="C100" s="2039"/>
      <c r="D100" s="3291">
        <f t="shared" si="31"/>
        <v>0</v>
      </c>
      <c r="E100" s="3308"/>
      <c r="F100" s="1809"/>
      <c r="G100" s="3298"/>
      <c r="H100" s="3346" t="str">
        <f t="shared" si="32"/>
        <v>——</v>
      </c>
      <c r="I100" s="3292">
        <v>0.09</v>
      </c>
      <c r="J100" s="3270">
        <f t="shared" si="28"/>
        <v>0</v>
      </c>
      <c r="K100" s="3270">
        <f t="shared" si="29"/>
        <v>0</v>
      </c>
      <c r="L100" s="3270">
        <v>0</v>
      </c>
      <c r="M100" s="3270">
        <f t="shared" si="30"/>
        <v>0</v>
      </c>
      <c r="N100" s="3270">
        <f t="shared" si="30"/>
        <v>0</v>
      </c>
    </row>
    <row r="101" spans="1:14" ht="24.75" thickBot="1">
      <c r="A101" s="3305" t="s">
        <v>3244</v>
      </c>
      <c r="B101" s="3312">
        <f>估价对象房地状况!C20</f>
        <v>0</v>
      </c>
      <c r="C101" s="2039"/>
      <c r="D101" s="3291">
        <f t="shared" si="31"/>
        <v>0</v>
      </c>
      <c r="E101" s="3309"/>
      <c r="F101" s="1809"/>
      <c r="G101" s="3298"/>
      <c r="H101" s="3346" t="str">
        <f t="shared" si="32"/>
        <v>——</v>
      </c>
      <c r="I101" s="3293">
        <v>7.0000000000000007E-2</v>
      </c>
      <c r="J101" s="3270">
        <f t="shared" si="28"/>
        <v>0</v>
      </c>
      <c r="K101" s="3270">
        <f t="shared" si="29"/>
        <v>0</v>
      </c>
      <c r="L101" s="3270">
        <v>0</v>
      </c>
      <c r="M101" s="3270">
        <f t="shared" si="30"/>
        <v>0</v>
      </c>
      <c r="N101" s="3270">
        <f t="shared" si="30"/>
        <v>0</v>
      </c>
    </row>
    <row r="103" spans="1:14">
      <c r="A103" s="4141" t="s">
        <v>3259</v>
      </c>
      <c r="B103" s="4141"/>
      <c r="C103" s="4141"/>
      <c r="D103" s="4141"/>
      <c r="E103" s="4141"/>
      <c r="F103" s="4141"/>
      <c r="G103" s="4141"/>
      <c r="H103" s="4141"/>
      <c r="I103" s="4141"/>
      <c r="J103" s="4141"/>
      <c r="K103" s="3669"/>
      <c r="L103" s="3669"/>
      <c r="M103" s="3669"/>
      <c r="N103" s="3669"/>
    </row>
    <row r="104" spans="1:14">
      <c r="A104" s="4142" t="s">
        <v>3260</v>
      </c>
      <c r="B104" s="4142" t="s">
        <v>3261</v>
      </c>
      <c r="C104" s="3316" t="s">
        <v>3262</v>
      </c>
      <c r="D104" s="3317"/>
      <c r="E104" s="3317"/>
      <c r="F104" s="3317"/>
      <c r="G104" s="3317"/>
      <c r="H104" s="3317"/>
      <c r="I104" s="3317"/>
      <c r="J104" s="3318"/>
      <c r="K104" s="3319"/>
      <c r="L104" s="3319"/>
      <c r="M104" s="3319"/>
      <c r="N104" s="3319"/>
    </row>
    <row r="105" spans="1:14">
      <c r="A105" s="4142"/>
      <c r="B105" s="4142"/>
      <c r="C105" s="3670" t="s">
        <v>3263</v>
      </c>
      <c r="D105" s="3670" t="s">
        <v>3264</v>
      </c>
      <c r="E105" s="3670" t="s">
        <v>3265</v>
      </c>
      <c r="F105" s="3670" t="s">
        <v>3266</v>
      </c>
      <c r="G105" s="3670" t="s">
        <v>3267</v>
      </c>
      <c r="H105" s="3670" t="s">
        <v>3268</v>
      </c>
      <c r="I105" s="3670" t="s">
        <v>3269</v>
      </c>
      <c r="J105" s="3670" t="s">
        <v>3270</v>
      </c>
      <c r="K105" s="3670" t="s">
        <v>3271</v>
      </c>
      <c r="L105" s="3670" t="s">
        <v>3272</v>
      </c>
      <c r="M105" s="3670" t="s">
        <v>3273</v>
      </c>
      <c r="N105" s="3670" t="s">
        <v>3274</v>
      </c>
    </row>
    <row r="106" spans="1:14">
      <c r="A106" s="4143" t="s">
        <v>3275</v>
      </c>
      <c r="B106" s="3670">
        <v>1</v>
      </c>
      <c r="C106" s="3670">
        <v>1.5206</v>
      </c>
      <c r="D106" s="3670">
        <v>1.5206</v>
      </c>
      <c r="E106" s="3670">
        <v>1.5019</v>
      </c>
      <c r="F106" s="3670">
        <v>1.5019</v>
      </c>
      <c r="G106" s="3670">
        <v>1.5019</v>
      </c>
      <c r="H106" s="3670">
        <v>1.5019</v>
      </c>
      <c r="I106" s="3670">
        <v>1.5019</v>
      </c>
      <c r="J106" s="3670">
        <v>1.5418000000000001</v>
      </c>
      <c r="K106" s="3670">
        <v>1.5418000000000001</v>
      </c>
      <c r="L106" s="3670">
        <v>1.5418000000000001</v>
      </c>
      <c r="M106" s="3670">
        <v>1.5418000000000001</v>
      </c>
      <c r="N106" s="3670">
        <v>1.5418000000000001</v>
      </c>
    </row>
    <row r="107" spans="1:14">
      <c r="A107" s="4144"/>
      <c r="B107" s="3670">
        <v>2</v>
      </c>
      <c r="C107" s="3670">
        <v>1.2072000000000001</v>
      </c>
      <c r="D107" s="3670">
        <v>1.2072000000000001</v>
      </c>
      <c r="E107" s="3670">
        <v>1.1838</v>
      </c>
      <c r="F107" s="3670">
        <v>1.1838</v>
      </c>
      <c r="G107" s="3670">
        <v>1.1838</v>
      </c>
      <c r="H107" s="3670">
        <v>1.1838</v>
      </c>
      <c r="I107" s="3670">
        <v>1.1838</v>
      </c>
      <c r="J107" s="3670">
        <v>1.1883999999999999</v>
      </c>
      <c r="K107" s="3670">
        <v>1.1883999999999999</v>
      </c>
      <c r="L107" s="3670">
        <v>1.1883999999999999</v>
      </c>
      <c r="M107" s="3670">
        <v>1.1883999999999999</v>
      </c>
      <c r="N107" s="3670">
        <v>1.1883999999999999</v>
      </c>
    </row>
    <row r="108" spans="1:14">
      <c r="A108" s="4144"/>
      <c r="B108" s="3670">
        <v>3</v>
      </c>
      <c r="C108" s="3670">
        <v>1.0430999999999999</v>
      </c>
      <c r="D108" s="3670">
        <v>1.0430999999999999</v>
      </c>
      <c r="E108" s="3670">
        <v>1.0004999999999999</v>
      </c>
      <c r="F108" s="3670">
        <v>1.0004999999999999</v>
      </c>
      <c r="G108" s="3670">
        <v>1.0004999999999999</v>
      </c>
      <c r="H108" s="3670">
        <v>1.0004999999999999</v>
      </c>
      <c r="I108" s="3670">
        <v>1.0004999999999999</v>
      </c>
      <c r="J108" s="3670">
        <v>0.96940000000000004</v>
      </c>
      <c r="K108" s="3670">
        <v>0.96940000000000004</v>
      </c>
      <c r="L108" s="3670">
        <v>0.96940000000000004</v>
      </c>
      <c r="M108" s="3670">
        <v>0.96940000000000004</v>
      </c>
      <c r="N108" s="3670">
        <v>0.96940000000000004</v>
      </c>
    </row>
    <row r="109" spans="1:14">
      <c r="A109" s="4144"/>
      <c r="B109" s="3670">
        <v>4</v>
      </c>
      <c r="C109" s="3670">
        <v>0.94389999999999996</v>
      </c>
      <c r="D109" s="3670">
        <v>0.94389999999999996</v>
      </c>
      <c r="E109" s="3670">
        <v>0.88239999999999996</v>
      </c>
      <c r="F109" s="3670">
        <v>0.88239999999999996</v>
      </c>
      <c r="G109" s="3670">
        <v>0.88239999999999996</v>
      </c>
      <c r="H109" s="3670">
        <v>0.88239999999999996</v>
      </c>
      <c r="I109" s="3670">
        <v>0.88239999999999996</v>
      </c>
      <c r="J109" s="3670">
        <v>0.82299999999999995</v>
      </c>
      <c r="K109" s="3670">
        <v>0.82299999999999995</v>
      </c>
      <c r="L109" s="3670">
        <v>0.82299999999999995</v>
      </c>
      <c r="M109" s="3670">
        <v>0.82299999999999995</v>
      </c>
      <c r="N109" s="3670">
        <v>0.82299999999999995</v>
      </c>
    </row>
    <row r="110" spans="1:14">
      <c r="A110" s="4144"/>
      <c r="B110" s="3670">
        <v>5</v>
      </c>
      <c r="C110" s="3670">
        <v>0.89959999999999996</v>
      </c>
      <c r="D110" s="3670">
        <v>0.89959999999999996</v>
      </c>
      <c r="E110" s="3670">
        <v>0.84799999999999998</v>
      </c>
      <c r="F110" s="3670">
        <v>0.84799999999999998</v>
      </c>
      <c r="G110" s="3670">
        <v>0.84799999999999998</v>
      </c>
      <c r="H110" s="3670">
        <v>0.84799999999999998</v>
      </c>
      <c r="I110" s="3670">
        <v>0.84799999999999998</v>
      </c>
      <c r="J110" s="3670">
        <v>0.74980000000000002</v>
      </c>
      <c r="K110" s="3670">
        <v>0.74980000000000002</v>
      </c>
      <c r="L110" s="3670">
        <v>0.74980000000000002</v>
      </c>
      <c r="M110" s="3670">
        <v>0.74980000000000002</v>
      </c>
      <c r="N110" s="3670">
        <v>0.74980000000000002</v>
      </c>
    </row>
    <row r="111" spans="1:14">
      <c r="A111" s="4144"/>
      <c r="B111" s="3670" t="s">
        <v>3233</v>
      </c>
      <c r="C111" s="3321">
        <f>$I$3</f>
        <v>0</v>
      </c>
      <c r="D111" s="3321">
        <f t="shared" ref="D111:M111" si="33">$I$3</f>
        <v>0</v>
      </c>
      <c r="E111" s="3321">
        <f t="shared" si="33"/>
        <v>0</v>
      </c>
      <c r="F111" s="3321">
        <f t="shared" si="33"/>
        <v>0</v>
      </c>
      <c r="G111" s="3321">
        <f t="shared" si="33"/>
        <v>0</v>
      </c>
      <c r="H111" s="3321">
        <f t="shared" si="33"/>
        <v>0</v>
      </c>
      <c r="I111" s="3321">
        <f t="shared" si="33"/>
        <v>0</v>
      </c>
      <c r="J111" s="3321">
        <f t="shared" si="33"/>
        <v>0</v>
      </c>
      <c r="K111" s="3321">
        <f t="shared" si="33"/>
        <v>0</v>
      </c>
      <c r="L111" s="3321">
        <f t="shared" si="33"/>
        <v>0</v>
      </c>
      <c r="M111" s="3321">
        <f t="shared" si="33"/>
        <v>0</v>
      </c>
      <c r="N111" s="3321">
        <f>$I$3</f>
        <v>0</v>
      </c>
    </row>
    <row r="112" spans="1:14">
      <c r="A112" s="4145"/>
      <c r="B112" s="3670">
        <v>6</v>
      </c>
      <c r="C112" s="3313">
        <f>(-0.5556*(C111^2)-0.2719*C111+8944)*(10^(-4))</f>
        <v>0.89440000000000008</v>
      </c>
      <c r="D112" s="3313">
        <f>(-0.5556*(D111^2)-0.2719*D111+8944)*(10^(-4))</f>
        <v>0.89440000000000008</v>
      </c>
      <c r="E112" s="3313">
        <f>(-0.7912*(E111^2)-11.3794*E111+8482)*(10^(-4))</f>
        <v>0.84820000000000007</v>
      </c>
      <c r="F112" s="3313">
        <f t="shared" ref="F112:I112" si="34">(-0.7912*(F111^2)-11.3794*F111+8482)*(10^(-4))</f>
        <v>0.84820000000000007</v>
      </c>
      <c r="G112" s="3313">
        <f t="shared" si="34"/>
        <v>0.84820000000000007</v>
      </c>
      <c r="H112" s="3313">
        <f t="shared" si="34"/>
        <v>0.84820000000000007</v>
      </c>
      <c r="I112" s="3313">
        <f t="shared" si="34"/>
        <v>0.84820000000000007</v>
      </c>
      <c r="J112" s="3313">
        <f>(-0.989*(J111^2)-63.78*J111+7771)*(10^(-4))</f>
        <v>0.77710000000000001</v>
      </c>
      <c r="K112" s="3313">
        <f t="shared" ref="K112:N112" si="35">(-0.989*(K111^2)-63.78*K111+7771)*(10^(-4))</f>
        <v>0.77710000000000001</v>
      </c>
      <c r="L112" s="3313">
        <f t="shared" si="35"/>
        <v>0.77710000000000001</v>
      </c>
      <c r="M112" s="3313">
        <f t="shared" si="35"/>
        <v>0.77710000000000001</v>
      </c>
      <c r="N112" s="3313">
        <f t="shared" si="35"/>
        <v>0.77710000000000001</v>
      </c>
    </row>
    <row r="113" spans="1:14">
      <c r="A113" s="4146" t="s">
        <v>3276</v>
      </c>
      <c r="B113" s="4146"/>
      <c r="C113" s="4146"/>
      <c r="D113" s="4146"/>
      <c r="E113" s="4146"/>
      <c r="F113" s="4146"/>
      <c r="G113" s="4146"/>
      <c r="H113" s="4146"/>
      <c r="I113" s="4146"/>
      <c r="J113" s="4146"/>
      <c r="K113" s="3667"/>
      <c r="L113" s="3667"/>
      <c r="M113" s="3667"/>
      <c r="N113" s="3667"/>
    </row>
    <row r="114" spans="1:14">
      <c r="A114" s="3323"/>
      <c r="B114" s="3323"/>
      <c r="C114" s="3323"/>
      <c r="D114" s="3323"/>
      <c r="E114" s="3323"/>
      <c r="F114" s="3323"/>
      <c r="G114" s="3323"/>
      <c r="H114" s="3323"/>
      <c r="I114" s="3323"/>
      <c r="J114" s="3323"/>
      <c r="K114" s="3282"/>
      <c r="L114" s="3323"/>
      <c r="M114" s="3323"/>
      <c r="N114" s="3323"/>
    </row>
    <row r="115" spans="1:14" ht="13.5" thickBot="1">
      <c r="A115" s="3323"/>
      <c r="B115" s="3323"/>
      <c r="C115" s="3323"/>
      <c r="D115" s="3323"/>
      <c r="E115" s="3323"/>
      <c r="F115" s="3323"/>
      <c r="G115" s="3323"/>
      <c r="H115" s="3323"/>
      <c r="I115" s="3323"/>
      <c r="J115" s="3323"/>
      <c r="K115" s="3282"/>
      <c r="L115" s="3323"/>
      <c r="M115" s="3323"/>
      <c r="N115" s="3323"/>
    </row>
    <row r="116" spans="1:14" ht="25.5" thickBot="1">
      <c r="A116" s="3324" t="s">
        <v>3277</v>
      </c>
      <c r="B116" s="3341">
        <f>G3</f>
        <v>7.99</v>
      </c>
      <c r="C116" s="3325" t="s">
        <v>3278</v>
      </c>
      <c r="D116" s="3326">
        <f>SUMPRODUCT((A118:A122=F116)*(B117:M117=H116)*B118:M122)</f>
        <v>0.85289999999999999</v>
      </c>
      <c r="E116" s="1995" t="s">
        <v>3279</v>
      </c>
      <c r="F116" s="3327" t="str">
        <f>E2</f>
        <v>住宅</v>
      </c>
      <c r="G116" s="1995" t="s">
        <v>3280</v>
      </c>
      <c r="H116" s="3327" t="str">
        <f>G2</f>
        <v>一级</v>
      </c>
      <c r="I116" s="1995"/>
      <c r="J116" s="3328"/>
      <c r="K116" s="3328"/>
      <c r="L116" s="3328"/>
      <c r="M116" s="3328"/>
      <c r="N116" s="3323"/>
    </row>
    <row r="117" spans="1:14">
      <c r="A117" s="3329"/>
      <c r="B117" s="3330" t="s">
        <v>3281</v>
      </c>
      <c r="C117" s="3330" t="s">
        <v>3282</v>
      </c>
      <c r="D117" s="3330" t="s">
        <v>3283</v>
      </c>
      <c r="E117" s="3331" t="s">
        <v>3284</v>
      </c>
      <c r="F117" s="3331" t="s">
        <v>3285</v>
      </c>
      <c r="G117" s="3331" t="s">
        <v>3286</v>
      </c>
      <c r="H117" s="3332" t="s">
        <v>3287</v>
      </c>
      <c r="I117" s="3332" t="s">
        <v>3288</v>
      </c>
      <c r="J117" s="3333" t="s">
        <v>3289</v>
      </c>
      <c r="K117" s="3333" t="s">
        <v>3290</v>
      </c>
      <c r="L117" s="3333" t="s">
        <v>3291</v>
      </c>
      <c r="M117" s="3334" t="s">
        <v>3292</v>
      </c>
      <c r="N117" s="3323"/>
    </row>
    <row r="118" spans="1:14">
      <c r="A118" s="3335" t="s">
        <v>3293</v>
      </c>
      <c r="B118" s="3313">
        <f>ROUND(0.9968-0.011*B116,4)</f>
        <v>0.90890000000000004</v>
      </c>
      <c r="C118" s="3313">
        <f>B118</f>
        <v>0.90890000000000004</v>
      </c>
      <c r="D118" s="3313">
        <f>ROUND(0.949-0.014*B116,4)</f>
        <v>0.83709999999999996</v>
      </c>
      <c r="E118" s="3313">
        <f>D118</f>
        <v>0.83709999999999996</v>
      </c>
      <c r="F118" s="3313">
        <f>E118</f>
        <v>0.83709999999999996</v>
      </c>
      <c r="G118" s="3313">
        <f>F118</f>
        <v>0.83709999999999996</v>
      </c>
      <c r="H118" s="3313">
        <f>G118</f>
        <v>0.83709999999999996</v>
      </c>
      <c r="I118" s="3313">
        <f>ROUND(0.8486-0.018*B116,4)</f>
        <v>0.70479999999999998</v>
      </c>
      <c r="J118" s="3313">
        <f t="shared" ref="J118:M122" si="36">I118</f>
        <v>0.70479999999999998</v>
      </c>
      <c r="K118" s="3313">
        <f t="shared" si="36"/>
        <v>0.70479999999999998</v>
      </c>
      <c r="L118" s="3313">
        <f t="shared" si="36"/>
        <v>0.70479999999999998</v>
      </c>
      <c r="M118" s="3336">
        <f t="shared" si="36"/>
        <v>0.70479999999999998</v>
      </c>
      <c r="N118" s="3323"/>
    </row>
    <row r="119" spans="1:14">
      <c r="A119" s="3335" t="s">
        <v>1991</v>
      </c>
      <c r="B119" s="3313">
        <f>ROUND(0.993-0.0112*B116,4)</f>
        <v>0.90349999999999997</v>
      </c>
      <c r="C119" s="3313">
        <f>B119</f>
        <v>0.90349999999999997</v>
      </c>
      <c r="D119" s="3313">
        <f>ROUND(0.9415-0.0142*B116,4)</f>
        <v>0.82799999999999996</v>
      </c>
      <c r="E119" s="3313">
        <f t="shared" ref="E119:H120" si="37">D119</f>
        <v>0.82799999999999996</v>
      </c>
      <c r="F119" s="3313">
        <f t="shared" si="37"/>
        <v>0.82799999999999996</v>
      </c>
      <c r="G119" s="3313">
        <f t="shared" si="37"/>
        <v>0.82799999999999996</v>
      </c>
      <c r="H119" s="3313">
        <f t="shared" si="37"/>
        <v>0.82799999999999996</v>
      </c>
      <c r="I119" s="3313">
        <f>ROUND(0.838-0.0182*B116,4)</f>
        <v>0.69259999999999999</v>
      </c>
      <c r="J119" s="3313">
        <f t="shared" si="36"/>
        <v>0.69259999999999999</v>
      </c>
      <c r="K119" s="3313">
        <f t="shared" si="36"/>
        <v>0.69259999999999999</v>
      </c>
      <c r="L119" s="3313">
        <f t="shared" si="36"/>
        <v>0.69259999999999999</v>
      </c>
      <c r="M119" s="3336">
        <f t="shared" si="36"/>
        <v>0.69259999999999999</v>
      </c>
      <c r="N119" s="3323"/>
    </row>
    <row r="120" spans="1:14">
      <c r="A120" s="3335" t="s">
        <v>3295</v>
      </c>
      <c r="B120" s="3313">
        <f>ROUND(0.9448-0.0115*B116,4)</f>
        <v>0.85289999999999999</v>
      </c>
      <c r="C120" s="3313">
        <f>B120</f>
        <v>0.85289999999999999</v>
      </c>
      <c r="D120" s="3313">
        <f>ROUND(0.937-0.0145*B116,4)</f>
        <v>0.82110000000000005</v>
      </c>
      <c r="E120" s="3313">
        <f t="shared" si="37"/>
        <v>0.82110000000000005</v>
      </c>
      <c r="F120" s="3313">
        <f t="shared" si="37"/>
        <v>0.82110000000000005</v>
      </c>
      <c r="G120" s="3313">
        <f t="shared" si="37"/>
        <v>0.82110000000000005</v>
      </c>
      <c r="H120" s="3313">
        <f t="shared" si="37"/>
        <v>0.82110000000000005</v>
      </c>
      <c r="I120" s="3313">
        <f>ROUND(0.7965-0.0185*B116,4)</f>
        <v>0.64870000000000005</v>
      </c>
      <c r="J120" s="3313">
        <f t="shared" si="36"/>
        <v>0.64870000000000005</v>
      </c>
      <c r="K120" s="3313">
        <f t="shared" si="36"/>
        <v>0.64870000000000005</v>
      </c>
      <c r="L120" s="3313">
        <f t="shared" si="36"/>
        <v>0.64870000000000005</v>
      </c>
      <c r="M120" s="3336">
        <f t="shared" si="36"/>
        <v>0.64870000000000005</v>
      </c>
      <c r="N120" s="3323"/>
    </row>
    <row r="121" spans="1:14" ht="13.5" thickBot="1">
      <c r="A121" s="3337" t="s">
        <v>1993</v>
      </c>
      <c r="B121" s="3338">
        <f>ROUND(0.7836-0.012*B116,4)</f>
        <v>0.68769999999999998</v>
      </c>
      <c r="C121" s="3338">
        <f>B121</f>
        <v>0.68769999999999998</v>
      </c>
      <c r="D121" s="3338">
        <f>ROUND(0.753-0.015*B116,4)</f>
        <v>0.63319999999999999</v>
      </c>
      <c r="E121" s="3338">
        <f>D121</f>
        <v>0.63319999999999999</v>
      </c>
      <c r="F121" s="3338">
        <f>E121</f>
        <v>0.63319999999999999</v>
      </c>
      <c r="G121" s="3338">
        <f>ROUND(0.6612-0.018*B116,4)</f>
        <v>0.51739999999999997</v>
      </c>
      <c r="H121" s="3338">
        <f>G121</f>
        <v>0.51739999999999997</v>
      </c>
      <c r="I121" s="3338">
        <f>ROUND(0.5905-0.019*B116,4)</f>
        <v>0.43869999999999998</v>
      </c>
      <c r="J121" s="3338">
        <f t="shared" si="36"/>
        <v>0.43869999999999998</v>
      </c>
      <c r="K121" s="3338">
        <f t="shared" si="36"/>
        <v>0.43869999999999998</v>
      </c>
      <c r="L121" s="3338">
        <f t="shared" si="36"/>
        <v>0.43869999999999998</v>
      </c>
      <c r="M121" s="3339">
        <f t="shared" si="36"/>
        <v>0.43869999999999998</v>
      </c>
      <c r="N121" s="3323"/>
    </row>
    <row r="122" spans="1:14">
      <c r="A122" s="3340" t="s">
        <v>2599</v>
      </c>
      <c r="B122" s="3313">
        <f>ROUND(0.9404-0.0106*B116,4)</f>
        <v>0.85570000000000002</v>
      </c>
      <c r="C122" s="3313">
        <f>B122</f>
        <v>0.85570000000000002</v>
      </c>
      <c r="D122" s="3313">
        <f>ROUND(0.8955-0.0135*B116,4)</f>
        <v>0.78759999999999997</v>
      </c>
      <c r="E122" s="3313">
        <f t="shared" ref="E122:H122" si="38">D122</f>
        <v>0.78759999999999997</v>
      </c>
      <c r="F122" s="3313">
        <f t="shared" si="38"/>
        <v>0.78759999999999997</v>
      </c>
      <c r="G122" s="3313">
        <f t="shared" si="38"/>
        <v>0.78759999999999997</v>
      </c>
      <c r="H122" s="3313">
        <f t="shared" si="38"/>
        <v>0.78759999999999997</v>
      </c>
      <c r="I122" s="3313">
        <f>ROUND(0.7632-0.0166*B116,4)</f>
        <v>0.63060000000000005</v>
      </c>
      <c r="J122" s="3313">
        <f t="shared" si="36"/>
        <v>0.63060000000000005</v>
      </c>
      <c r="K122" s="3313">
        <f t="shared" si="36"/>
        <v>0.63060000000000005</v>
      </c>
      <c r="L122" s="3313">
        <f t="shared" si="36"/>
        <v>0.63060000000000005</v>
      </c>
      <c r="M122" s="3336">
        <f t="shared" si="36"/>
        <v>0.63060000000000005</v>
      </c>
      <c r="N122" s="332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31" sqref="G31"/>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25697.3</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80078</v>
      </c>
      <c r="C2" s="1994" t="s">
        <v>1935</v>
      </c>
      <c r="D2" s="1995" t="s">
        <v>1936</v>
      </c>
      <c r="E2" s="3347"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286">
        <f>ROUND(SUMPRODUCT((B106:B110=R2)*(C105:N105=G2)*(C106:N110)),4)</f>
        <v>1.5206</v>
      </c>
      <c r="T2" s="3286">
        <f t="shared" ref="T2:T16" si="0">ROUND($C$5*$C$22*$C$23*$C$24*S2*$C$28,0)</f>
        <v>44578</v>
      </c>
      <c r="U2" s="1208">
        <f>区域分配表!R10+区域分配表!R11</f>
        <v>4024.98</v>
      </c>
      <c r="V2" s="3286">
        <f>ROUND(T2*U2/10000,0)</f>
        <v>17943</v>
      </c>
      <c r="W2" s="1211"/>
      <c r="X2" s="1211"/>
      <c r="Y2" s="1211"/>
      <c r="Z2" s="1211"/>
      <c r="AA2" s="1211"/>
      <c r="AB2" s="1211"/>
      <c r="AC2" s="1212"/>
      <c r="AD2" s="1213"/>
      <c r="AE2" s="1213"/>
      <c r="AF2" s="1213"/>
      <c r="AG2" s="1213"/>
      <c r="AH2" s="1213"/>
      <c r="AI2" s="1213"/>
      <c r="AJ2" s="1214"/>
    </row>
    <row r="3" spans="1:36" ht="15.75">
      <c r="A3" s="201" t="s">
        <v>1940</v>
      </c>
      <c r="B3" s="202">
        <f>ROUND(B2*10000/D1,0)</f>
        <v>31162</v>
      </c>
      <c r="C3" s="1994" t="s">
        <v>1941</v>
      </c>
      <c r="D3" s="1995" t="s">
        <v>1942</v>
      </c>
      <c r="E3" s="3345" t="s">
        <v>2426</v>
      </c>
      <c r="F3" s="1999" t="s">
        <v>3755</v>
      </c>
      <c r="G3" s="747">
        <f>IF(F3="宗地容积率",'数据-汇总表'!I4,IF(F3="估价对象容积率",'数据-汇总表'!I6,'数据-汇总表'!I7))</f>
        <v>7.99</v>
      </c>
      <c r="H3" s="168"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286">
        <f>ROUND(SUMPRODUCT((B106:B110=R3)*(C105:N105=G2)*(C106:N110)),4)</f>
        <v>1.2072000000000001</v>
      </c>
      <c r="T3" s="3286">
        <f t="shared" si="0"/>
        <v>35390</v>
      </c>
      <c r="U3" s="1208">
        <f>区域分配表!R12</f>
        <v>5275.09</v>
      </c>
      <c r="V3" s="3286">
        <f t="shared" ref="V3:V16" si="1">ROUND(T3*U3/10000,0)</f>
        <v>18669</v>
      </c>
      <c r="W3" s="1211"/>
      <c r="X3" s="1211"/>
      <c r="Y3" s="1211"/>
      <c r="Z3" s="1211"/>
      <c r="AA3" s="1211"/>
      <c r="AB3" s="1211"/>
      <c r="AC3" s="1212"/>
      <c r="AD3" s="1213"/>
      <c r="AE3" s="1213"/>
      <c r="AF3" s="1213"/>
      <c r="AG3" s="1213"/>
      <c r="AH3" s="1213"/>
      <c r="AI3" s="1213"/>
      <c r="AJ3" s="1214"/>
    </row>
    <row r="4" spans="1:36" ht="15.75">
      <c r="A4" s="4149"/>
      <c r="B4" s="4150"/>
      <c r="C4" s="4150"/>
      <c r="D4" s="4151"/>
      <c r="E4" s="4151"/>
      <c r="F4" s="4151"/>
      <c r="G4" s="4151"/>
      <c r="H4" s="4151"/>
      <c r="I4" s="4151"/>
      <c r="J4" s="4152"/>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286">
        <f>ROUND(SUMPRODUCT((B106:B110=R4)*(C105:N105=G2)*(C106:N110)),4)</f>
        <v>1.0430999999999999</v>
      </c>
      <c r="T4" s="3286">
        <f t="shared" si="0"/>
        <v>30579</v>
      </c>
      <c r="U4" s="1208">
        <f>区域分配表!R13</f>
        <v>5705.32</v>
      </c>
      <c r="V4" s="3286">
        <f t="shared" si="1"/>
        <v>17446</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34550</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286">
        <f>ROUND(SUMPRODUCT((B106:B110=R5)*(C105:N105=G2)*(C106:N110)),4)</f>
        <v>0.94389999999999996</v>
      </c>
      <c r="T5" s="3286">
        <f t="shared" si="0"/>
        <v>27671</v>
      </c>
      <c r="U5" s="1208">
        <f>区域分配表!R14</f>
        <v>5705.32</v>
      </c>
      <c r="V5" s="3286">
        <f t="shared" si="1"/>
        <v>15787</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286">
        <f>ROUND(SUMPRODUCT((B106:B110=R6)*(C105:N105=G2)*(C106:N110)),4)</f>
        <v>0.89959999999999996</v>
      </c>
      <c r="T6" s="3286">
        <f t="shared" si="0"/>
        <v>26373</v>
      </c>
      <c r="U6" s="1208"/>
      <c r="V6" s="3286">
        <f t="shared" si="1"/>
        <v>0</v>
      </c>
      <c r="W6" s="1211"/>
      <c r="X6" s="1211"/>
      <c r="Y6" s="1211"/>
      <c r="Z6" s="1211"/>
      <c r="AA6" s="1211"/>
      <c r="AB6" s="1211"/>
      <c r="AC6" s="2006"/>
      <c r="AD6" s="2007"/>
      <c r="AE6" s="2007"/>
      <c r="AF6" s="2007"/>
      <c r="AG6" s="2007"/>
      <c r="AH6" s="2007"/>
      <c r="AI6" s="2007"/>
      <c r="AJ6" s="2008"/>
    </row>
    <row r="7" spans="1:36" ht="24.75" thickBot="1">
      <c r="A7" s="3229" t="s">
        <v>3202</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344"/>
      <c r="T7" s="3286">
        <f t="shared" si="0"/>
        <v>0</v>
      </c>
      <c r="U7" s="1208"/>
      <c r="V7" s="3286">
        <f t="shared" si="1"/>
        <v>0</v>
      </c>
      <c r="W7" s="1353" t="s">
        <v>1955</v>
      </c>
      <c r="X7" s="1209" t="str">
        <f>G2</f>
        <v>一级</v>
      </c>
      <c r="Y7" s="1209" t="s">
        <v>1956</v>
      </c>
      <c r="Z7" s="1210">
        <f>G3</f>
        <v>7.99</v>
      </c>
      <c r="AA7" s="1211"/>
      <c r="AB7" s="1211"/>
      <c r="AC7" s="1212"/>
      <c r="AD7" s="1213"/>
      <c r="AE7" s="1213"/>
      <c r="AF7" s="1213"/>
      <c r="AG7" s="1213"/>
      <c r="AH7" s="1213"/>
      <c r="AI7" s="1213"/>
      <c r="AJ7" s="1214"/>
    </row>
    <row r="8" spans="1:36" ht="25.5">
      <c r="A8" s="3224"/>
      <c r="B8" s="168" t="s">
        <v>1957</v>
      </c>
      <c r="C8" s="2021" t="s">
        <v>3776</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286">
        <f t="shared" si="0"/>
        <v>0</v>
      </c>
      <c r="U8" s="1208"/>
      <c r="V8" s="3286">
        <f t="shared" si="1"/>
        <v>0</v>
      </c>
      <c r="W8" s="4153" t="s">
        <v>1960</v>
      </c>
      <c r="X8" s="4154"/>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24"/>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286">
        <f t="shared" si="0"/>
        <v>0</v>
      </c>
      <c r="U9" s="1208"/>
      <c r="V9" s="3286">
        <f t="shared" si="1"/>
        <v>0</v>
      </c>
      <c r="W9" s="4155"/>
      <c r="X9" s="3287" t="s">
        <v>3233</v>
      </c>
      <c r="Y9" s="3288">
        <v>6</v>
      </c>
      <c r="Z9" s="3289">
        <f>$Y$9</f>
        <v>6</v>
      </c>
      <c r="AA9" s="3289">
        <f t="shared" ref="AA9:AJ9" si="2">$Y$9</f>
        <v>6</v>
      </c>
      <c r="AB9" s="3289">
        <f t="shared" si="2"/>
        <v>6</v>
      </c>
      <c r="AC9" s="3289">
        <f t="shared" si="2"/>
        <v>6</v>
      </c>
      <c r="AD9" s="3289">
        <f t="shared" si="2"/>
        <v>6</v>
      </c>
      <c r="AE9" s="3289">
        <f t="shared" si="2"/>
        <v>6</v>
      </c>
      <c r="AF9" s="3289">
        <f t="shared" si="2"/>
        <v>6</v>
      </c>
      <c r="AG9" s="3289">
        <f t="shared" si="2"/>
        <v>6</v>
      </c>
      <c r="AH9" s="3289">
        <f t="shared" si="2"/>
        <v>6</v>
      </c>
      <c r="AI9" s="3289">
        <f t="shared" si="2"/>
        <v>6</v>
      </c>
      <c r="AJ9" s="3289">
        <f t="shared" si="2"/>
        <v>6</v>
      </c>
    </row>
    <row r="10" spans="1:36" ht="15">
      <c r="A10" s="3224"/>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286">
        <f t="shared" si="0"/>
        <v>0</v>
      </c>
      <c r="U10" s="1208"/>
      <c r="V10" s="3286">
        <f t="shared" si="1"/>
        <v>0</v>
      </c>
      <c r="W10" s="4155"/>
      <c r="X10" s="3287">
        <v>6</v>
      </c>
      <c r="Y10" s="3290">
        <f>ROUND((-0.5556*(Y9^2)-0.2719*Y9+8944)*(10^(-4)),4)</f>
        <v>0.89219999999999999</v>
      </c>
      <c r="Z10" s="3290">
        <f>ROUND((-0.5556*(Z9^2)-0.2719*Z9+8944)*(10^(-4)),4)</f>
        <v>0.89219999999999999</v>
      </c>
      <c r="AA10" s="3290">
        <f>ROUND((-0.7912*(AA9^2)-11.3794*AA9+8482)*(10^(-4)),4)</f>
        <v>0.83850000000000002</v>
      </c>
      <c r="AB10" s="3290">
        <f>ROUND((-0.7912*(AB9^2)-11.3794*AB9+8482)*(10^(-4)),4)</f>
        <v>0.83850000000000002</v>
      </c>
      <c r="AC10" s="3290">
        <f>ROUND((-0.7912*(AC9^2)-11.3794*AC9+8482)*(10^(-4)),4)</f>
        <v>0.83850000000000002</v>
      </c>
      <c r="AD10" s="3290">
        <f>ROUND((-0.7912*(AD9^2)-11.3794*AD9+8482)*(10^(-4)),4)</f>
        <v>0.83850000000000002</v>
      </c>
      <c r="AE10" s="3290">
        <f>ROUND((-0.7912*(AE9^2)-11.3794*AE9+8482)*(10^(-4)),4)</f>
        <v>0.83850000000000002</v>
      </c>
      <c r="AF10" s="3290">
        <f>ROUND((-0.989*(AF9^2)-63.78*AF9+7771)*(10^(-4)),4)</f>
        <v>0.73529999999999995</v>
      </c>
      <c r="AG10" s="3290">
        <f>ROUND((-0.989*(AG9^2)-63.78*AG9+7771)*(10^(-4)),4)</f>
        <v>0.73529999999999995</v>
      </c>
      <c r="AH10" s="3290">
        <f>ROUND((-0.989*(AH9^2)-63.78*AH9+7771)*(10^(-4)),4)</f>
        <v>0.73529999999999995</v>
      </c>
      <c r="AI10" s="3290">
        <f>ROUND((-0.989*(AI9^2)-63.78*AI9+7771)*(10^(-4)),4)</f>
        <v>0.73529999999999995</v>
      </c>
      <c r="AJ10" s="3290">
        <f>ROUND((-0.989*(AJ9^2)-63.78*AJ9+7771)*(10^(-4)),4)</f>
        <v>0.73529999999999995</v>
      </c>
    </row>
    <row r="11" spans="1:36" ht="15.75" thickBot="1">
      <c r="A11" s="3228"/>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286">
        <f t="shared" si="0"/>
        <v>0</v>
      </c>
      <c r="U11" s="1208"/>
      <c r="V11" s="3286">
        <f t="shared" si="1"/>
        <v>0</v>
      </c>
      <c r="W11" s="1211"/>
      <c r="X11" s="1211"/>
      <c r="Y11" s="1211"/>
      <c r="Z11" s="1211"/>
      <c r="AA11" s="1211"/>
      <c r="AB11" s="1211"/>
      <c r="AC11" s="1212"/>
      <c r="AD11" s="2784"/>
      <c r="AE11" s="2784"/>
      <c r="AF11" s="2784"/>
      <c r="AG11" s="2784"/>
      <c r="AH11" s="2784"/>
      <c r="AI11" s="2784"/>
      <c r="AJ11" s="2785"/>
    </row>
    <row r="12" spans="1:36" ht="25.5" thickBot="1">
      <c r="A12" s="3229" t="s">
        <v>3203</v>
      </c>
      <c r="B12" s="3230" t="s">
        <v>3204</v>
      </c>
      <c r="C12" s="3231">
        <v>1</v>
      </c>
      <c r="D12" s="3232" t="s">
        <v>3205</v>
      </c>
      <c r="E12" s="3233" t="s">
        <v>3206</v>
      </c>
      <c r="F12" s="3234"/>
      <c r="G12" s="3235"/>
      <c r="H12" s="3235"/>
      <c r="I12" s="3235"/>
      <c r="J12" s="3236"/>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286">
        <f t="shared" si="0"/>
        <v>0</v>
      </c>
      <c r="U12" s="1208"/>
      <c r="V12" s="3286">
        <f t="shared" si="1"/>
        <v>0</v>
      </c>
      <c r="W12" s="1211"/>
      <c r="X12" s="1211"/>
      <c r="Y12" s="1211"/>
      <c r="Z12" s="1211"/>
      <c r="AA12" s="1211"/>
      <c r="AB12" s="1211"/>
      <c r="AC12" s="1212"/>
      <c r="AD12" s="2784"/>
      <c r="AE12" s="2784"/>
      <c r="AF12" s="2784"/>
      <c r="AG12" s="2784"/>
      <c r="AH12" s="2784"/>
      <c r="AI12" s="2784"/>
      <c r="AJ12" s="2785"/>
    </row>
    <row r="13" spans="1:36" ht="15.75" thickBot="1">
      <c r="A13" s="3229" t="s">
        <v>3207</v>
      </c>
      <c r="B13" s="2029" t="s">
        <v>1982</v>
      </c>
      <c r="C13" s="750">
        <f>ROUND(C16*D16*E16*F16*G16*H16*I16*J16,4)</f>
        <v>0</v>
      </c>
      <c r="D13" s="2030" t="s">
        <v>1983</v>
      </c>
      <c r="E13" s="2031"/>
      <c r="F13" s="2031"/>
      <c r="G13" s="2032"/>
      <c r="H13" s="2032"/>
      <c r="I13" s="2032"/>
      <c r="J13" s="2033"/>
      <c r="K13" s="1114"/>
      <c r="L13" s="3225"/>
      <c r="M13" s="3226"/>
      <c r="N13" s="3227"/>
      <c r="O13" s="1114"/>
      <c r="P13" s="1114"/>
      <c r="Q13" s="1114"/>
      <c r="R13" s="1207">
        <v>12</v>
      </c>
      <c r="S13" s="1208"/>
      <c r="T13" s="3286">
        <f t="shared" si="0"/>
        <v>0</v>
      </c>
      <c r="U13" s="1208"/>
      <c r="V13" s="3286">
        <f t="shared" si="1"/>
        <v>0</v>
      </c>
      <c r="W13" s="1211"/>
      <c r="X13" s="1211"/>
      <c r="Y13" s="1211"/>
      <c r="Z13" s="1211"/>
      <c r="AA13" s="1211"/>
      <c r="AB13" s="1211"/>
      <c r="AC13" s="1212"/>
      <c r="AD13" s="2784"/>
      <c r="AE13" s="2784"/>
      <c r="AF13" s="2784"/>
      <c r="AG13" s="2784"/>
      <c r="AH13" s="2784"/>
      <c r="AI13" s="2784"/>
      <c r="AJ13" s="2785"/>
    </row>
    <row r="14" spans="1:36" ht="15">
      <c r="A14" s="3223"/>
      <c r="B14" s="2035" t="s">
        <v>1985</v>
      </c>
      <c r="C14" s="2036" t="s">
        <v>1986</v>
      </c>
      <c r="D14" s="1345" t="s">
        <v>1987</v>
      </c>
      <c r="E14" s="25" t="s">
        <v>1988</v>
      </c>
      <c r="F14" s="3237" t="s">
        <v>3208</v>
      </c>
      <c r="G14" s="3237" t="s">
        <v>3208</v>
      </c>
      <c r="H14" s="3237" t="s">
        <v>3208</v>
      </c>
      <c r="I14" s="3237" t="s">
        <v>3208</v>
      </c>
      <c r="J14" s="3237" t="s">
        <v>3208</v>
      </c>
      <c r="K14" s="1114"/>
      <c r="L14" s="1114"/>
      <c r="M14" s="1114"/>
      <c r="N14" s="1114"/>
      <c r="O14" s="1114"/>
      <c r="P14" s="1114"/>
      <c r="Q14" s="1114"/>
      <c r="R14" s="1207">
        <v>13</v>
      </c>
      <c r="S14" s="1208"/>
      <c r="T14" s="3286">
        <f t="shared" si="0"/>
        <v>0</v>
      </c>
      <c r="U14" s="1208"/>
      <c r="V14" s="3286">
        <f t="shared" si="1"/>
        <v>0</v>
      </c>
      <c r="W14" s="1211"/>
      <c r="X14" s="1211"/>
      <c r="Y14" s="1211"/>
      <c r="Z14" s="1211"/>
      <c r="AA14" s="1211"/>
      <c r="AB14" s="1211"/>
      <c r="AC14" s="1212"/>
      <c r="AD14" s="2784"/>
      <c r="AE14" s="2784"/>
      <c r="AF14" s="2784"/>
      <c r="AG14" s="2784"/>
      <c r="AH14" s="2784"/>
      <c r="AI14" s="2784"/>
      <c r="AJ14" s="2785"/>
    </row>
    <row r="15" spans="1:36" ht="15">
      <c r="A15" s="3223"/>
      <c r="B15" s="2037"/>
      <c r="C15" s="2038"/>
      <c r="D15" s="2039"/>
      <c r="E15" s="2040"/>
      <c r="F15" s="3238" t="s">
        <v>3209</v>
      </c>
      <c r="G15" s="3239"/>
      <c r="H15" s="3240"/>
      <c r="I15" s="3241"/>
      <c r="J15" s="3242"/>
      <c r="K15" s="1114"/>
      <c r="L15" s="1114"/>
      <c r="M15" s="1114"/>
      <c r="N15" s="1114"/>
      <c r="O15" s="1114"/>
      <c r="P15" s="1114"/>
      <c r="Q15" s="1114"/>
      <c r="R15" s="1207">
        <v>14</v>
      </c>
      <c r="S15" s="1208"/>
      <c r="T15" s="3286">
        <f t="shared" si="0"/>
        <v>0</v>
      </c>
      <c r="U15" s="1208"/>
      <c r="V15" s="3286">
        <f t="shared" si="1"/>
        <v>0</v>
      </c>
      <c r="W15" s="1211"/>
      <c r="X15" s="1211"/>
      <c r="Y15" s="1211"/>
      <c r="Z15" s="1211"/>
      <c r="AA15" s="1211"/>
      <c r="AB15" s="1211"/>
      <c r="AC15" s="1212"/>
      <c r="AD15" s="2784"/>
      <c r="AE15" s="2784"/>
      <c r="AF15" s="2784"/>
      <c r="AG15" s="2784"/>
      <c r="AH15" s="2784"/>
      <c r="AI15" s="2784"/>
      <c r="AJ15" s="2785"/>
    </row>
    <row r="16" spans="1:36" ht="15.75" thickBot="1">
      <c r="A16" s="3223"/>
      <c r="B16" s="3245" t="s">
        <v>1989</v>
      </c>
      <c r="C16" s="3243"/>
      <c r="D16" s="3243"/>
      <c r="E16" s="3243"/>
      <c r="F16" s="3243">
        <v>1</v>
      </c>
      <c r="G16" s="3243">
        <v>1</v>
      </c>
      <c r="H16" s="3243">
        <v>1</v>
      </c>
      <c r="I16" s="3243">
        <v>1</v>
      </c>
      <c r="J16" s="3244">
        <v>1</v>
      </c>
      <c r="K16" s="1114"/>
      <c r="L16" s="1992"/>
      <c r="M16" s="1992"/>
      <c r="N16" s="1992"/>
      <c r="O16" s="1992"/>
      <c r="P16" s="1992"/>
      <c r="Q16" s="1114"/>
      <c r="R16" s="1207">
        <v>15</v>
      </c>
      <c r="S16" s="1208"/>
      <c r="T16" s="3286">
        <f t="shared" si="0"/>
        <v>0</v>
      </c>
      <c r="U16" s="1208"/>
      <c r="V16" s="3286">
        <f t="shared" si="1"/>
        <v>0</v>
      </c>
      <c r="W16" s="1211"/>
      <c r="X16" s="1211"/>
      <c r="Y16" s="1211"/>
      <c r="Z16" s="1211"/>
      <c r="AA16" s="1211"/>
      <c r="AB16" s="1211"/>
      <c r="AC16" s="1212"/>
      <c r="AD16" s="2784"/>
      <c r="AE16" s="2784"/>
      <c r="AF16" s="2784"/>
      <c r="AG16" s="2784"/>
      <c r="AH16" s="2784"/>
      <c r="AI16" s="2784"/>
      <c r="AJ16" s="2785"/>
    </row>
    <row r="17" spans="1:37">
      <c r="A17" s="3255" t="s">
        <v>3210</v>
      </c>
      <c r="B17" s="3246" t="s">
        <v>3211</v>
      </c>
      <c r="C17" s="3256">
        <f>ROUND(IF(OR(E2="工业",E2="公共服务"),1,IF(AND(E18=0,E19=0),1,IF(AND(E18=J24,E19=G19),0.8,IF(E19=0,1+E17*(-0.2),1+E17*G17*(-0.2))))),4)</f>
        <v>1</v>
      </c>
      <c r="D17" s="3247" t="s">
        <v>3212</v>
      </c>
      <c r="E17" s="3256">
        <f>ROUND(G18/I18,2)</f>
        <v>0</v>
      </c>
      <c r="F17" s="3247" t="s">
        <v>3215</v>
      </c>
      <c r="G17" s="3256" t="e">
        <f>ROUND(E19/G19,2)</f>
        <v>#DIV/0!</v>
      </c>
      <c r="H17" s="3256"/>
      <c r="I17" s="3256"/>
      <c r="J17" s="325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258"/>
      <c r="B18" s="3001"/>
      <c r="C18" s="3253"/>
      <c r="D18" s="3248" t="s">
        <v>3213</v>
      </c>
      <c r="E18" s="3254"/>
      <c r="F18" s="3249" t="s">
        <v>3216</v>
      </c>
      <c r="G18" s="3253">
        <f>ROUND(1-(1/(POWER(1+G24,E18))),4)</f>
        <v>0</v>
      </c>
      <c r="H18" s="3249" t="s">
        <v>3218</v>
      </c>
      <c r="I18" s="3253">
        <f>ROUND(1-(1/(POWER(1+G24,J24))),4)</f>
        <v>0.88249999999999995</v>
      </c>
      <c r="J18" s="325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260"/>
      <c r="B19" s="3261"/>
      <c r="C19" s="3262"/>
      <c r="D19" s="3262" t="s">
        <v>3214</v>
      </c>
      <c r="E19" s="3263"/>
      <c r="F19" s="3264" t="s">
        <v>3217</v>
      </c>
      <c r="G19" s="3263"/>
      <c r="H19" s="3262"/>
      <c r="I19" s="3262"/>
      <c r="J19" s="326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56" t="s">
        <v>3219</v>
      </c>
      <c r="B20" s="165" t="s">
        <v>1994</v>
      </c>
      <c r="C20" s="3250">
        <f>ROUND(IF(F21="与级别开发程度一致",0,(G21-E21)/C21),0)</f>
        <v>0</v>
      </c>
      <c r="D20" s="3266" t="s">
        <v>1998</v>
      </c>
      <c r="E20" s="3267"/>
      <c r="F20" s="4158" t="s">
        <v>1995</v>
      </c>
      <c r="G20" s="4159"/>
      <c r="H20" s="3251" t="s">
        <v>3896</v>
      </c>
      <c r="I20" s="3251" t="s">
        <v>3897</v>
      </c>
      <c r="J20" s="3252" t="s">
        <v>3898</v>
      </c>
      <c r="K20" s="2042" t="s">
        <v>3899</v>
      </c>
      <c r="L20" s="2042" t="s">
        <v>3900</v>
      </c>
      <c r="M20" s="2042" t="s">
        <v>3901</v>
      </c>
      <c r="N20" s="2042" t="s">
        <v>3902</v>
      </c>
      <c r="O20" s="2043" t="s">
        <v>3903</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57"/>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3757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1.0471999999999999</v>
      </c>
      <c r="D23" s="2049" t="s">
        <v>2002</v>
      </c>
      <c r="E23" s="756">
        <v>44197</v>
      </c>
      <c r="F23" s="2049" t="s">
        <v>2003</v>
      </c>
      <c r="G23" s="757">
        <f>'数据-取费表'!B2</f>
        <v>45226</v>
      </c>
      <c r="H23" s="3268" t="s">
        <v>3221</v>
      </c>
      <c r="I23" s="3269" t="str">
        <f>IF(H23="季度增幅（自定义）",SUMIF(N25:N28,E2,O25:O28),"")</f>
        <v/>
      </c>
      <c r="J23" s="3371" t="s">
        <v>3220</v>
      </c>
      <c r="K23" s="1120"/>
      <c r="L23" s="2050" t="s">
        <v>2004</v>
      </c>
      <c r="M23" s="1323">
        <f>ROUND(SUMIF(地价!B2:G2,E2,地价!B16:G16),0)</f>
        <v>350</v>
      </c>
      <c r="N23" s="2051" t="s">
        <v>2005</v>
      </c>
      <c r="O23" s="758">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0.75860000000000005</v>
      </c>
      <c r="D24" s="2055" t="s">
        <v>2007</v>
      </c>
      <c r="E24" s="1330">
        <f>存贷款利率!E24/100</f>
        <v>4.3499999999999997E-2</v>
      </c>
      <c r="F24" s="2055" t="s">
        <v>1999</v>
      </c>
      <c r="G24" s="763">
        <f>SUMIF(M30:Q30,E2,M33:Q33)</f>
        <v>5.5E-2</v>
      </c>
      <c r="H24" s="2055" t="s">
        <v>2008</v>
      </c>
      <c r="I24" s="764">
        <f>SUMIF('数据-取费表'!C6:C15,E2,'数据-取费表'!F6:F15)/COUNTIF('数据-取费表'!C6:C15,E2)</f>
        <v>20.68</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3895</v>
      </c>
      <c r="C25" s="766">
        <f>IF(B25="容积率修正",IF(G3&lt;10,D26,J26),C27)</f>
        <v>1.5206</v>
      </c>
      <c r="D25" s="2062"/>
      <c r="E25" s="2062"/>
      <c r="F25" s="2062"/>
      <c r="G25" s="2062"/>
      <c r="H25" s="2062"/>
      <c r="I25" s="2062"/>
      <c r="J25" s="2063"/>
      <c r="K25" s="1120"/>
      <c r="L25" s="2783"/>
      <c r="M25" s="2783"/>
      <c r="N25" s="2064" t="s">
        <v>2013</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270" t="s">
        <v>3222</v>
      </c>
      <c r="D26" s="1347">
        <f>IF(E26=G26,F26,IF(G3&lt;10,ROUND(F26+(H26-F26)*(G3-E26)/(G26-E26),4),"——"))</f>
        <v>0.91100000000000003</v>
      </c>
      <c r="E26" s="747">
        <f>ROUNDDOWN(G3,1)</f>
        <v>7.9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270" t="s">
        <v>3223</v>
      </c>
      <c r="J26" s="767" t="str">
        <f>IF(G3&gt;=10,D115,"——")</f>
        <v>——</v>
      </c>
      <c r="K26" s="1120"/>
      <c r="L26" s="2783"/>
      <c r="M26" s="2783"/>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1.0681</v>
      </c>
      <c r="D28" s="2047"/>
      <c r="E28" s="2072"/>
      <c r="F28" s="2072"/>
      <c r="G28" s="2072"/>
      <c r="H28" s="2072"/>
      <c r="I28" s="2072"/>
      <c r="J28" s="2073"/>
      <c r="K28" s="1120"/>
      <c r="L28" s="2783"/>
      <c r="M28" s="2783"/>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80078</v>
      </c>
      <c r="D30" s="2078"/>
      <c r="E30" s="2041"/>
      <c r="F30" s="2079"/>
      <c r="G30" s="2041"/>
      <c r="H30" s="2041"/>
      <c r="I30" s="2041"/>
      <c r="J30" s="2080"/>
      <c r="K30" s="1114"/>
      <c r="L30" s="3276" t="s">
        <v>1936</v>
      </c>
      <c r="M30" s="3277" t="s">
        <v>1990</v>
      </c>
      <c r="N30" s="3277" t="s">
        <v>1991</v>
      </c>
      <c r="O30" s="3277" t="s">
        <v>1992</v>
      </c>
      <c r="P30" s="3277" t="s">
        <v>1993</v>
      </c>
      <c r="Q30" s="3280" t="s">
        <v>3227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2558</v>
      </c>
      <c r="D31" s="2082"/>
      <c r="E31" s="2083"/>
      <c r="F31" s="2084"/>
      <c r="G31" s="2083"/>
      <c r="H31" s="2083"/>
      <c r="I31" s="2083"/>
      <c r="J31" s="2085"/>
      <c r="K31" s="1114"/>
      <c r="L31" s="3278" t="s">
        <v>1996</v>
      </c>
      <c r="M31" s="1995">
        <v>0.25</v>
      </c>
      <c r="N31" s="1995">
        <v>0.2</v>
      </c>
      <c r="O31" s="1995">
        <v>0.15</v>
      </c>
      <c r="P31" s="1995">
        <v>0.1</v>
      </c>
      <c r="Q31" s="327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279" t="s">
        <v>1999</v>
      </c>
      <c r="M32" s="2565">
        <f>ROUND($E$24*(1+M31),3)</f>
        <v>5.3999999999999999E-2</v>
      </c>
      <c r="N32" s="2565">
        <f>ROUND($E$24*(1+N31),3)</f>
        <v>5.1999999999999998E-2</v>
      </c>
      <c r="O32" s="2565">
        <f>ROUND($E$24*(1+O31),3)</f>
        <v>0.05</v>
      </c>
      <c r="P32" s="2565">
        <f>ROUND($E$24*(1+P31),3)</f>
        <v>4.8000000000000001E-2</v>
      </c>
      <c r="Q32" s="328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44578</v>
      </c>
      <c r="D33" s="2093">
        <f>SUM(U2:U5)</f>
        <v>20710.71</v>
      </c>
      <c r="E33" s="768">
        <f>ROUND(C33*D33/10000,0)</f>
        <v>92324</v>
      </c>
      <c r="F33" s="3271" t="s">
        <v>3225</v>
      </c>
      <c r="G33" s="2094"/>
      <c r="H33" s="2094"/>
      <c r="I33" s="2094"/>
      <c r="J33" s="2095"/>
      <c r="K33" s="1114"/>
      <c r="L33" s="3274" t="s">
        <v>3228</v>
      </c>
      <c r="M33" s="3275">
        <v>5.5E-2</v>
      </c>
      <c r="N33" s="3275">
        <v>5.5E-2</v>
      </c>
      <c r="O33" s="3275">
        <v>0.05</v>
      </c>
      <c r="P33" s="3275">
        <v>0.05</v>
      </c>
      <c r="Q33" s="327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t="e">
        <f>ROUND(IF(E2="工业",C33*M42,IF(B25="楼层修正",SUM(V2:V16)*M41*10000/D34,C33*M41)),0)</f>
        <v>#DIV/0!</v>
      </c>
      <c r="D34" s="2098"/>
      <c r="E34" s="768">
        <f>ROUND(IF(B25="楼层修正",SUM(V2:V16)*M40,C34*D34/10000),0)</f>
        <v>0</v>
      </c>
      <c r="F34" s="2099" t="s">
        <v>2032</v>
      </c>
      <c r="G34" s="2100"/>
      <c r="H34" s="2100"/>
      <c r="I34" s="2100"/>
      <c r="J34" s="2101"/>
      <c r="K34" s="1114"/>
      <c r="L34" s="3274" t="s">
        <v>3229</v>
      </c>
      <c r="M34" s="3275">
        <v>6.5000000000000002E-2</v>
      </c>
      <c r="N34" s="3275">
        <v>6.5000000000000002E-2</v>
      </c>
      <c r="O34" s="3275">
        <v>0.06</v>
      </c>
      <c r="P34" s="3275">
        <v>0.06</v>
      </c>
      <c r="Q34" s="327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272" t="s">
        <v>3226</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282" t="s">
        <v>3230</v>
      </c>
      <c r="L36" s="3372">
        <f ca="1">'数据-取费表'!B40</f>
        <v>3.4500000000000003E-2</v>
      </c>
      <c r="M36" s="3283">
        <f ca="1">ROUND($L$36*(1+M31),3)</f>
        <v>4.2999999999999997E-2</v>
      </c>
      <c r="N36" s="3283">
        <f ca="1">ROUND($L$36*(1+N31),3)</f>
        <v>4.1000000000000002E-2</v>
      </c>
      <c r="O36" s="3283">
        <f ca="1">ROUND($L$36*(1+O31),3)</f>
        <v>0.04</v>
      </c>
      <c r="P36" s="3283">
        <f ca="1">ROUND($L$36*(1+P31),3)</f>
        <v>3.7999999999999999E-2</v>
      </c>
      <c r="Q36" s="328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47"/>
      <c r="B37" s="2108" t="s">
        <v>2036</v>
      </c>
      <c r="C37" s="173">
        <f>ROUND(D5*C22*C23*C24*C28*F37,0)</f>
        <v>20521</v>
      </c>
      <c r="D37" s="2093">
        <f>区域分配表!T37</f>
        <v>4986.59</v>
      </c>
      <c r="E37" s="169">
        <f>ROUND(C37*D37/10000,0)</f>
        <v>10233</v>
      </c>
      <c r="F37" s="169">
        <f>SUMIF(修正!A57:A68,G2,修正!B57:B68)</f>
        <v>0.7</v>
      </c>
      <c r="G37" s="169">
        <f>ROUND(IF(E2="工业",C37*$M$42,C37*$M$41),0)</f>
        <v>5130</v>
      </c>
      <c r="H37" s="169">
        <f>D37</f>
        <v>4986.59</v>
      </c>
      <c r="I37" s="169">
        <f>ROUND(G37*H37/10000,0)</f>
        <v>2558</v>
      </c>
      <c r="J37" s="3003"/>
      <c r="K37" s="3284" t="s">
        <v>3231</v>
      </c>
      <c r="L37" s="3282">
        <f ca="1">L36+K38</f>
        <v>3.95E-2</v>
      </c>
      <c r="M37" s="3283">
        <f ca="1">ROUND($L$37*(1+M31),3)</f>
        <v>4.9000000000000002E-2</v>
      </c>
      <c r="N37" s="3283">
        <f t="shared" ref="N37:Q37" ca="1" si="3">ROUND($L$37*(1+N31),3)</f>
        <v>4.7E-2</v>
      </c>
      <c r="O37" s="3283">
        <f t="shared" ca="1" si="3"/>
        <v>4.4999999999999998E-2</v>
      </c>
      <c r="P37" s="3283">
        <f t="shared" ca="1" si="3"/>
        <v>4.2999999999999997E-2</v>
      </c>
      <c r="Q37" s="3283">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48"/>
      <c r="B38" s="2036" t="s">
        <v>2037</v>
      </c>
      <c r="C38" s="173">
        <f>ROUND(D5*C22*C23*C24*C28*F38,0)</f>
        <v>11726</v>
      </c>
      <c r="D38" s="2093"/>
      <c r="E38" s="169">
        <f t="shared" ref="E38:E42" si="4">ROUND(C38*D38/10000,0)</f>
        <v>0</v>
      </c>
      <c r="F38" s="169">
        <f>SUMIF(修正!A57:A68,G2,修正!C57:C68)</f>
        <v>0.4</v>
      </c>
      <c r="G38" s="169">
        <f>ROUND(IF(E2="工业",C38*$M$42,C38*$M$41),0)</f>
        <v>2932</v>
      </c>
      <c r="H38" s="169">
        <f t="shared" ref="H38:H42" si="5">D38</f>
        <v>0</v>
      </c>
      <c r="I38" s="169">
        <f t="shared" ref="I38:I42" si="6">ROUND(G38*H38/10000,0)</f>
        <v>0</v>
      </c>
      <c r="J38" s="3002"/>
      <c r="K38" s="3282">
        <v>5.0000000000000001E-3</v>
      </c>
      <c r="L38" s="3282"/>
      <c r="M38" s="3282"/>
      <c r="N38" s="3282"/>
      <c r="O38" s="3282"/>
      <c r="P38" s="3282"/>
      <c r="Q38" s="3282"/>
      <c r="R38" s="1114"/>
      <c r="S38" s="1114"/>
      <c r="T38" s="1114"/>
      <c r="U38" s="1114"/>
      <c r="V38" s="1114"/>
      <c r="W38" s="1114"/>
      <c r="X38" s="1114"/>
      <c r="Y38" s="1114"/>
      <c r="Z38" s="1115"/>
      <c r="AA38" s="1115"/>
      <c r="AB38" s="1115"/>
      <c r="AC38" s="1115"/>
      <c r="AD38" s="1115"/>
    </row>
    <row r="39" spans="1:37" ht="13.5" thickBot="1">
      <c r="A39" s="4148"/>
      <c r="B39" s="2036" t="s">
        <v>3224</v>
      </c>
      <c r="C39" s="173">
        <f>ROUND(D5*C22*C23*C24*C28*F39,0)</f>
        <v>8795</v>
      </c>
      <c r="D39" s="2093"/>
      <c r="E39" s="169">
        <f t="shared" si="4"/>
        <v>0</v>
      </c>
      <c r="F39" s="169">
        <f>SUMIF(修正!A57:A68,G2,修正!D57:D68)</f>
        <v>0.3</v>
      </c>
      <c r="G39" s="169">
        <f>ROUND(IF(E2="工业",C39*$M$42,C39*$M$41),0)</f>
        <v>2199</v>
      </c>
      <c r="H39" s="169">
        <f t="shared" si="5"/>
        <v>0</v>
      </c>
      <c r="I39" s="169">
        <f t="shared" si="6"/>
        <v>0</v>
      </c>
      <c r="J39" s="3002"/>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8795</v>
      </c>
      <c r="D40" s="2093"/>
      <c r="E40" s="169">
        <f t="shared" si="4"/>
        <v>0</v>
      </c>
      <c r="F40" s="173">
        <f>SUMIF(修正!A57:A68,G2,修正!E57:E68)</f>
        <v>0.3</v>
      </c>
      <c r="G40" s="169">
        <f>ROUND(IF(E2="工业",C40*$M$42,C40*$M$41),0)</f>
        <v>2199</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8336</v>
      </c>
      <c r="D41" s="2093"/>
      <c r="E41" s="169">
        <f t="shared" si="4"/>
        <v>0</v>
      </c>
      <c r="F41" s="173">
        <f>SUMIF(修正!A57:A68,G2,修正!F57:F68)</f>
        <v>0.3</v>
      </c>
      <c r="G41" s="169">
        <f>ROUND(IF(E2="工业",C41*$M$42,C41*$M$41),0)</f>
        <v>2084</v>
      </c>
      <c r="H41" s="169">
        <f t="shared" si="5"/>
        <v>0</v>
      </c>
      <c r="I41" s="169">
        <f t="shared" si="6"/>
        <v>0</v>
      </c>
      <c r="J41" s="2109"/>
      <c r="L41" s="3285" t="s">
        <v>3232</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5557</v>
      </c>
      <c r="D42" s="2098"/>
      <c r="E42" s="185">
        <f t="shared" si="4"/>
        <v>0</v>
      </c>
      <c r="F42" s="762">
        <f>SUMIF(修正!A57:A68,G2,修正!G57:G68)</f>
        <v>0.2</v>
      </c>
      <c r="G42" s="185">
        <f>ROUND(IF(E2="工业",C42*$M$42,C42*$M$41),0)</f>
        <v>1389</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0.71899999999999997</v>
      </c>
      <c r="D44" s="169" t="s">
        <v>1999</v>
      </c>
      <c r="E44" s="2148">
        <f>G24</f>
        <v>5.5E-2</v>
      </c>
      <c r="F44" s="169" t="s">
        <v>2008</v>
      </c>
      <c r="G44" s="181">
        <f>项目基本情况!D15</f>
        <v>20.68</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1.0681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3758</v>
      </c>
      <c r="D50" s="1060">
        <f t="shared" ref="D50:D58" si="7">SUMIF($J$49:$N$49,C50,J50:N50)</f>
        <v>2.9399999999999999E-2</v>
      </c>
      <c r="E50" s="739">
        <f>ROUND(SUM(D50:D58),4)</f>
        <v>6.8099999999999994E-2</v>
      </c>
      <c r="F50" s="1809">
        <f>IF(E2="商业",SUMIF(L1:L12,G2,N1:N12),"——")</f>
        <v>9.8000000000000004E-2</v>
      </c>
      <c r="G50" s="1058">
        <f>H50</f>
        <v>1.47E-2</v>
      </c>
      <c r="H50" s="1061">
        <f t="shared" ref="H50:H58" si="8">IFERROR(ROUNDDOWN($F$50*I50/2,4),"——")</f>
        <v>1.47E-2</v>
      </c>
      <c r="I50" s="3292">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3759</v>
      </c>
      <c r="D51" s="1060">
        <f t="shared" si="7"/>
        <v>1.0699999999999999E-2</v>
      </c>
      <c r="E51" s="740"/>
      <c r="F51" s="1809"/>
      <c r="G51" s="1058">
        <f t="shared" ref="G51:G58" si="12">H51</f>
        <v>1.0699999999999999E-2</v>
      </c>
      <c r="H51" s="1061">
        <f t="shared" si="8"/>
        <v>1.0699999999999999E-2</v>
      </c>
      <c r="I51" s="3292">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294" t="s">
        <v>3234</v>
      </c>
      <c r="B52" s="2129">
        <f>估价对象房地状况!C19</f>
        <v>0</v>
      </c>
      <c r="C52" s="2039" t="s">
        <v>3759</v>
      </c>
      <c r="D52" s="1060">
        <f t="shared" si="7"/>
        <v>5.7999999999999996E-3</v>
      </c>
      <c r="E52" s="740"/>
      <c r="F52" s="1809"/>
      <c r="G52" s="1058">
        <f t="shared" si="12"/>
        <v>5.7999999999999996E-3</v>
      </c>
      <c r="H52" s="1061">
        <f t="shared" si="8"/>
        <v>5.7999999999999996E-3</v>
      </c>
      <c r="I52" s="3292">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3759</v>
      </c>
      <c r="D53" s="1060">
        <f t="shared" si="7"/>
        <v>2.3999999999999998E-3</v>
      </c>
      <c r="E53" s="740"/>
      <c r="F53" s="1809"/>
      <c r="G53" s="1058">
        <f t="shared" si="12"/>
        <v>2.3999999999999998E-3</v>
      </c>
      <c r="H53" s="1061">
        <f t="shared" si="8"/>
        <v>2.3999999999999998E-3</v>
      </c>
      <c r="I53" s="3292">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3779</v>
      </c>
      <c r="D54" s="1060">
        <f t="shared" si="7"/>
        <v>0</v>
      </c>
      <c r="E54" s="740"/>
      <c r="F54" s="1809"/>
      <c r="G54" s="1058">
        <f t="shared" si="12"/>
        <v>3.8999999999999998E-3</v>
      </c>
      <c r="H54" s="1061">
        <f t="shared" si="8"/>
        <v>3.8999999999999998E-3</v>
      </c>
      <c r="I54" s="3292">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3759</v>
      </c>
      <c r="D55" s="1060">
        <f t="shared" si="7"/>
        <v>2.3999999999999998E-3</v>
      </c>
      <c r="E55" s="740"/>
      <c r="F55" s="1809"/>
      <c r="G55" s="1058">
        <f t="shared" si="12"/>
        <v>2.3999999999999998E-3</v>
      </c>
      <c r="H55" s="1061">
        <f t="shared" si="8"/>
        <v>2.3999999999999998E-3</v>
      </c>
      <c r="I55" s="3292">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3758</v>
      </c>
      <c r="D56" s="1060">
        <f t="shared" si="7"/>
        <v>4.7999999999999996E-3</v>
      </c>
      <c r="E56" s="740"/>
      <c r="F56" s="1809"/>
      <c r="G56" s="1058">
        <f t="shared" si="12"/>
        <v>2.3999999999999998E-3</v>
      </c>
      <c r="H56" s="1061">
        <f t="shared" si="8"/>
        <v>2.3999999999999998E-3</v>
      </c>
      <c r="I56" s="3292">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3758</v>
      </c>
      <c r="D57" s="1060">
        <f t="shared" si="7"/>
        <v>7.7999999999999996E-3</v>
      </c>
      <c r="E57" s="740"/>
      <c r="F57" s="1809"/>
      <c r="G57" s="1058">
        <f t="shared" si="12"/>
        <v>3.8999999999999998E-3</v>
      </c>
      <c r="H57" s="1061">
        <f t="shared" si="8"/>
        <v>3.8999999999999998E-3</v>
      </c>
      <c r="I57" s="3292">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3758</v>
      </c>
      <c r="D58" s="1060">
        <f t="shared" si="7"/>
        <v>4.7999999999999996E-3</v>
      </c>
      <c r="E58" s="741"/>
      <c r="F58" s="1809"/>
      <c r="G58" s="1058">
        <f t="shared" si="12"/>
        <v>2.3999999999999998E-3</v>
      </c>
      <c r="H58" s="1061">
        <f t="shared" si="8"/>
        <v>2.3999999999999998E-3</v>
      </c>
      <c r="I58" s="3293">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292">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292">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294" t="s">
        <v>3234</v>
      </c>
      <c r="B63" s="2129">
        <f>估价对象房地状况!C19</f>
        <v>0</v>
      </c>
      <c r="C63" s="2039"/>
      <c r="D63" s="1060">
        <f t="shared" si="13"/>
        <v>0</v>
      </c>
      <c r="E63" s="740"/>
      <c r="F63" s="1809"/>
      <c r="G63" s="1058"/>
      <c r="H63" s="1061" t="str">
        <f t="shared" si="14"/>
        <v>——</v>
      </c>
      <c r="I63" s="3292">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292">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292">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292">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292">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292">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293">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292">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292">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294" t="s">
        <v>3234</v>
      </c>
      <c r="B74" s="2129">
        <f>估价对象房地状况!C19</f>
        <v>0</v>
      </c>
      <c r="C74" s="2039"/>
      <c r="D74" s="1060">
        <f t="shared" si="18"/>
        <v>0</v>
      </c>
      <c r="E74" s="742"/>
      <c r="F74" s="1809"/>
      <c r="G74" s="1058"/>
      <c r="H74" s="1061" t="str">
        <f t="shared" si="19"/>
        <v>——</v>
      </c>
      <c r="I74" s="3292">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292">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292">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292">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292">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292">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293">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292">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292">
        <v>0.3</v>
      </c>
      <c r="J84" s="1059">
        <f t="shared" si="25"/>
        <v>0</v>
      </c>
      <c r="K84" s="1059">
        <f t="shared" si="26"/>
        <v>0</v>
      </c>
      <c r="L84" s="1059">
        <v>0</v>
      </c>
      <c r="M84" s="1059">
        <f t="shared" si="27"/>
        <v>0</v>
      </c>
      <c r="N84" s="1059">
        <f t="shared" si="27"/>
        <v>0</v>
      </c>
      <c r="Z84" s="1993"/>
      <c r="AA84" s="2048"/>
      <c r="AG84" s="1116"/>
      <c r="AK84" s="2048"/>
    </row>
    <row r="85" spans="1:37" ht="36">
      <c r="A85" s="3294" t="s">
        <v>3235</v>
      </c>
      <c r="B85" s="2129">
        <f>估价对象房地状况!G17</f>
        <v>0</v>
      </c>
      <c r="C85" s="2039"/>
      <c r="D85" s="1060">
        <f t="shared" si="23"/>
        <v>0</v>
      </c>
      <c r="E85" s="742"/>
      <c r="F85" s="1809"/>
      <c r="G85" s="1058"/>
      <c r="H85" s="1061" t="str">
        <f t="shared" si="24"/>
        <v>——</v>
      </c>
      <c r="I85" s="3292">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292">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292">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292">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292">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293">
        <v>0.05</v>
      </c>
      <c r="J90" s="1059">
        <f t="shared" si="25"/>
        <v>0</v>
      </c>
      <c r="K90" s="1059">
        <f t="shared" si="26"/>
        <v>0</v>
      </c>
      <c r="L90" s="1059">
        <v>0</v>
      </c>
      <c r="M90" s="1059">
        <f t="shared" si="27"/>
        <v>0</v>
      </c>
      <c r="N90" s="1059">
        <f t="shared" si="27"/>
        <v>0</v>
      </c>
    </row>
    <row r="91" spans="1:37" ht="15">
      <c r="A91" s="3302" t="s">
        <v>2599</v>
      </c>
      <c r="B91" s="3303">
        <f>1+E93</f>
        <v>1</v>
      </c>
      <c r="C91" s="3296"/>
      <c r="D91" s="3297"/>
      <c r="E91" s="1809"/>
      <c r="F91" s="1809"/>
      <c r="G91" s="3298"/>
      <c r="H91" s="3299"/>
      <c r="I91" s="3300"/>
      <c r="J91" s="3301"/>
      <c r="K91" s="3301"/>
      <c r="L91" s="3301"/>
      <c r="M91" s="3301"/>
      <c r="N91" s="3301"/>
    </row>
    <row r="92" spans="1:37" ht="24.75">
      <c r="A92" s="3304" t="s">
        <v>3236</v>
      </c>
      <c r="B92" s="3291"/>
      <c r="C92" s="3291" t="s">
        <v>3245</v>
      </c>
      <c r="D92" s="3291" t="s">
        <v>3246</v>
      </c>
      <c r="E92" s="3273" t="s">
        <v>3247</v>
      </c>
      <c r="F92" s="3306" t="s">
        <v>3248</v>
      </c>
      <c r="G92" s="3291" t="s">
        <v>3249</v>
      </c>
      <c r="H92" s="3313" t="s">
        <v>3252</v>
      </c>
      <c r="I92" s="3291" t="s">
        <v>3253</v>
      </c>
      <c r="J92" s="3314" t="s">
        <v>3254</v>
      </c>
      <c r="K92" s="3314" t="s">
        <v>3255</v>
      </c>
      <c r="L92" s="3314" t="s">
        <v>3256</v>
      </c>
      <c r="M92" s="3314" t="s">
        <v>3257</v>
      </c>
      <c r="N92" s="3314" t="s">
        <v>3258</v>
      </c>
    </row>
    <row r="93" spans="1:37" ht="24">
      <c r="A93" s="3294" t="s">
        <v>3237</v>
      </c>
      <c r="B93" s="1301"/>
      <c r="C93" s="2039"/>
      <c r="D93" s="3291">
        <f>SUMIF($J$92:$N$92,C93,J93:N93)</f>
        <v>0</v>
      </c>
      <c r="E93" s="3307">
        <f>ROUND(SUM(D93:D101),4)</f>
        <v>0</v>
      </c>
      <c r="F93" s="1809" t="str">
        <f>IF(E2="公共服务",SUMIF(L1:L12,G2,N1:N12),"——")</f>
        <v>——</v>
      </c>
      <c r="G93" s="3298"/>
      <c r="H93" s="3346" t="str">
        <f>IFERROR(ROUNDDOWN($F$93*I93/2,4),"——")</f>
        <v>——</v>
      </c>
      <c r="I93" s="3292">
        <v>0.25</v>
      </c>
      <c r="J93" s="3270">
        <f t="shared" ref="J93:J101" si="28">K93+$G93</f>
        <v>0</v>
      </c>
      <c r="K93" s="3270">
        <f t="shared" ref="K93:K101" si="29">$L93+$G93</f>
        <v>0</v>
      </c>
      <c r="L93" s="3270">
        <v>0</v>
      </c>
      <c r="M93" s="3270">
        <f t="shared" ref="M93:N101" si="30">L93-$G93</f>
        <v>0</v>
      </c>
      <c r="N93" s="3270">
        <f t="shared" si="30"/>
        <v>0</v>
      </c>
    </row>
    <row r="94" spans="1:37" ht="14.25">
      <c r="A94" s="3304" t="s">
        <v>3238</v>
      </c>
      <c r="B94" s="3295">
        <f>估价对象房地状况!C18</f>
        <v>0</v>
      </c>
      <c r="C94" s="2039"/>
      <c r="D94" s="3291">
        <f t="shared" ref="D94:D101" si="31">SUMIF($J$60:$N$60,C94,J94:N94)</f>
        <v>0</v>
      </c>
      <c r="E94" s="3308"/>
      <c r="F94" s="1809"/>
      <c r="G94" s="3298"/>
      <c r="H94" s="3346" t="str">
        <f>IFERROR(ROUNDDOWN($F$93*I94/2,4),"——")</f>
        <v>——</v>
      </c>
      <c r="I94" s="3292">
        <v>0.26</v>
      </c>
      <c r="J94" s="3270">
        <f t="shared" si="28"/>
        <v>0</v>
      </c>
      <c r="K94" s="3270">
        <f t="shared" si="29"/>
        <v>0</v>
      </c>
      <c r="L94" s="3270">
        <v>0</v>
      </c>
      <c r="M94" s="3270">
        <f t="shared" si="30"/>
        <v>0</v>
      </c>
      <c r="N94" s="3270">
        <f t="shared" si="30"/>
        <v>0</v>
      </c>
    </row>
    <row r="95" spans="1:37" ht="36">
      <c r="A95" s="3294" t="s">
        <v>3234</v>
      </c>
      <c r="B95" s="3295">
        <f>估价对象房地状况!C19</f>
        <v>0</v>
      </c>
      <c r="C95" s="2039"/>
      <c r="D95" s="3291">
        <f t="shared" si="31"/>
        <v>0</v>
      </c>
      <c r="E95" s="3308"/>
      <c r="F95" s="1809"/>
      <c r="G95" s="3298"/>
      <c r="H95" s="3346" t="str">
        <f t="shared" ref="H95:H101" si="32">IFERROR(ROUNDDOWN($F$93*I95/2,4),"——")</f>
        <v>——</v>
      </c>
      <c r="I95" s="3292">
        <v>0.11</v>
      </c>
      <c r="J95" s="3270">
        <f t="shared" si="28"/>
        <v>0</v>
      </c>
      <c r="K95" s="3270">
        <f t="shared" si="29"/>
        <v>0</v>
      </c>
      <c r="L95" s="3270">
        <v>0</v>
      </c>
      <c r="M95" s="3270">
        <f t="shared" si="30"/>
        <v>0</v>
      </c>
      <c r="N95" s="3270">
        <f t="shared" si="30"/>
        <v>0</v>
      </c>
    </row>
    <row r="96" spans="1:37" ht="36.75">
      <c r="A96" s="3304" t="s">
        <v>3239</v>
      </c>
      <c r="B96" s="3310" t="s">
        <v>3250</v>
      </c>
      <c r="C96" s="2039"/>
      <c r="D96" s="3291">
        <f t="shared" si="31"/>
        <v>0</v>
      </c>
      <c r="E96" s="3308"/>
      <c r="F96" s="1809"/>
      <c r="G96" s="3298"/>
      <c r="H96" s="3346" t="str">
        <f t="shared" si="32"/>
        <v>——</v>
      </c>
      <c r="I96" s="3292">
        <v>0.05</v>
      </c>
      <c r="J96" s="3270">
        <f t="shared" si="28"/>
        <v>0</v>
      </c>
      <c r="K96" s="3270">
        <f t="shared" si="29"/>
        <v>0</v>
      </c>
      <c r="L96" s="3270">
        <v>0</v>
      </c>
      <c r="M96" s="3270">
        <f t="shared" si="30"/>
        <v>0</v>
      </c>
      <c r="N96" s="3270">
        <f t="shared" si="30"/>
        <v>0</v>
      </c>
    </row>
    <row r="97" spans="1:14" ht="24">
      <c r="A97" s="3304" t="s">
        <v>3240</v>
      </c>
      <c r="B97" s="3295">
        <f>估价对象房地状况!C24</f>
        <v>0</v>
      </c>
      <c r="C97" s="2039"/>
      <c r="D97" s="3291">
        <f t="shared" si="31"/>
        <v>0</v>
      </c>
      <c r="E97" s="3308"/>
      <c r="F97" s="1809"/>
      <c r="G97" s="3298"/>
      <c r="H97" s="3346" t="str">
        <f t="shared" si="32"/>
        <v>——</v>
      </c>
      <c r="I97" s="3292">
        <v>0.05</v>
      </c>
      <c r="J97" s="3270">
        <f t="shared" si="28"/>
        <v>0</v>
      </c>
      <c r="K97" s="3270">
        <f t="shared" si="29"/>
        <v>0</v>
      </c>
      <c r="L97" s="3270">
        <v>0</v>
      </c>
      <c r="M97" s="3270">
        <f t="shared" si="30"/>
        <v>0</v>
      </c>
      <c r="N97" s="3270">
        <f t="shared" si="30"/>
        <v>0</v>
      </c>
    </row>
    <row r="98" spans="1:14" ht="24">
      <c r="A98" s="3304" t="s">
        <v>3241</v>
      </c>
      <c r="B98" s="3311" t="s">
        <v>3251</v>
      </c>
      <c r="C98" s="2039"/>
      <c r="D98" s="3291">
        <f t="shared" si="31"/>
        <v>0</v>
      </c>
      <c r="E98" s="3308"/>
      <c r="F98" s="1809"/>
      <c r="G98" s="3298"/>
      <c r="H98" s="3346" t="str">
        <f t="shared" si="32"/>
        <v>——</v>
      </c>
      <c r="I98" s="3292">
        <v>0.06</v>
      </c>
      <c r="J98" s="3270">
        <f t="shared" si="28"/>
        <v>0</v>
      </c>
      <c r="K98" s="3270">
        <f t="shared" si="29"/>
        <v>0</v>
      </c>
      <c r="L98" s="3270">
        <v>0</v>
      </c>
      <c r="M98" s="3270">
        <f t="shared" si="30"/>
        <v>0</v>
      </c>
      <c r="N98" s="3270">
        <f t="shared" si="30"/>
        <v>0</v>
      </c>
    </row>
    <row r="99" spans="1:14" ht="24">
      <c r="A99" s="3304" t="s">
        <v>3242</v>
      </c>
      <c r="B99" s="3295">
        <f>估价对象房地状况!C21</f>
        <v>0</v>
      </c>
      <c r="C99" s="2039"/>
      <c r="D99" s="3291">
        <f t="shared" si="31"/>
        <v>0</v>
      </c>
      <c r="E99" s="3308"/>
      <c r="F99" s="1809"/>
      <c r="G99" s="3298"/>
      <c r="H99" s="3346" t="str">
        <f t="shared" si="32"/>
        <v>——</v>
      </c>
      <c r="I99" s="3292">
        <v>0.06</v>
      </c>
      <c r="J99" s="3270">
        <f t="shared" si="28"/>
        <v>0</v>
      </c>
      <c r="K99" s="3270">
        <f t="shared" si="29"/>
        <v>0</v>
      </c>
      <c r="L99" s="3270">
        <v>0</v>
      </c>
      <c r="M99" s="3270">
        <f t="shared" si="30"/>
        <v>0</v>
      </c>
      <c r="N99" s="3270">
        <f t="shared" si="30"/>
        <v>0</v>
      </c>
    </row>
    <row r="100" spans="1:14" ht="24">
      <c r="A100" s="3304" t="s">
        <v>3243</v>
      </c>
      <c r="B100" s="3295">
        <f>估价对象房地状况!C22</f>
        <v>0</v>
      </c>
      <c r="C100" s="2039"/>
      <c r="D100" s="3291">
        <f t="shared" si="31"/>
        <v>0</v>
      </c>
      <c r="E100" s="3308"/>
      <c r="F100" s="1809"/>
      <c r="G100" s="3298"/>
      <c r="H100" s="3346" t="str">
        <f t="shared" si="32"/>
        <v>——</v>
      </c>
      <c r="I100" s="3292">
        <v>0.09</v>
      </c>
      <c r="J100" s="3270">
        <f t="shared" si="28"/>
        <v>0</v>
      </c>
      <c r="K100" s="3270">
        <f t="shared" si="29"/>
        <v>0</v>
      </c>
      <c r="L100" s="3270">
        <v>0</v>
      </c>
      <c r="M100" s="3270">
        <f t="shared" si="30"/>
        <v>0</v>
      </c>
      <c r="N100" s="3270">
        <f t="shared" si="30"/>
        <v>0</v>
      </c>
    </row>
    <row r="101" spans="1:14" ht="24.75" thickBot="1">
      <c r="A101" s="3305" t="s">
        <v>3244</v>
      </c>
      <c r="B101" s="3312">
        <f>估价对象房地状况!C20</f>
        <v>0</v>
      </c>
      <c r="C101" s="2039"/>
      <c r="D101" s="3291">
        <f t="shared" si="31"/>
        <v>0</v>
      </c>
      <c r="E101" s="3309"/>
      <c r="F101" s="1809"/>
      <c r="G101" s="3298"/>
      <c r="H101" s="3346" t="str">
        <f t="shared" si="32"/>
        <v>——</v>
      </c>
      <c r="I101" s="3293">
        <v>7.0000000000000007E-2</v>
      </c>
      <c r="J101" s="3270">
        <f t="shared" si="28"/>
        <v>0</v>
      </c>
      <c r="K101" s="3270">
        <f t="shared" si="29"/>
        <v>0</v>
      </c>
      <c r="L101" s="3270">
        <v>0</v>
      </c>
      <c r="M101" s="3270">
        <f t="shared" si="30"/>
        <v>0</v>
      </c>
      <c r="N101" s="3270">
        <f t="shared" si="30"/>
        <v>0</v>
      </c>
    </row>
    <row r="103" spans="1:14">
      <c r="A103" s="4141" t="s">
        <v>3259</v>
      </c>
      <c r="B103" s="4141"/>
      <c r="C103" s="4141"/>
      <c r="D103" s="4141"/>
      <c r="E103" s="4141"/>
      <c r="F103" s="4141"/>
      <c r="G103" s="4141"/>
      <c r="H103" s="4141"/>
      <c r="I103" s="4141"/>
      <c r="J103" s="4141"/>
      <c r="K103" s="3315"/>
      <c r="L103" s="3315"/>
      <c r="M103" s="3315"/>
      <c r="N103" s="3315"/>
    </row>
    <row r="104" spans="1:14">
      <c r="A104" s="4142" t="s">
        <v>3260</v>
      </c>
      <c r="B104" s="4142" t="s">
        <v>3261</v>
      </c>
      <c r="C104" s="3316" t="s">
        <v>3262</v>
      </c>
      <c r="D104" s="3317"/>
      <c r="E104" s="3317"/>
      <c r="F104" s="3317"/>
      <c r="G104" s="3317"/>
      <c r="H104" s="3317"/>
      <c r="I104" s="3317"/>
      <c r="J104" s="3318"/>
      <c r="K104" s="3319"/>
      <c r="L104" s="3319"/>
      <c r="M104" s="3319"/>
      <c r="N104" s="3319"/>
    </row>
    <row r="105" spans="1:14">
      <c r="A105" s="4142"/>
      <c r="B105" s="4142"/>
      <c r="C105" s="3320" t="s">
        <v>3263</v>
      </c>
      <c r="D105" s="3320" t="s">
        <v>3264</v>
      </c>
      <c r="E105" s="3320" t="s">
        <v>3265</v>
      </c>
      <c r="F105" s="3320" t="s">
        <v>3266</v>
      </c>
      <c r="G105" s="3320" t="s">
        <v>3267</v>
      </c>
      <c r="H105" s="3320" t="s">
        <v>3268</v>
      </c>
      <c r="I105" s="3320" t="s">
        <v>3269</v>
      </c>
      <c r="J105" s="3320" t="s">
        <v>3270</v>
      </c>
      <c r="K105" s="3320" t="s">
        <v>3271</v>
      </c>
      <c r="L105" s="3320" t="s">
        <v>3272</v>
      </c>
      <c r="M105" s="3320" t="s">
        <v>3273</v>
      </c>
      <c r="N105" s="3320" t="s">
        <v>3274</v>
      </c>
    </row>
    <row r="106" spans="1:14">
      <c r="A106" s="4143" t="s">
        <v>3275</v>
      </c>
      <c r="B106" s="3320">
        <v>1</v>
      </c>
      <c r="C106" s="3320">
        <v>1.5206</v>
      </c>
      <c r="D106" s="3320">
        <v>1.5206</v>
      </c>
      <c r="E106" s="3320">
        <v>1.5019</v>
      </c>
      <c r="F106" s="3320">
        <v>1.5019</v>
      </c>
      <c r="G106" s="3320">
        <v>1.5019</v>
      </c>
      <c r="H106" s="3320">
        <v>1.5019</v>
      </c>
      <c r="I106" s="3320">
        <v>1.5019</v>
      </c>
      <c r="J106" s="3320">
        <v>1.5418000000000001</v>
      </c>
      <c r="K106" s="3320">
        <v>1.5418000000000001</v>
      </c>
      <c r="L106" s="3320">
        <v>1.5418000000000001</v>
      </c>
      <c r="M106" s="3320">
        <v>1.5418000000000001</v>
      </c>
      <c r="N106" s="3320">
        <v>1.5418000000000001</v>
      </c>
    </row>
    <row r="107" spans="1:14">
      <c r="A107" s="4144"/>
      <c r="B107" s="3320">
        <v>2</v>
      </c>
      <c r="C107" s="3320">
        <v>1.2072000000000001</v>
      </c>
      <c r="D107" s="3320">
        <v>1.2072000000000001</v>
      </c>
      <c r="E107" s="3320">
        <v>1.1838</v>
      </c>
      <c r="F107" s="3320">
        <v>1.1838</v>
      </c>
      <c r="G107" s="3320">
        <v>1.1838</v>
      </c>
      <c r="H107" s="3320">
        <v>1.1838</v>
      </c>
      <c r="I107" s="3320">
        <v>1.1838</v>
      </c>
      <c r="J107" s="3320">
        <v>1.1883999999999999</v>
      </c>
      <c r="K107" s="3320">
        <v>1.1883999999999999</v>
      </c>
      <c r="L107" s="3320">
        <v>1.1883999999999999</v>
      </c>
      <c r="M107" s="3320">
        <v>1.1883999999999999</v>
      </c>
      <c r="N107" s="3320">
        <v>1.1883999999999999</v>
      </c>
    </row>
    <row r="108" spans="1:14">
      <c r="A108" s="4144"/>
      <c r="B108" s="3320">
        <v>3</v>
      </c>
      <c r="C108" s="3320">
        <v>1.0430999999999999</v>
      </c>
      <c r="D108" s="3320">
        <v>1.0430999999999999</v>
      </c>
      <c r="E108" s="3320">
        <v>1.0004999999999999</v>
      </c>
      <c r="F108" s="3320">
        <v>1.0004999999999999</v>
      </c>
      <c r="G108" s="3320">
        <v>1.0004999999999999</v>
      </c>
      <c r="H108" s="3320">
        <v>1.0004999999999999</v>
      </c>
      <c r="I108" s="3320">
        <v>1.0004999999999999</v>
      </c>
      <c r="J108" s="3320">
        <v>0.96940000000000004</v>
      </c>
      <c r="K108" s="3320">
        <v>0.96940000000000004</v>
      </c>
      <c r="L108" s="3320">
        <v>0.96940000000000004</v>
      </c>
      <c r="M108" s="3320">
        <v>0.96940000000000004</v>
      </c>
      <c r="N108" s="3320">
        <v>0.96940000000000004</v>
      </c>
    </row>
    <row r="109" spans="1:14">
      <c r="A109" s="4144"/>
      <c r="B109" s="3320">
        <v>4</v>
      </c>
      <c r="C109" s="3320">
        <v>0.94389999999999996</v>
      </c>
      <c r="D109" s="3320">
        <v>0.94389999999999996</v>
      </c>
      <c r="E109" s="3320">
        <v>0.88239999999999996</v>
      </c>
      <c r="F109" s="3320">
        <v>0.88239999999999996</v>
      </c>
      <c r="G109" s="3320">
        <v>0.88239999999999996</v>
      </c>
      <c r="H109" s="3320">
        <v>0.88239999999999996</v>
      </c>
      <c r="I109" s="3320">
        <v>0.88239999999999996</v>
      </c>
      <c r="J109" s="3320">
        <v>0.82299999999999995</v>
      </c>
      <c r="K109" s="3320">
        <v>0.82299999999999995</v>
      </c>
      <c r="L109" s="3320">
        <v>0.82299999999999995</v>
      </c>
      <c r="M109" s="3320">
        <v>0.82299999999999995</v>
      </c>
      <c r="N109" s="3320">
        <v>0.82299999999999995</v>
      </c>
    </row>
    <row r="110" spans="1:14">
      <c r="A110" s="4144"/>
      <c r="B110" s="3320">
        <v>5</v>
      </c>
      <c r="C110" s="3320">
        <v>0.89959999999999996</v>
      </c>
      <c r="D110" s="3320">
        <v>0.89959999999999996</v>
      </c>
      <c r="E110" s="3320">
        <v>0.84799999999999998</v>
      </c>
      <c r="F110" s="3320">
        <v>0.84799999999999998</v>
      </c>
      <c r="G110" s="3320">
        <v>0.84799999999999998</v>
      </c>
      <c r="H110" s="3320">
        <v>0.84799999999999998</v>
      </c>
      <c r="I110" s="3320">
        <v>0.84799999999999998</v>
      </c>
      <c r="J110" s="3320">
        <v>0.74980000000000002</v>
      </c>
      <c r="K110" s="3320">
        <v>0.74980000000000002</v>
      </c>
      <c r="L110" s="3320">
        <v>0.74980000000000002</v>
      </c>
      <c r="M110" s="3320">
        <v>0.74980000000000002</v>
      </c>
      <c r="N110" s="3320">
        <v>0.74980000000000002</v>
      </c>
    </row>
    <row r="111" spans="1:14">
      <c r="A111" s="4144"/>
      <c r="B111" s="3320" t="s">
        <v>3233</v>
      </c>
      <c r="C111" s="3321">
        <f>$I$3</f>
        <v>1</v>
      </c>
      <c r="D111" s="3321">
        <f t="shared" ref="D111:M111" si="33">$I$3</f>
        <v>1</v>
      </c>
      <c r="E111" s="3321">
        <f t="shared" si="33"/>
        <v>1</v>
      </c>
      <c r="F111" s="3321">
        <f t="shared" si="33"/>
        <v>1</v>
      </c>
      <c r="G111" s="3321">
        <f t="shared" si="33"/>
        <v>1</v>
      </c>
      <c r="H111" s="3321">
        <f t="shared" si="33"/>
        <v>1</v>
      </c>
      <c r="I111" s="3321">
        <f t="shared" si="33"/>
        <v>1</v>
      </c>
      <c r="J111" s="3321">
        <f t="shared" si="33"/>
        <v>1</v>
      </c>
      <c r="K111" s="3321">
        <f t="shared" si="33"/>
        <v>1</v>
      </c>
      <c r="L111" s="3321">
        <f t="shared" si="33"/>
        <v>1</v>
      </c>
      <c r="M111" s="3321">
        <f t="shared" si="33"/>
        <v>1</v>
      </c>
      <c r="N111" s="3321">
        <f>$I$3</f>
        <v>1</v>
      </c>
    </row>
    <row r="112" spans="1:14">
      <c r="A112" s="4145"/>
      <c r="B112" s="3320">
        <v>6</v>
      </c>
      <c r="C112" s="3313">
        <f>(-0.5556*(C111^2)-0.2719*C111+8944)*(10^(-4))</f>
        <v>0.89431725000000006</v>
      </c>
      <c r="D112" s="3313">
        <f>(-0.5556*(D111^2)-0.2719*D111+8944)*(10^(-4))</f>
        <v>0.89431725000000006</v>
      </c>
      <c r="E112" s="3313">
        <f>(-0.7912*(E111^2)-11.3794*E111+8482)*(10^(-4))</f>
        <v>0.84698294000000007</v>
      </c>
      <c r="F112" s="3313">
        <f t="shared" ref="F112:I112" si="34">(-0.7912*(F111^2)-11.3794*F111+8482)*(10^(-4))</f>
        <v>0.84698294000000007</v>
      </c>
      <c r="G112" s="3313">
        <f t="shared" si="34"/>
        <v>0.84698294000000007</v>
      </c>
      <c r="H112" s="3313">
        <f t="shared" si="34"/>
        <v>0.84698294000000007</v>
      </c>
      <c r="I112" s="3313">
        <f t="shared" si="34"/>
        <v>0.84698294000000007</v>
      </c>
      <c r="J112" s="3313">
        <f>(-0.989*(J111^2)-63.78*J111+7771)*(10^(-4))</f>
        <v>0.77062310000000001</v>
      </c>
      <c r="K112" s="3313">
        <f t="shared" ref="K112:N112" si="35">(-0.989*(K111^2)-63.78*K111+7771)*(10^(-4))</f>
        <v>0.77062310000000001</v>
      </c>
      <c r="L112" s="3313">
        <f t="shared" si="35"/>
        <v>0.77062310000000001</v>
      </c>
      <c r="M112" s="3313">
        <f t="shared" si="35"/>
        <v>0.77062310000000001</v>
      </c>
      <c r="N112" s="3313">
        <f t="shared" si="35"/>
        <v>0.77062310000000001</v>
      </c>
    </row>
    <row r="113" spans="1:14">
      <c r="A113" s="4146" t="s">
        <v>3276</v>
      </c>
      <c r="B113" s="4146"/>
      <c r="C113" s="4146"/>
      <c r="D113" s="4146"/>
      <c r="E113" s="4146"/>
      <c r="F113" s="4146"/>
      <c r="G113" s="4146"/>
      <c r="H113" s="4146"/>
      <c r="I113" s="4146"/>
      <c r="J113" s="4146"/>
      <c r="K113" s="3322"/>
      <c r="L113" s="3322"/>
      <c r="M113" s="3322"/>
      <c r="N113" s="3322"/>
    </row>
    <row r="114" spans="1:14">
      <c r="A114" s="3323"/>
      <c r="B114" s="3323"/>
      <c r="C114" s="3323"/>
      <c r="D114" s="3323"/>
      <c r="E114" s="3323"/>
      <c r="F114" s="3323"/>
      <c r="G114" s="3323"/>
      <c r="H114" s="3323"/>
      <c r="I114" s="3323"/>
      <c r="J114" s="3323"/>
      <c r="K114" s="3282"/>
      <c r="L114" s="3323"/>
      <c r="M114" s="3323"/>
      <c r="N114" s="3323"/>
    </row>
    <row r="115" spans="1:14" ht="13.5" thickBot="1">
      <c r="A115" s="3323"/>
      <c r="B115" s="3323"/>
      <c r="C115" s="3323"/>
      <c r="D115" s="3323"/>
      <c r="E115" s="3323"/>
      <c r="F115" s="3323"/>
      <c r="G115" s="3323"/>
      <c r="H115" s="3323"/>
      <c r="I115" s="3323"/>
      <c r="J115" s="3323"/>
      <c r="K115" s="3282"/>
      <c r="L115" s="3323"/>
      <c r="M115" s="3323"/>
      <c r="N115" s="3323"/>
    </row>
    <row r="116" spans="1:14" ht="25.5" thickBot="1">
      <c r="A116" s="3324" t="s">
        <v>3277</v>
      </c>
      <c r="B116" s="3341">
        <f>G3</f>
        <v>7.99</v>
      </c>
      <c r="C116" s="3325" t="s">
        <v>3278</v>
      </c>
      <c r="D116" s="3326">
        <f>SUMPRODUCT((A118:A122=F116)*(B117:M117=H116)*B118:M122)</f>
        <v>0.90890000000000004</v>
      </c>
      <c r="E116" s="1995" t="s">
        <v>3279</v>
      </c>
      <c r="F116" s="3327" t="str">
        <f>E2</f>
        <v>商业</v>
      </c>
      <c r="G116" s="1995" t="s">
        <v>3280</v>
      </c>
      <c r="H116" s="3327" t="str">
        <f>G2</f>
        <v>一级</v>
      </c>
      <c r="I116" s="1995"/>
      <c r="J116" s="3328"/>
      <c r="K116" s="3328"/>
      <c r="L116" s="3328"/>
      <c r="M116" s="3328"/>
      <c r="N116" s="3323"/>
    </row>
    <row r="117" spans="1:14">
      <c r="A117" s="3329"/>
      <c r="B117" s="3330" t="s">
        <v>3281</v>
      </c>
      <c r="C117" s="3330" t="s">
        <v>3282</v>
      </c>
      <c r="D117" s="3330" t="s">
        <v>3283</v>
      </c>
      <c r="E117" s="3331" t="s">
        <v>3284</v>
      </c>
      <c r="F117" s="3331" t="s">
        <v>3285</v>
      </c>
      <c r="G117" s="3331" t="s">
        <v>3286</v>
      </c>
      <c r="H117" s="3332" t="s">
        <v>3287</v>
      </c>
      <c r="I117" s="3332" t="s">
        <v>3288</v>
      </c>
      <c r="J117" s="3333" t="s">
        <v>3289</v>
      </c>
      <c r="K117" s="3333" t="s">
        <v>3290</v>
      </c>
      <c r="L117" s="3333" t="s">
        <v>3291</v>
      </c>
      <c r="M117" s="3334" t="s">
        <v>3292</v>
      </c>
      <c r="N117" s="3323"/>
    </row>
    <row r="118" spans="1:14">
      <c r="A118" s="3335" t="s">
        <v>3293</v>
      </c>
      <c r="B118" s="3313">
        <f>ROUND(0.9968-0.011*B116,4)</f>
        <v>0.90890000000000004</v>
      </c>
      <c r="C118" s="3313">
        <f>B118</f>
        <v>0.90890000000000004</v>
      </c>
      <c r="D118" s="3313">
        <f>ROUND(0.949-0.014*B116,4)</f>
        <v>0.83709999999999996</v>
      </c>
      <c r="E118" s="3313">
        <f>D118</f>
        <v>0.83709999999999996</v>
      </c>
      <c r="F118" s="3313">
        <f>E118</f>
        <v>0.83709999999999996</v>
      </c>
      <c r="G118" s="3313">
        <f>F118</f>
        <v>0.83709999999999996</v>
      </c>
      <c r="H118" s="3313">
        <f>G118</f>
        <v>0.83709999999999996</v>
      </c>
      <c r="I118" s="3313">
        <f>ROUND(0.8486-0.018*B116,4)</f>
        <v>0.70479999999999998</v>
      </c>
      <c r="J118" s="3313">
        <f t="shared" ref="J118:M122" si="36">I118</f>
        <v>0.70479999999999998</v>
      </c>
      <c r="K118" s="3313">
        <f t="shared" si="36"/>
        <v>0.70479999999999998</v>
      </c>
      <c r="L118" s="3313">
        <f t="shared" si="36"/>
        <v>0.70479999999999998</v>
      </c>
      <c r="M118" s="3336">
        <f t="shared" si="36"/>
        <v>0.70479999999999998</v>
      </c>
      <c r="N118" s="3323"/>
    </row>
    <row r="119" spans="1:14">
      <c r="A119" s="3335" t="s">
        <v>3294</v>
      </c>
      <c r="B119" s="3313">
        <f>ROUND(0.993-0.0112*B116,4)</f>
        <v>0.90349999999999997</v>
      </c>
      <c r="C119" s="3313">
        <f>B119</f>
        <v>0.90349999999999997</v>
      </c>
      <c r="D119" s="3313">
        <f>ROUND(0.9415-0.0142*B116,4)</f>
        <v>0.82799999999999996</v>
      </c>
      <c r="E119" s="3313">
        <f t="shared" ref="E119:H120" si="37">D119</f>
        <v>0.82799999999999996</v>
      </c>
      <c r="F119" s="3313">
        <f t="shared" si="37"/>
        <v>0.82799999999999996</v>
      </c>
      <c r="G119" s="3313">
        <f t="shared" si="37"/>
        <v>0.82799999999999996</v>
      </c>
      <c r="H119" s="3313">
        <f t="shared" si="37"/>
        <v>0.82799999999999996</v>
      </c>
      <c r="I119" s="3313">
        <f>ROUND(0.838-0.0182*B116,4)</f>
        <v>0.69259999999999999</v>
      </c>
      <c r="J119" s="3313">
        <f t="shared" si="36"/>
        <v>0.69259999999999999</v>
      </c>
      <c r="K119" s="3313">
        <f t="shared" si="36"/>
        <v>0.69259999999999999</v>
      </c>
      <c r="L119" s="3313">
        <f t="shared" si="36"/>
        <v>0.69259999999999999</v>
      </c>
      <c r="M119" s="3336">
        <f t="shared" si="36"/>
        <v>0.69259999999999999</v>
      </c>
      <c r="N119" s="3323"/>
    </row>
    <row r="120" spans="1:14">
      <c r="A120" s="3335" t="s">
        <v>3295</v>
      </c>
      <c r="B120" s="3313">
        <f>ROUND(0.9448-0.0115*B116,4)</f>
        <v>0.85289999999999999</v>
      </c>
      <c r="C120" s="3313">
        <f>B120</f>
        <v>0.85289999999999999</v>
      </c>
      <c r="D120" s="3313">
        <f>ROUND(0.937-0.0145*B116,4)</f>
        <v>0.82110000000000005</v>
      </c>
      <c r="E120" s="3313">
        <f t="shared" si="37"/>
        <v>0.82110000000000005</v>
      </c>
      <c r="F120" s="3313">
        <f t="shared" si="37"/>
        <v>0.82110000000000005</v>
      </c>
      <c r="G120" s="3313">
        <f t="shared" si="37"/>
        <v>0.82110000000000005</v>
      </c>
      <c r="H120" s="3313">
        <f t="shared" si="37"/>
        <v>0.82110000000000005</v>
      </c>
      <c r="I120" s="3313">
        <f>ROUND(0.7965-0.0185*B116,4)</f>
        <v>0.64870000000000005</v>
      </c>
      <c r="J120" s="3313">
        <f t="shared" si="36"/>
        <v>0.64870000000000005</v>
      </c>
      <c r="K120" s="3313">
        <f t="shared" si="36"/>
        <v>0.64870000000000005</v>
      </c>
      <c r="L120" s="3313">
        <f t="shared" si="36"/>
        <v>0.64870000000000005</v>
      </c>
      <c r="M120" s="3336">
        <f t="shared" si="36"/>
        <v>0.64870000000000005</v>
      </c>
      <c r="N120" s="3323"/>
    </row>
    <row r="121" spans="1:14" ht="13.5" thickBot="1">
      <c r="A121" s="3337" t="s">
        <v>3296</v>
      </c>
      <c r="B121" s="3338">
        <f>ROUND(0.7836-0.012*B116,4)</f>
        <v>0.68769999999999998</v>
      </c>
      <c r="C121" s="3338">
        <f>B121</f>
        <v>0.68769999999999998</v>
      </c>
      <c r="D121" s="3338">
        <f>ROUND(0.753-0.015*B116,4)</f>
        <v>0.63319999999999999</v>
      </c>
      <c r="E121" s="3338">
        <f>D121</f>
        <v>0.63319999999999999</v>
      </c>
      <c r="F121" s="3338">
        <f>E121</f>
        <v>0.63319999999999999</v>
      </c>
      <c r="G121" s="3338">
        <f>ROUND(0.6612-0.018*B116,4)</f>
        <v>0.51739999999999997</v>
      </c>
      <c r="H121" s="3338">
        <f>G121</f>
        <v>0.51739999999999997</v>
      </c>
      <c r="I121" s="3338">
        <f>ROUND(0.5905-0.019*B116,4)</f>
        <v>0.43869999999999998</v>
      </c>
      <c r="J121" s="3338">
        <f t="shared" si="36"/>
        <v>0.43869999999999998</v>
      </c>
      <c r="K121" s="3338">
        <f t="shared" si="36"/>
        <v>0.43869999999999998</v>
      </c>
      <c r="L121" s="3338">
        <f t="shared" si="36"/>
        <v>0.43869999999999998</v>
      </c>
      <c r="M121" s="3339">
        <f t="shared" si="36"/>
        <v>0.43869999999999998</v>
      </c>
      <c r="N121" s="3323"/>
    </row>
    <row r="122" spans="1:14">
      <c r="A122" s="3340" t="s">
        <v>2599</v>
      </c>
      <c r="B122" s="3313">
        <f>ROUND(0.9404-0.0106*B116,4)</f>
        <v>0.85570000000000002</v>
      </c>
      <c r="C122" s="3313">
        <f>B122</f>
        <v>0.85570000000000002</v>
      </c>
      <c r="D122" s="3313">
        <f>ROUND(0.8955-0.0135*B116,4)</f>
        <v>0.78759999999999997</v>
      </c>
      <c r="E122" s="3313">
        <f t="shared" ref="E122:H122" si="38">D122</f>
        <v>0.78759999999999997</v>
      </c>
      <c r="F122" s="3313">
        <f t="shared" si="38"/>
        <v>0.78759999999999997</v>
      </c>
      <c r="G122" s="3313">
        <f t="shared" si="38"/>
        <v>0.78759999999999997</v>
      </c>
      <c r="H122" s="3313">
        <f t="shared" si="38"/>
        <v>0.78759999999999997</v>
      </c>
      <c r="I122" s="3313">
        <f>ROUND(0.7632-0.0166*B116,4)</f>
        <v>0.63060000000000005</v>
      </c>
      <c r="J122" s="3313">
        <f t="shared" si="36"/>
        <v>0.63060000000000005</v>
      </c>
      <c r="K122" s="3313">
        <f t="shared" si="36"/>
        <v>0.63060000000000005</v>
      </c>
      <c r="L122" s="3313">
        <f t="shared" si="36"/>
        <v>0.63060000000000005</v>
      </c>
      <c r="M122" s="3336">
        <f t="shared" si="36"/>
        <v>0.63060000000000005</v>
      </c>
      <c r="N122" s="332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4169" t="s">
        <v>2594</v>
      </c>
      <c r="B20" s="4164" t="s">
        <v>2615</v>
      </c>
      <c r="C20" s="3094" t="s">
        <v>2426</v>
      </c>
      <c r="D20" s="3095"/>
      <c r="E20" s="3096">
        <v>1</v>
      </c>
      <c r="F20" s="3097" t="s">
        <v>2427</v>
      </c>
      <c r="G20" s="3097"/>
    </row>
    <row r="21" spans="1:13" ht="19.5" customHeight="1">
      <c r="A21" s="4170"/>
      <c r="B21" s="4163"/>
      <c r="C21" s="3098" t="s">
        <v>2428</v>
      </c>
      <c r="D21" s="3099"/>
      <c r="E21" s="3100">
        <v>1</v>
      </c>
      <c r="F21" s="3097" t="s">
        <v>2429</v>
      </c>
      <c r="G21" s="3097"/>
    </row>
    <row r="22" spans="1:13" ht="19.5" customHeight="1">
      <c r="A22" s="4170"/>
      <c r="B22" s="4163"/>
      <c r="C22" s="3098" t="s">
        <v>2430</v>
      </c>
      <c r="D22" s="3099"/>
      <c r="E22" s="3100">
        <v>0.9</v>
      </c>
      <c r="F22" s="3097" t="s">
        <v>2431</v>
      </c>
      <c r="G22" s="3097"/>
    </row>
    <row r="23" spans="1:13" ht="19.5" customHeight="1">
      <c r="A23" s="4170"/>
      <c r="B23" s="4163"/>
      <c r="C23" s="3098" t="s">
        <v>2432</v>
      </c>
      <c r="D23" s="3099"/>
      <c r="E23" s="3100">
        <v>0.9</v>
      </c>
      <c r="F23" s="3097" t="s">
        <v>2433</v>
      </c>
      <c r="G23" s="3097"/>
    </row>
    <row r="24" spans="1:13" ht="19.5" customHeight="1">
      <c r="A24" s="4170"/>
      <c r="B24" s="4163"/>
      <c r="C24" s="3098" t="s">
        <v>2434</v>
      </c>
      <c r="D24" s="3099"/>
      <c r="E24" s="3100">
        <v>0.8</v>
      </c>
      <c r="F24" s="3097" t="s">
        <v>2435</v>
      </c>
      <c r="G24" s="3097"/>
    </row>
    <row r="25" spans="1:13" ht="19.5" customHeight="1" thickBot="1">
      <c r="A25" s="4171"/>
      <c r="B25" s="4165"/>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4166" t="s">
        <v>2618</v>
      </c>
      <c r="B27" s="4164" t="s">
        <v>2599</v>
      </c>
      <c r="C27" s="3094" t="s">
        <v>2439</v>
      </c>
      <c r="D27" s="3095"/>
      <c r="E27" s="3096">
        <v>1</v>
      </c>
      <c r="F27" s="3097" t="s">
        <v>2440</v>
      </c>
      <c r="G27" s="3097"/>
    </row>
    <row r="28" spans="1:13" ht="19.5" customHeight="1">
      <c r="A28" s="4167"/>
      <c r="B28" s="4163"/>
      <c r="C28" s="3098" t="s">
        <v>2441</v>
      </c>
      <c r="D28" s="3099"/>
      <c r="E28" s="3100">
        <v>1</v>
      </c>
      <c r="F28" s="3097" t="s">
        <v>2442</v>
      </c>
      <c r="G28" s="3097"/>
    </row>
    <row r="29" spans="1:13" ht="19.5" customHeight="1">
      <c r="A29" s="4167"/>
      <c r="B29" s="4163"/>
      <c r="C29" s="3098" t="s">
        <v>2443</v>
      </c>
      <c r="D29" s="3099"/>
      <c r="E29" s="3100">
        <v>0.8</v>
      </c>
      <c r="F29" s="3097" t="s">
        <v>2444</v>
      </c>
      <c r="G29" s="3097"/>
    </row>
    <row r="30" spans="1:13" ht="19.5" customHeight="1">
      <c r="A30" s="4167"/>
      <c r="B30" s="4163"/>
      <c r="C30" s="3098" t="s">
        <v>2445</v>
      </c>
      <c r="D30" s="3099"/>
      <c r="E30" s="3100">
        <v>0.8</v>
      </c>
      <c r="F30" s="3097" t="s">
        <v>2446</v>
      </c>
      <c r="G30" s="3097"/>
    </row>
    <row r="31" spans="1:13" ht="19.5" customHeight="1">
      <c r="A31" s="4167"/>
      <c r="B31" s="4163"/>
      <c r="C31" s="3098" t="s">
        <v>2447</v>
      </c>
      <c r="D31" s="3099"/>
      <c r="E31" s="3100">
        <v>0.8</v>
      </c>
      <c r="F31" s="3097" t="s">
        <v>2448</v>
      </c>
      <c r="G31" s="3097"/>
    </row>
    <row r="32" spans="1:13" ht="19.5" customHeight="1">
      <c r="A32" s="4167"/>
      <c r="B32" s="4163"/>
      <c r="C32" s="3098" t="s">
        <v>2449</v>
      </c>
      <c r="D32" s="3099"/>
      <c r="E32" s="3100">
        <v>0.7</v>
      </c>
      <c r="F32" s="3097" t="s">
        <v>2450</v>
      </c>
      <c r="G32" s="3097"/>
    </row>
    <row r="33" spans="1:7" ht="19.5" customHeight="1">
      <c r="A33" s="4167"/>
      <c r="B33" s="4163"/>
      <c r="C33" s="3098" t="s">
        <v>2451</v>
      </c>
      <c r="D33" s="3099"/>
      <c r="E33" s="3100">
        <v>0.8</v>
      </c>
      <c r="F33" s="3097" t="s">
        <v>2452</v>
      </c>
      <c r="G33" s="3097"/>
    </row>
    <row r="34" spans="1:7" ht="19.5" customHeight="1">
      <c r="A34" s="4167"/>
      <c r="B34" s="4163"/>
      <c r="C34" s="3098" t="s">
        <v>2453</v>
      </c>
      <c r="D34" s="3099"/>
      <c r="E34" s="3100">
        <v>0.6</v>
      </c>
      <c r="F34" s="3097" t="s">
        <v>2454</v>
      </c>
      <c r="G34" s="3097"/>
    </row>
    <row r="35" spans="1:7" ht="19.5" customHeight="1">
      <c r="A35" s="4167"/>
      <c r="B35" s="4163"/>
      <c r="C35" s="3098" t="s">
        <v>2455</v>
      </c>
      <c r="D35" s="3099"/>
      <c r="E35" s="3100">
        <v>0.2</v>
      </c>
      <c r="F35" s="3097" t="s">
        <v>2456</v>
      </c>
      <c r="G35" s="3097"/>
    </row>
    <row r="36" spans="1:7" ht="19.5" customHeight="1">
      <c r="A36" s="4167"/>
      <c r="B36" s="4163"/>
      <c r="C36" s="3098" t="s">
        <v>2457</v>
      </c>
      <c r="D36" s="3099"/>
      <c r="E36" s="3100">
        <v>0.2</v>
      </c>
      <c r="F36" s="3097" t="s">
        <v>2458</v>
      </c>
      <c r="G36" s="3097"/>
    </row>
    <row r="37" spans="1:7" ht="19.5" customHeight="1">
      <c r="A37" s="4167"/>
      <c r="B37" s="4161" t="s">
        <v>2619</v>
      </c>
      <c r="C37" s="3098" t="s">
        <v>2459</v>
      </c>
      <c r="D37" s="3099"/>
      <c r="E37" s="3100">
        <v>0.6</v>
      </c>
      <c r="F37" s="3097" t="s">
        <v>2460</v>
      </c>
      <c r="G37" s="3097"/>
    </row>
    <row r="38" spans="1:7" ht="19.5" customHeight="1">
      <c r="A38" s="4167"/>
      <c r="B38" s="4163"/>
      <c r="C38" s="3098" t="s">
        <v>2461</v>
      </c>
      <c r="D38" s="3099"/>
      <c r="E38" s="3100">
        <v>0.6</v>
      </c>
      <c r="F38" s="3097" t="s">
        <v>2462</v>
      </c>
      <c r="G38" s="3097"/>
    </row>
    <row r="39" spans="1:7" ht="19.5" customHeight="1" thickBot="1">
      <c r="A39" s="4168"/>
      <c r="B39" s="4165"/>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4169" t="s">
        <v>2597</v>
      </c>
      <c r="B41" s="4164" t="s">
        <v>2621</v>
      </c>
      <c r="C41" s="3094" t="s">
        <v>2466</v>
      </c>
      <c r="D41" s="3095"/>
      <c r="E41" s="3096">
        <v>1</v>
      </c>
      <c r="F41" s="3097" t="s">
        <v>2467</v>
      </c>
      <c r="G41" s="3097"/>
    </row>
    <row r="42" spans="1:7" ht="19.5" customHeight="1">
      <c r="A42" s="4170"/>
      <c r="B42" s="4163"/>
      <c r="C42" s="3098" t="s">
        <v>2468</v>
      </c>
      <c r="D42" s="3099"/>
      <c r="E42" s="3100">
        <v>1</v>
      </c>
      <c r="F42" s="3097" t="s">
        <v>2469</v>
      </c>
      <c r="G42" s="3097"/>
    </row>
    <row r="43" spans="1:7" ht="19.5" customHeight="1">
      <c r="A43" s="4170"/>
      <c r="B43" s="4162"/>
      <c r="C43" s="3098" t="s">
        <v>2470</v>
      </c>
      <c r="D43" s="3099"/>
      <c r="E43" s="3100">
        <v>1.5</v>
      </c>
      <c r="F43" s="3097" t="s">
        <v>2471</v>
      </c>
      <c r="G43" s="3097"/>
    </row>
    <row r="44" spans="1:7" ht="19.5" customHeight="1">
      <c r="A44" s="4170"/>
      <c r="B44" s="3109" t="s">
        <v>2622</v>
      </c>
      <c r="C44" s="3098" t="s">
        <v>2623</v>
      </c>
      <c r="D44" s="3099"/>
      <c r="E44" s="3100">
        <v>2</v>
      </c>
      <c r="F44" s="3097" t="s">
        <v>2472</v>
      </c>
      <c r="G44" s="3097"/>
    </row>
    <row r="45" spans="1:7" ht="19.5" customHeight="1">
      <c r="A45" s="4170"/>
      <c r="B45" s="4161" t="s">
        <v>2624</v>
      </c>
      <c r="C45" s="3098" t="s">
        <v>2473</v>
      </c>
      <c r="D45" s="3099"/>
      <c r="E45" s="3100">
        <v>1</v>
      </c>
      <c r="F45" s="3097" t="s">
        <v>2474</v>
      </c>
      <c r="G45" s="3097"/>
    </row>
    <row r="46" spans="1:7" ht="19.5" customHeight="1">
      <c r="A46" s="4170"/>
      <c r="B46" s="4163"/>
      <c r="C46" s="3098" t="s">
        <v>2475</v>
      </c>
      <c r="D46" s="3099"/>
      <c r="E46" s="3100">
        <v>1</v>
      </c>
      <c r="F46" s="3097" t="s">
        <v>2476</v>
      </c>
      <c r="G46" s="3097"/>
    </row>
    <row r="47" spans="1:7" ht="19.5" customHeight="1">
      <c r="A47" s="4170"/>
      <c r="B47" s="4163"/>
      <c r="C47" s="3098" t="s">
        <v>2477</v>
      </c>
      <c r="D47" s="3099"/>
      <c r="E47" s="3100">
        <v>1</v>
      </c>
      <c r="F47" s="3097" t="s">
        <v>2478</v>
      </c>
      <c r="G47" s="3097"/>
    </row>
    <row r="48" spans="1:7" ht="19.5" customHeight="1">
      <c r="A48" s="4170"/>
      <c r="B48" s="4163"/>
      <c r="C48" s="3098" t="s">
        <v>2479</v>
      </c>
      <c r="D48" s="3099"/>
      <c r="E48" s="3100">
        <v>1</v>
      </c>
      <c r="F48" s="3097" t="s">
        <v>2480</v>
      </c>
      <c r="G48" s="3097"/>
    </row>
    <row r="49" spans="1:7" ht="19.5" customHeight="1">
      <c r="A49" s="4170"/>
      <c r="B49" s="4163"/>
      <c r="C49" s="3098" t="s">
        <v>2481</v>
      </c>
      <c r="D49" s="3099"/>
      <c r="E49" s="3100">
        <v>1</v>
      </c>
      <c r="F49" s="3097" t="s">
        <v>2482</v>
      </c>
      <c r="G49" s="3097"/>
    </row>
    <row r="50" spans="1:7" ht="19.5" customHeight="1">
      <c r="A50" s="4170"/>
      <c r="B50" s="4163"/>
      <c r="C50" s="3098" t="s">
        <v>2483</v>
      </c>
      <c r="D50" s="3099"/>
      <c r="E50" s="3100">
        <v>1</v>
      </c>
      <c r="F50" s="3097" t="s">
        <v>2484</v>
      </c>
      <c r="G50" s="3097"/>
    </row>
    <row r="51" spans="1:7" ht="19.5" customHeight="1" thickBot="1">
      <c r="A51" s="4171"/>
      <c r="B51" s="4165"/>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4161" t="s">
        <v>2638</v>
      </c>
      <c r="C73" s="3083" t="s">
        <v>2639</v>
      </c>
      <c r="D73" s="3083" t="s">
        <v>2640</v>
      </c>
      <c r="E73" s="3109">
        <v>0.2</v>
      </c>
      <c r="F73" s="3109">
        <v>25</v>
      </c>
    </row>
    <row r="74" spans="1:7" ht="24">
      <c r="A74" s="3109">
        <v>2</v>
      </c>
      <c r="B74" s="4163"/>
      <c r="C74" s="3083" t="s">
        <v>2641</v>
      </c>
      <c r="D74" s="3083" t="s">
        <v>2642</v>
      </c>
      <c r="E74" s="3109">
        <v>0.2</v>
      </c>
      <c r="F74" s="3109">
        <v>25</v>
      </c>
    </row>
    <row r="75" spans="1:7" ht="24">
      <c r="A75" s="3109">
        <v>3</v>
      </c>
      <c r="B75" s="4163"/>
      <c r="C75" s="3083" t="s">
        <v>2643</v>
      </c>
      <c r="D75" s="3083" t="s">
        <v>2644</v>
      </c>
      <c r="E75" s="3109">
        <v>0.2</v>
      </c>
      <c r="F75" s="3109">
        <v>25</v>
      </c>
    </row>
    <row r="76" spans="1:7" ht="13.5">
      <c r="A76" s="3109">
        <v>4</v>
      </c>
      <c r="B76" s="4163"/>
      <c r="C76" s="3083" t="s">
        <v>2645</v>
      </c>
      <c r="D76" s="3083" t="s">
        <v>2646</v>
      </c>
      <c r="E76" s="3109">
        <v>0.15</v>
      </c>
      <c r="F76" s="3109">
        <v>20</v>
      </c>
    </row>
    <row r="77" spans="1:7" ht="24">
      <c r="A77" s="3109">
        <v>5</v>
      </c>
      <c r="B77" s="4163"/>
      <c r="C77" s="3083" t="s">
        <v>2647</v>
      </c>
      <c r="D77" s="3083" t="s">
        <v>2648</v>
      </c>
      <c r="E77" s="3109">
        <v>0.15</v>
      </c>
      <c r="F77" s="3109">
        <v>20</v>
      </c>
    </row>
    <row r="78" spans="1:7" ht="24">
      <c r="A78" s="3109">
        <v>6</v>
      </c>
      <c r="B78" s="4163"/>
      <c r="C78" s="3083" t="s">
        <v>2649</v>
      </c>
      <c r="D78" s="3083" t="s">
        <v>2650</v>
      </c>
      <c r="E78" s="3109">
        <v>0.15</v>
      </c>
      <c r="F78" s="3109">
        <v>20</v>
      </c>
    </row>
    <row r="79" spans="1:7" ht="24">
      <c r="A79" s="3109">
        <v>7</v>
      </c>
      <c r="B79" s="4163"/>
      <c r="C79" s="3083" t="s">
        <v>2651</v>
      </c>
      <c r="D79" s="3083" t="s">
        <v>2652</v>
      </c>
      <c r="E79" s="3109">
        <v>0.15</v>
      </c>
      <c r="F79" s="3109">
        <v>20</v>
      </c>
    </row>
    <row r="80" spans="1:7" ht="24">
      <c r="A80" s="3109">
        <v>8</v>
      </c>
      <c r="B80" s="4163"/>
      <c r="C80" s="3083" t="s">
        <v>2653</v>
      </c>
      <c r="D80" s="3083" t="s">
        <v>2654</v>
      </c>
      <c r="E80" s="3109">
        <v>0.1</v>
      </c>
      <c r="F80" s="3109">
        <v>15</v>
      </c>
    </row>
    <row r="81" spans="1:6" ht="24">
      <c r="A81" s="3109">
        <v>9</v>
      </c>
      <c r="B81" s="4163"/>
      <c r="C81" s="3083" t="s">
        <v>2655</v>
      </c>
      <c r="D81" s="3083" t="s">
        <v>2656</v>
      </c>
      <c r="E81" s="3109">
        <v>0.1</v>
      </c>
      <c r="F81" s="3109">
        <v>15</v>
      </c>
    </row>
    <row r="82" spans="1:6" ht="24">
      <c r="A82" s="3109">
        <v>10</v>
      </c>
      <c r="B82" s="4163"/>
      <c r="C82" s="3083" t="s">
        <v>2657</v>
      </c>
      <c r="D82" s="3083" t="s">
        <v>2658</v>
      </c>
      <c r="E82" s="3109">
        <v>0.1</v>
      </c>
      <c r="F82" s="3109">
        <v>15</v>
      </c>
    </row>
    <row r="83" spans="1:6" ht="24">
      <c r="A83" s="3109">
        <v>11</v>
      </c>
      <c r="B83" s="4163"/>
      <c r="C83" s="3083" t="s">
        <v>2659</v>
      </c>
      <c r="D83" s="3083" t="s">
        <v>2660</v>
      </c>
      <c r="E83" s="3109">
        <v>0.1</v>
      </c>
      <c r="F83" s="3109">
        <v>15</v>
      </c>
    </row>
    <row r="84" spans="1:6" ht="24">
      <c r="A84" s="3109">
        <v>12</v>
      </c>
      <c r="B84" s="4163"/>
      <c r="C84" s="3083" t="s">
        <v>2661</v>
      </c>
      <c r="D84" s="3083" t="s">
        <v>2662</v>
      </c>
      <c r="E84" s="3109">
        <v>0.1</v>
      </c>
      <c r="F84" s="3109">
        <v>15</v>
      </c>
    </row>
    <row r="85" spans="1:6" ht="13.5">
      <c r="A85" s="3109">
        <v>13</v>
      </c>
      <c r="B85" s="4163"/>
      <c r="C85" s="3083" t="s">
        <v>2663</v>
      </c>
      <c r="D85" s="3083" t="s">
        <v>2664</v>
      </c>
      <c r="E85" s="3109">
        <v>0.1</v>
      </c>
      <c r="F85" s="3109">
        <v>15</v>
      </c>
    </row>
    <row r="86" spans="1:6" ht="13.5">
      <c r="A86" s="3109">
        <v>14</v>
      </c>
      <c r="B86" s="4163"/>
      <c r="C86" s="3083" t="s">
        <v>2665</v>
      </c>
      <c r="D86" s="3083" t="s">
        <v>2666</v>
      </c>
      <c r="E86" s="3109">
        <v>0.1</v>
      </c>
      <c r="F86" s="3109">
        <v>15</v>
      </c>
    </row>
    <row r="87" spans="1:6" ht="13.5">
      <c r="A87" s="3109">
        <v>15</v>
      </c>
      <c r="B87" s="4163"/>
      <c r="C87" s="3083" t="s">
        <v>2667</v>
      </c>
      <c r="D87" s="3083" t="s">
        <v>2668</v>
      </c>
      <c r="E87" s="3109">
        <v>0.1</v>
      </c>
      <c r="F87" s="3109">
        <v>15</v>
      </c>
    </row>
    <row r="88" spans="1:6" ht="24">
      <c r="A88" s="3109">
        <v>16</v>
      </c>
      <c r="B88" s="4163"/>
      <c r="C88" s="3083" t="s">
        <v>2669</v>
      </c>
      <c r="D88" s="3083" t="s">
        <v>2670</v>
      </c>
      <c r="E88" s="3109">
        <v>0.1</v>
      </c>
      <c r="F88" s="3109">
        <v>15</v>
      </c>
    </row>
    <row r="89" spans="1:6" ht="24">
      <c r="A89" s="3109">
        <v>17</v>
      </c>
      <c r="B89" s="4162"/>
      <c r="C89" s="3083" t="s">
        <v>2671</v>
      </c>
      <c r="D89" s="3083" t="s">
        <v>2672</v>
      </c>
      <c r="E89" s="3109">
        <v>0.1</v>
      </c>
      <c r="F89" s="3109">
        <v>15</v>
      </c>
    </row>
    <row r="90" spans="1:6" ht="13.5">
      <c r="A90" s="3109">
        <v>18</v>
      </c>
      <c r="B90" s="4161" t="s">
        <v>2673</v>
      </c>
      <c r="C90" s="3083" t="s">
        <v>2674</v>
      </c>
      <c r="D90" s="3083" t="s">
        <v>2675</v>
      </c>
      <c r="E90" s="3109">
        <v>0.2</v>
      </c>
      <c r="F90" s="3109">
        <v>25</v>
      </c>
    </row>
    <row r="91" spans="1:6" ht="24">
      <c r="A91" s="3109">
        <v>19</v>
      </c>
      <c r="B91" s="4163"/>
      <c r="C91" s="3083" t="s">
        <v>2676</v>
      </c>
      <c r="D91" s="3083" t="s">
        <v>2677</v>
      </c>
      <c r="E91" s="3109">
        <v>0.2</v>
      </c>
      <c r="F91" s="3109">
        <v>25</v>
      </c>
    </row>
    <row r="92" spans="1:6" ht="13.5">
      <c r="A92" s="3109">
        <v>20</v>
      </c>
      <c r="B92" s="4163"/>
      <c r="C92" s="3083" t="s">
        <v>2678</v>
      </c>
      <c r="D92" s="3083" t="s">
        <v>2679</v>
      </c>
      <c r="E92" s="3109">
        <v>0.15</v>
      </c>
      <c r="F92" s="3109">
        <v>20</v>
      </c>
    </row>
    <row r="93" spans="1:6" ht="13.5">
      <c r="A93" s="3109">
        <v>21</v>
      </c>
      <c r="B93" s="4163"/>
      <c r="C93" s="3083" t="s">
        <v>2680</v>
      </c>
      <c r="D93" s="3083" t="s">
        <v>2681</v>
      </c>
      <c r="E93" s="3109">
        <v>0.15</v>
      </c>
      <c r="F93" s="3109">
        <v>20</v>
      </c>
    </row>
    <row r="94" spans="1:6" ht="13.5">
      <c r="A94" s="3109">
        <v>22</v>
      </c>
      <c r="B94" s="4163"/>
      <c r="C94" s="3083" t="s">
        <v>2682</v>
      </c>
      <c r="D94" s="3083" t="s">
        <v>2683</v>
      </c>
      <c r="E94" s="3109">
        <v>0.15</v>
      </c>
      <c r="F94" s="3109">
        <v>20</v>
      </c>
    </row>
    <row r="95" spans="1:6" ht="36">
      <c r="A95" s="3109">
        <v>23</v>
      </c>
      <c r="B95" s="4163"/>
      <c r="C95" s="3083" t="s">
        <v>2684</v>
      </c>
      <c r="D95" s="3083" t="s">
        <v>2685</v>
      </c>
      <c r="E95" s="3109">
        <v>0.15</v>
      </c>
      <c r="F95" s="3109">
        <v>20</v>
      </c>
    </row>
    <row r="96" spans="1:6" ht="13.5">
      <c r="A96" s="3109">
        <v>24</v>
      </c>
      <c r="B96" s="4163"/>
      <c r="C96" s="3083" t="s">
        <v>2686</v>
      </c>
      <c r="D96" s="3083" t="s">
        <v>2687</v>
      </c>
      <c r="E96" s="3109">
        <v>0.1</v>
      </c>
      <c r="F96" s="3109">
        <v>15</v>
      </c>
    </row>
    <row r="97" spans="1:6" ht="13.5">
      <c r="A97" s="3109">
        <v>25</v>
      </c>
      <c r="B97" s="4163"/>
      <c r="C97" s="3083" t="s">
        <v>2688</v>
      </c>
      <c r="D97" s="3083" t="s">
        <v>2689</v>
      </c>
      <c r="E97" s="3109">
        <v>0.1</v>
      </c>
      <c r="F97" s="3109">
        <v>15</v>
      </c>
    </row>
    <row r="98" spans="1:6" ht="24">
      <c r="A98" s="3109">
        <v>26</v>
      </c>
      <c r="B98" s="4163"/>
      <c r="C98" s="3083" t="s">
        <v>2690</v>
      </c>
      <c r="D98" s="3083" t="s">
        <v>2691</v>
      </c>
      <c r="E98" s="3109">
        <v>0.1</v>
      </c>
      <c r="F98" s="3109">
        <v>15</v>
      </c>
    </row>
    <row r="99" spans="1:6" ht="24">
      <c r="A99" s="3109">
        <v>27</v>
      </c>
      <c r="B99" s="4163"/>
      <c r="C99" s="3083" t="s">
        <v>2692</v>
      </c>
      <c r="D99" s="3083" t="s">
        <v>2693</v>
      </c>
      <c r="E99" s="3109">
        <v>0.1</v>
      </c>
      <c r="F99" s="3109">
        <v>15</v>
      </c>
    </row>
    <row r="100" spans="1:6" ht="13.5">
      <c r="A100" s="3109">
        <v>28</v>
      </c>
      <c r="B100" s="4163"/>
      <c r="C100" s="3083" t="s">
        <v>2694</v>
      </c>
      <c r="D100" s="3083" t="s">
        <v>2695</v>
      </c>
      <c r="E100" s="3109">
        <v>0.1</v>
      </c>
      <c r="F100" s="3109">
        <v>15</v>
      </c>
    </row>
    <row r="101" spans="1:6" ht="13.5">
      <c r="A101" s="3109">
        <v>29</v>
      </c>
      <c r="B101" s="4163"/>
      <c r="C101" s="3083" t="s">
        <v>2696</v>
      </c>
      <c r="D101" s="3083" t="s">
        <v>2697</v>
      </c>
      <c r="E101" s="3109">
        <v>0.1</v>
      </c>
      <c r="F101" s="3109">
        <v>15</v>
      </c>
    </row>
    <row r="102" spans="1:6" ht="13.5">
      <c r="A102" s="3109">
        <v>30</v>
      </c>
      <c r="B102" s="4163"/>
      <c r="C102" s="3083" t="s">
        <v>2698</v>
      </c>
      <c r="D102" s="3083" t="s">
        <v>2699</v>
      </c>
      <c r="E102" s="3109">
        <v>0.1</v>
      </c>
      <c r="F102" s="3109">
        <v>15</v>
      </c>
    </row>
    <row r="103" spans="1:6" ht="24">
      <c r="A103" s="3109">
        <v>31</v>
      </c>
      <c r="B103" s="4163"/>
      <c r="C103" s="3083" t="s">
        <v>2700</v>
      </c>
      <c r="D103" s="3083" t="s">
        <v>2701</v>
      </c>
      <c r="E103" s="3109">
        <v>0.1</v>
      </c>
      <c r="F103" s="3109">
        <v>15</v>
      </c>
    </row>
    <row r="104" spans="1:6" ht="24">
      <c r="A104" s="3109">
        <v>32</v>
      </c>
      <c r="B104" s="4163"/>
      <c r="C104" s="3083" t="s">
        <v>2702</v>
      </c>
      <c r="D104" s="3083" t="s">
        <v>2703</v>
      </c>
      <c r="E104" s="3109">
        <v>0.1</v>
      </c>
      <c r="F104" s="3109">
        <v>15</v>
      </c>
    </row>
    <row r="105" spans="1:6" ht="24">
      <c r="A105" s="3109">
        <v>33</v>
      </c>
      <c r="B105" s="4163"/>
      <c r="C105" s="3083" t="s">
        <v>2704</v>
      </c>
      <c r="D105" s="3083" t="s">
        <v>2705</v>
      </c>
      <c r="E105" s="3109">
        <v>0.1</v>
      </c>
      <c r="F105" s="3109">
        <v>15</v>
      </c>
    </row>
    <row r="106" spans="1:6" ht="24">
      <c r="A106" s="3109">
        <v>34</v>
      </c>
      <c r="B106" s="4162"/>
      <c r="C106" s="3083" t="s">
        <v>2706</v>
      </c>
      <c r="D106" s="3083" t="s">
        <v>2707</v>
      </c>
      <c r="E106" s="3109">
        <v>0.1</v>
      </c>
      <c r="F106" s="3109">
        <v>15</v>
      </c>
    </row>
    <row r="107" spans="1:6" ht="24">
      <c r="A107" s="3109">
        <v>35</v>
      </c>
      <c r="B107" s="4161" t="s">
        <v>2708</v>
      </c>
      <c r="C107" s="3109" t="s">
        <v>2709</v>
      </c>
      <c r="D107" s="3083" t="s">
        <v>2710</v>
      </c>
      <c r="E107" s="3109">
        <v>0.15</v>
      </c>
      <c r="F107" s="3109">
        <v>20</v>
      </c>
    </row>
    <row r="108" spans="1:6" ht="13.5">
      <c r="A108" s="3109">
        <v>36</v>
      </c>
      <c r="B108" s="4163"/>
      <c r="C108" s="3109" t="s">
        <v>2711</v>
      </c>
      <c r="D108" s="3083" t="s">
        <v>2712</v>
      </c>
      <c r="E108" s="3109">
        <v>0.15</v>
      </c>
      <c r="F108" s="3109">
        <v>20</v>
      </c>
    </row>
    <row r="109" spans="1:6" ht="13.5">
      <c r="A109" s="3109">
        <v>37</v>
      </c>
      <c r="B109" s="4163"/>
      <c r="C109" s="3109" t="s">
        <v>2713</v>
      </c>
      <c r="D109" s="3083" t="s">
        <v>2714</v>
      </c>
      <c r="E109" s="3109">
        <v>0.15</v>
      </c>
      <c r="F109" s="3109">
        <v>20</v>
      </c>
    </row>
    <row r="110" spans="1:6" ht="13.5">
      <c r="A110" s="3109">
        <v>38</v>
      </c>
      <c r="B110" s="4163"/>
      <c r="C110" s="3109" t="s">
        <v>2715</v>
      </c>
      <c r="D110" s="3083" t="s">
        <v>2716</v>
      </c>
      <c r="E110" s="3109">
        <v>0.1</v>
      </c>
      <c r="F110" s="3109">
        <v>15</v>
      </c>
    </row>
    <row r="111" spans="1:6" ht="24">
      <c r="A111" s="3109">
        <v>39</v>
      </c>
      <c r="B111" s="4163"/>
      <c r="C111" s="3109" t="s">
        <v>2717</v>
      </c>
      <c r="D111" s="3083" t="s">
        <v>2718</v>
      </c>
      <c r="E111" s="3109">
        <v>0.1</v>
      </c>
      <c r="F111" s="3109">
        <v>15</v>
      </c>
    </row>
    <row r="112" spans="1:6" ht="24">
      <c r="A112" s="3109">
        <v>40</v>
      </c>
      <c r="B112" s="4162"/>
      <c r="C112" s="3109" t="s">
        <v>2719</v>
      </c>
      <c r="D112" s="3083" t="s">
        <v>2720</v>
      </c>
      <c r="E112" s="3109">
        <v>0.1</v>
      </c>
      <c r="F112" s="3109">
        <v>15</v>
      </c>
    </row>
    <row r="113" spans="1:6" ht="13.5">
      <c r="A113" s="3109">
        <v>41</v>
      </c>
      <c r="B113" s="4160" t="s">
        <v>2721</v>
      </c>
      <c r="C113" s="3109" t="s">
        <v>2722</v>
      </c>
      <c r="D113" s="3083" t="s">
        <v>2723</v>
      </c>
      <c r="E113" s="3109">
        <v>0.1</v>
      </c>
      <c r="F113" s="3109">
        <v>15</v>
      </c>
    </row>
    <row r="114" spans="1:6" ht="13.5">
      <c r="A114" s="3109">
        <v>42</v>
      </c>
      <c r="B114" s="4160"/>
      <c r="C114" s="3109" t="s">
        <v>2724</v>
      </c>
      <c r="D114" s="3083" t="s">
        <v>2725</v>
      </c>
      <c r="E114" s="3109">
        <v>0.1</v>
      </c>
      <c r="F114" s="3109">
        <v>15</v>
      </c>
    </row>
    <row r="115" spans="1:6" ht="24">
      <c r="A115" s="3109">
        <v>43</v>
      </c>
      <c r="B115" s="4160"/>
      <c r="C115" s="3109" t="s">
        <v>2726</v>
      </c>
      <c r="D115" s="3083" t="s">
        <v>2727</v>
      </c>
      <c r="E115" s="3109">
        <v>0.1</v>
      </c>
      <c r="F115" s="3109">
        <v>15</v>
      </c>
    </row>
    <row r="116" spans="1:6" ht="13.5">
      <c r="A116" s="3109">
        <v>44</v>
      </c>
      <c r="B116" s="4161" t="s">
        <v>2728</v>
      </c>
      <c r="C116" s="3109" t="s">
        <v>2729</v>
      </c>
      <c r="D116" s="3083" t="s">
        <v>2730</v>
      </c>
      <c r="E116" s="3109">
        <v>0.1</v>
      </c>
      <c r="F116" s="3109">
        <v>15</v>
      </c>
    </row>
    <row r="117" spans="1:6" ht="24">
      <c r="A117" s="3109">
        <v>45</v>
      </c>
      <c r="B117" s="4162"/>
      <c r="C117" s="3083" t="s">
        <v>2731</v>
      </c>
      <c r="D117" s="3083" t="s">
        <v>2732</v>
      </c>
      <c r="E117" s="3109">
        <v>0.1</v>
      </c>
      <c r="F117" s="3109">
        <v>15</v>
      </c>
    </row>
    <row r="118" spans="1:6" ht="24">
      <c r="A118" s="3109">
        <v>46</v>
      </c>
      <c r="B118" s="4161" t="s">
        <v>2733</v>
      </c>
      <c r="C118" s="3109" t="s">
        <v>2734</v>
      </c>
      <c r="D118" s="3083" t="s">
        <v>2735</v>
      </c>
      <c r="E118" s="3109">
        <v>0.1</v>
      </c>
      <c r="F118" s="3109">
        <v>15</v>
      </c>
    </row>
    <row r="119" spans="1:6" ht="24">
      <c r="A119" s="3109">
        <v>47</v>
      </c>
      <c r="B119" s="4162"/>
      <c r="C119" s="3109" t="s">
        <v>2736</v>
      </c>
      <c r="D119" s="3083" t="s">
        <v>2737</v>
      </c>
      <c r="E119" s="3109">
        <v>0.1</v>
      </c>
      <c r="F119" s="3109">
        <v>15</v>
      </c>
    </row>
    <row r="120" spans="1:6" ht="13.5">
      <c r="A120" s="3109">
        <v>48</v>
      </c>
      <c r="B120" s="4161" t="s">
        <v>2738</v>
      </c>
      <c r="C120" s="3109" t="s">
        <v>2739</v>
      </c>
      <c r="D120" s="3083" t="s">
        <v>2740</v>
      </c>
      <c r="E120" s="3109">
        <v>0.1</v>
      </c>
      <c r="F120" s="3109">
        <v>15</v>
      </c>
    </row>
    <row r="121" spans="1:6" ht="13.5">
      <c r="A121" s="3109">
        <v>49</v>
      </c>
      <c r="B121" s="4162"/>
      <c r="C121" s="3109" t="s">
        <v>2741</v>
      </c>
      <c r="D121" s="3083" t="s">
        <v>2742</v>
      </c>
      <c r="E121" s="3109">
        <v>0.1</v>
      </c>
      <c r="F121" s="3109">
        <v>15</v>
      </c>
    </row>
    <row r="122" spans="1:6" ht="24">
      <c r="A122" s="3109">
        <v>50</v>
      </c>
      <c r="B122" s="4160" t="s">
        <v>2743</v>
      </c>
      <c r="C122" s="3109" t="s">
        <v>2744</v>
      </c>
      <c r="D122" s="3083" t="s">
        <v>2745</v>
      </c>
      <c r="E122" s="3109">
        <v>0.1</v>
      </c>
      <c r="F122" s="3109">
        <v>15</v>
      </c>
    </row>
    <row r="123" spans="1:6" ht="24">
      <c r="A123" s="3109">
        <v>51</v>
      </c>
      <c r="B123" s="4160"/>
      <c r="C123" s="3109" t="s">
        <v>2746</v>
      </c>
      <c r="D123" s="3083" t="s">
        <v>2747</v>
      </c>
      <c r="E123" s="3109">
        <v>0.1</v>
      </c>
      <c r="F123" s="3109">
        <v>15</v>
      </c>
    </row>
    <row r="124" spans="1:6" ht="24">
      <c r="A124" s="3109">
        <v>52</v>
      </c>
      <c r="B124" s="4160" t="s">
        <v>2748</v>
      </c>
      <c r="C124" s="3109" t="s">
        <v>2749</v>
      </c>
      <c r="D124" s="3083" t="s">
        <v>2750</v>
      </c>
      <c r="E124" s="3109">
        <v>0.1</v>
      </c>
      <c r="F124" s="3109">
        <v>15</v>
      </c>
    </row>
    <row r="125" spans="1:6" ht="24">
      <c r="A125" s="3109">
        <v>53</v>
      </c>
      <c r="B125" s="4160"/>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4160" t="s">
        <v>2756</v>
      </c>
      <c r="C127" s="3109" t="s">
        <v>2757</v>
      </c>
      <c r="D127" s="3083" t="s">
        <v>2758</v>
      </c>
      <c r="E127" s="3109">
        <v>0.1</v>
      </c>
      <c r="F127" s="3109">
        <v>15</v>
      </c>
    </row>
    <row r="128" spans="1:6" ht="13.5">
      <c r="A128" s="3109">
        <v>56</v>
      </c>
      <c r="B128" s="4160"/>
      <c r="C128" s="3109" t="s">
        <v>2759</v>
      </c>
      <c r="D128" s="3083" t="s">
        <v>2760</v>
      </c>
      <c r="E128" s="3109">
        <v>0.1</v>
      </c>
      <c r="F128" s="3109">
        <v>15</v>
      </c>
    </row>
    <row r="129" spans="1:6" ht="24">
      <c r="A129" s="3109">
        <v>57</v>
      </c>
      <c r="B129" s="4160"/>
      <c r="C129" s="3109" t="s">
        <v>2761</v>
      </c>
      <c r="D129" s="3083" t="s">
        <v>2762</v>
      </c>
      <c r="E129" s="3109">
        <v>0.1</v>
      </c>
      <c r="F129" s="3109">
        <v>15</v>
      </c>
    </row>
    <row r="130" spans="1:6" ht="24">
      <c r="A130" s="3109">
        <v>58</v>
      </c>
      <c r="B130" s="4160" t="s">
        <v>2763</v>
      </c>
      <c r="C130" s="3109" t="s">
        <v>2764</v>
      </c>
      <c r="D130" s="3083" t="s">
        <v>2765</v>
      </c>
      <c r="E130" s="3109">
        <v>0.1</v>
      </c>
      <c r="F130" s="3109">
        <v>15</v>
      </c>
    </row>
    <row r="131" spans="1:6" ht="13.5">
      <c r="A131" s="3109">
        <v>59</v>
      </c>
      <c r="B131" s="4160"/>
      <c r="C131" s="3109" t="s">
        <v>2766</v>
      </c>
      <c r="D131" s="3083" t="s">
        <v>2767</v>
      </c>
      <c r="E131" s="3109">
        <v>0.1</v>
      </c>
      <c r="F131" s="3109">
        <v>15</v>
      </c>
    </row>
    <row r="132" spans="1:6" ht="13.5">
      <c r="A132" s="3109">
        <v>60</v>
      </c>
      <c r="B132" s="4161" t="s">
        <v>2768</v>
      </c>
      <c r="C132" s="3109" t="s">
        <v>2769</v>
      </c>
      <c r="D132" s="3083" t="s">
        <v>2770</v>
      </c>
      <c r="E132" s="3109">
        <v>0.1</v>
      </c>
      <c r="F132" s="3109">
        <v>15</v>
      </c>
    </row>
    <row r="133" spans="1:6" ht="13.5">
      <c r="A133" s="3109">
        <v>61</v>
      </c>
      <c r="B133" s="4162"/>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4160" t="s">
        <v>2776</v>
      </c>
      <c r="C135" s="3109" t="s">
        <v>2777</v>
      </c>
      <c r="D135" s="3083" t="s">
        <v>2778</v>
      </c>
      <c r="E135" s="3109">
        <v>0.1</v>
      </c>
      <c r="F135" s="3109">
        <v>15</v>
      </c>
    </row>
    <row r="136" spans="1:6" ht="13.5">
      <c r="A136" s="3109">
        <v>64</v>
      </c>
      <c r="B136" s="4160"/>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5"/>
  </cols>
  <sheetData>
    <row r="1" spans="1:20" ht="15" thickBot="1">
      <c r="A1" s="3118" t="s">
        <v>2785</v>
      </c>
      <c r="B1" s="3118"/>
      <c r="C1" s="3118"/>
      <c r="D1" s="3118"/>
      <c r="E1" s="3118"/>
      <c r="F1" s="3118"/>
      <c r="G1" s="3118"/>
      <c r="H1" s="3118"/>
      <c r="I1" s="3118"/>
      <c r="J1" s="3118"/>
      <c r="K1" s="3118"/>
      <c r="L1" s="3118"/>
      <c r="M1" s="3118"/>
      <c r="N1" s="744"/>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6"/>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6"/>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6"/>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45">
        <f>SUMPRODUCT((A95:A184=ROUNDDOWN('基准地价修正-商业'!G3,1))*(B94:M94='基准地价修正-商业'!G2)*(B95:M184))</f>
        <v>0.90890000000000004</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4"/>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4"/>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45">
        <f>SUMPRODUCT((A371:A460=ROUNDDOWN('基准地价修正-商业'!G3,1))*(B370:M370='基准地价修正-商业'!G2)*(B371:M460))</f>
        <v>0.8609</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75865</v>
      </c>
      <c r="C2" s="2" t="s">
        <v>106</v>
      </c>
      <c r="D2" s="197"/>
      <c r="E2" s="197"/>
      <c r="F2" s="197"/>
      <c r="G2" s="197"/>
    </row>
    <row r="3" spans="1:7" s="198" customFormat="1" ht="18" customHeight="1" thickBot="1">
      <c r="A3" s="201" t="s">
        <v>58</v>
      </c>
      <c r="B3" s="202">
        <f ca="1">ROUND(B2*10000/'数据-汇总表'!E3,0)</f>
        <v>12409</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3" t="s">
        <v>346</v>
      </c>
      <c r="B6" s="213" t="s">
        <v>64</v>
      </c>
      <c r="C6" s="214">
        <v>20000</v>
      </c>
      <c r="D6" s="215"/>
      <c r="E6" s="216"/>
      <c r="F6" s="216"/>
      <c r="G6" s="217"/>
    </row>
    <row r="7" spans="1:7" s="212" customFormat="1" ht="13.5" customHeight="1">
      <c r="A7" s="773" t="s">
        <v>347</v>
      </c>
      <c r="B7" s="213" t="s">
        <v>30</v>
      </c>
      <c r="C7" s="218">
        <f>ROUND(C6*F7,0)</f>
        <v>610</v>
      </c>
      <c r="D7" s="218"/>
      <c r="E7" s="216"/>
      <c r="F7" s="219">
        <f>'数据-取费表'!B48+'数据-取费表'!B49</f>
        <v>3.0499999999999999E-2</v>
      </c>
      <c r="G7" s="217"/>
    </row>
    <row r="8" spans="1:7" s="221" customFormat="1">
      <c r="A8" s="773" t="s">
        <v>348</v>
      </c>
      <c r="B8" s="213" t="s">
        <v>65</v>
      </c>
      <c r="C8" s="218" t="str">
        <f>IF(G8="已包含在土地购买价格中","0",'数据-取费表'!B29)</f>
        <v>0</v>
      </c>
      <c r="D8" s="220"/>
      <c r="E8" s="218"/>
      <c r="F8" s="219"/>
      <c r="G8" s="1" t="s">
        <v>451</v>
      </c>
    </row>
    <row r="9" spans="1:7" s="212" customFormat="1" ht="13.5" customHeight="1">
      <c r="A9" s="774" t="s">
        <v>355</v>
      </c>
      <c r="B9" s="222" t="s">
        <v>66</v>
      </c>
      <c r="C9" s="223">
        <f>ROUND(D9*E9/10000,0)</f>
        <v>493</v>
      </c>
      <c r="D9" s="840">
        <f>'数据-汇总表'!E5</f>
        <v>30801.149999999998</v>
      </c>
      <c r="E9" s="223">
        <f>'数据-取费表'!B27</f>
        <v>160</v>
      </c>
      <c r="F9" s="219"/>
      <c r="G9" s="224"/>
    </row>
    <row r="10" spans="1:7" s="212" customFormat="1" ht="13.5" customHeight="1">
      <c r="A10" s="774" t="s">
        <v>356</v>
      </c>
      <c r="B10" s="222" t="s">
        <v>67</v>
      </c>
      <c r="C10" s="223">
        <f>ROUND(D10*E10/10000,0)</f>
        <v>607</v>
      </c>
      <c r="D10" s="840">
        <f>'数据-汇总表'!E6</f>
        <v>30335.469999999998</v>
      </c>
      <c r="E10" s="223">
        <f>'数据-取费表'!B28</f>
        <v>200</v>
      </c>
      <c r="F10" s="219"/>
      <c r="G10" s="224"/>
    </row>
    <row r="11" spans="1:7" s="212" customFormat="1" ht="13.5" hidden="1" customHeight="1">
      <c r="A11" s="225" t="s">
        <v>4</v>
      </c>
      <c r="B11" s="213" t="s">
        <v>68</v>
      </c>
      <c r="C11" s="209"/>
      <c r="D11" s="842"/>
      <c r="E11" s="216"/>
      <c r="F11" s="216"/>
      <c r="G11" s="217"/>
    </row>
    <row r="12" spans="1:7" s="212" customFormat="1" ht="13.5" hidden="1" customHeight="1">
      <c r="A12" s="225" t="s">
        <v>5</v>
      </c>
      <c r="B12" s="213" t="s">
        <v>69</v>
      </c>
      <c r="C12" s="209">
        <v>0</v>
      </c>
      <c r="D12" s="842"/>
      <c r="E12" s="226"/>
      <c r="F12" s="219">
        <v>3.0499999999999999E-2</v>
      </c>
      <c r="G12" s="217"/>
    </row>
    <row r="13" spans="1:7" s="212" customFormat="1" ht="13.5" hidden="1" customHeight="1">
      <c r="A13" s="225" t="s">
        <v>6</v>
      </c>
      <c r="B13" s="213" t="s">
        <v>70</v>
      </c>
      <c r="C13" s="209"/>
      <c r="D13" s="842"/>
      <c r="E13" s="216"/>
      <c r="F13" s="216"/>
      <c r="G13" s="217"/>
    </row>
    <row r="14" spans="1:7" s="212" customFormat="1" ht="13.5" hidden="1" customHeight="1">
      <c r="A14" s="225" t="s">
        <v>7</v>
      </c>
      <c r="B14" s="213" t="s">
        <v>65</v>
      </c>
      <c r="C14" s="209"/>
      <c r="D14" s="842"/>
      <c r="E14" s="216"/>
      <c r="F14" s="216"/>
      <c r="G14" s="217" t="s">
        <v>71</v>
      </c>
    </row>
    <row r="15" spans="1:7" s="212" customFormat="1" ht="13.5" hidden="1" customHeight="1">
      <c r="A15" s="225" t="s">
        <v>8</v>
      </c>
      <c r="B15" s="213" t="s">
        <v>72</v>
      </c>
      <c r="C15" s="218"/>
      <c r="D15" s="842"/>
      <c r="E15" s="216"/>
      <c r="F15" s="216"/>
      <c r="G15" s="217" t="s">
        <v>73</v>
      </c>
    </row>
    <row r="16" spans="1:7" s="212" customFormat="1" ht="13.5" hidden="1" customHeight="1">
      <c r="A16" s="225" t="s">
        <v>9</v>
      </c>
      <c r="B16" s="213" t="s">
        <v>65</v>
      </c>
      <c r="C16" s="218"/>
      <c r="D16" s="842"/>
      <c r="E16" s="216"/>
      <c r="F16" s="216"/>
      <c r="G16" s="217"/>
    </row>
    <row r="17" spans="1:7" s="212" customFormat="1" ht="13.5" hidden="1" customHeight="1">
      <c r="A17" s="225" t="s">
        <v>10</v>
      </c>
      <c r="B17" s="213" t="s">
        <v>74</v>
      </c>
      <c r="C17" s="227"/>
      <c r="D17" s="843"/>
      <c r="E17" s="227"/>
      <c r="F17" s="227"/>
      <c r="G17" s="217" t="s">
        <v>73</v>
      </c>
    </row>
    <row r="18" spans="1:7" s="212" customFormat="1" ht="13.5" hidden="1" customHeight="1">
      <c r="A18" s="225" t="s">
        <v>11</v>
      </c>
      <c r="B18" s="213" t="s">
        <v>75</v>
      </c>
      <c r="C18" s="218">
        <v>0</v>
      </c>
      <c r="D18" s="842"/>
      <c r="E18" s="216"/>
      <c r="F18" s="219">
        <v>3.0499999999999999E-2</v>
      </c>
      <c r="G18" s="217" t="s">
        <v>76</v>
      </c>
    </row>
    <row r="19" spans="1:7" s="221" customFormat="1" ht="13.5" customHeight="1">
      <c r="A19" s="772" t="s">
        <v>417</v>
      </c>
      <c r="B19" s="208" t="s">
        <v>84</v>
      </c>
      <c r="C19" s="209">
        <f>IF(G19="已包含在土地取得成本中","0",ROUND(D19*E19/10000,0))</f>
        <v>1223</v>
      </c>
      <c r="D19" s="844">
        <f>'数据-汇总表'!E3</f>
        <v>61136.619999999995</v>
      </c>
      <c r="E19" s="209">
        <f>'数据-取费表'!B31</f>
        <v>200</v>
      </c>
      <c r="F19" s="229"/>
      <c r="G19" s="1" t="s">
        <v>436</v>
      </c>
    </row>
    <row r="20" spans="1:7" s="212" customFormat="1" ht="13.5" customHeight="1">
      <c r="A20" s="772" t="s">
        <v>419</v>
      </c>
      <c r="B20" s="208" t="s">
        <v>77</v>
      </c>
      <c r="C20" s="230">
        <f>ROUND((C5+C19)*F20,0)</f>
        <v>437</v>
      </c>
      <c r="D20" s="230"/>
      <c r="E20" s="230"/>
      <c r="F20" s="231">
        <f>'数据-取费表'!B37</f>
        <v>0.02</v>
      </c>
      <c r="G20" s="1062" t="s">
        <v>430</v>
      </c>
    </row>
    <row r="21" spans="1:7" s="212" customFormat="1" ht="13.5" customHeight="1">
      <c r="A21" s="772" t="s">
        <v>421</v>
      </c>
      <c r="B21" s="208" t="s">
        <v>78</v>
      </c>
      <c r="C21" s="233">
        <f>F21</f>
        <v>0.02</v>
      </c>
      <c r="D21" s="234" t="s">
        <v>99</v>
      </c>
      <c r="E21" s="230"/>
      <c r="F21" s="231">
        <f>'数据-取费表'!B38</f>
        <v>0.02</v>
      </c>
      <c r="G21" s="232" t="s">
        <v>79</v>
      </c>
    </row>
    <row r="22" spans="1:7" s="212" customFormat="1" ht="13.5" customHeight="1">
      <c r="A22" s="772" t="s">
        <v>341</v>
      </c>
      <c r="B22" s="208" t="s">
        <v>80</v>
      </c>
      <c r="C22" s="1099">
        <f ca="1">ROUND(SUM(C23:C25),0)</f>
        <v>2362</v>
      </c>
      <c r="D22" s="233">
        <f ca="1">C26</f>
        <v>1E-3</v>
      </c>
      <c r="E22" s="234" t="s">
        <v>99</v>
      </c>
      <c r="F22" s="235">
        <f ca="1">'数据-取费表'!B40</f>
        <v>3.4500000000000003E-2</v>
      </c>
      <c r="G22" s="1062" t="str">
        <f>IF('数据-取费表'!B22&lt;=1,"单利计息","复利计息")</f>
        <v>复利计息</v>
      </c>
    </row>
    <row r="23" spans="1:7" s="212" customFormat="1" ht="13.5" customHeight="1">
      <c r="A23" s="775" t="s">
        <v>349</v>
      </c>
      <c r="B23" s="213" t="s">
        <v>423</v>
      </c>
      <c r="C23" s="1100">
        <f ca="1">ROUND(IF('数据-取费表'!B22&lt;=1,C5*F22*'数据-取费表'!B23,C5*(POWER((1+F22),'数据-取费表'!B23)-1)),0)</f>
        <v>2208</v>
      </c>
      <c r="D23" s="236"/>
      <c r="E23" s="236"/>
      <c r="F23" s="237"/>
      <c r="G23" s="238" t="s">
        <v>81</v>
      </c>
    </row>
    <row r="24" spans="1:7" s="212" customFormat="1" ht="13.5" customHeight="1">
      <c r="A24" s="775" t="s">
        <v>347</v>
      </c>
      <c r="B24" s="213" t="s">
        <v>418</v>
      </c>
      <c r="C24" s="1100">
        <f ca="1">ROUND(IF('数据-取费表'!B22&lt;=1,C19*F22*('数据-取费表'!B19/2+'数据-取费表'!B21),C19*(POWER((1+F22),('数据-取费表'!B19/2+'数据-取费表'!B21))-1)),0)</f>
        <v>131</v>
      </c>
      <c r="D24" s="236"/>
      <c r="E24" s="236"/>
      <c r="F24" s="237"/>
      <c r="G24" s="238" t="s">
        <v>82</v>
      </c>
    </row>
    <row r="25" spans="1:7" s="212" customFormat="1" ht="24">
      <c r="A25" s="775" t="s">
        <v>348</v>
      </c>
      <c r="B25" s="213" t="s">
        <v>420</v>
      </c>
      <c r="C25" s="1100">
        <f ca="1">ROUND(IF('数据-取费表'!B22&lt;=1,C20*F22*'数据-取费表'!B23/2,C20*(POWER((1+F22),'数据-取费表'!B23/2)-1)),0)</f>
        <v>23</v>
      </c>
      <c r="D25" s="236"/>
      <c r="E25" s="239"/>
      <c r="F25" s="237"/>
      <c r="G25" s="240" t="s">
        <v>83</v>
      </c>
    </row>
    <row r="26" spans="1:7" s="212" customFormat="1">
      <c r="A26" s="775" t="s">
        <v>350</v>
      </c>
      <c r="B26" s="213" t="s">
        <v>422</v>
      </c>
      <c r="C26" s="236">
        <f ca="1">ROUND(IF('数据-取费表'!B22&lt;=1,F21*F22*'数据-取费表'!B23/2,F21*(POWER((1+F22),'数据-取费表'!B23/2)-1)),4)</f>
        <v>1E-3</v>
      </c>
      <c r="D26" s="236"/>
      <c r="E26" s="239"/>
      <c r="F26" s="237"/>
      <c r="G26" s="241"/>
    </row>
    <row r="27" spans="1:7" s="212" customFormat="1" ht="24.75">
      <c r="A27" s="772" t="s">
        <v>342</v>
      </c>
      <c r="B27" s="242" t="s">
        <v>85</v>
      </c>
      <c r="C27" s="243">
        <f>C28</f>
        <v>4231</v>
      </c>
      <c r="D27" s="233">
        <f>C29</f>
        <v>3.8E-3</v>
      </c>
      <c r="E27" s="234" t="s">
        <v>99</v>
      </c>
      <c r="F27" s="244">
        <f>'数据-取费表'!Q16</f>
        <v>0.19</v>
      </c>
      <c r="G27" s="245" t="s">
        <v>431</v>
      </c>
    </row>
    <row r="28" spans="1:7" s="212" customFormat="1" ht="13.5" customHeight="1">
      <c r="A28" s="775" t="s">
        <v>349</v>
      </c>
      <c r="B28" s="246" t="s">
        <v>424</v>
      </c>
      <c r="C28" s="247">
        <f>ROUND((C5+C19+C20)*F27*'数据-取费表'!B21/'数据-取费表'!B20,0)</f>
        <v>4231</v>
      </c>
      <c r="D28" s="233"/>
      <c r="E28" s="234"/>
      <c r="F28" s="244"/>
      <c r="G28" s="245"/>
    </row>
    <row r="29" spans="1:7" s="212" customFormat="1" ht="13.5" customHeight="1">
      <c r="A29" s="775" t="s">
        <v>347</v>
      </c>
      <c r="B29" s="246" t="s">
        <v>425</v>
      </c>
      <c r="C29" s="236">
        <f>ROUND(C21*F27*'数据-取费表'!B21/'数据-取费表'!B20,4)</f>
        <v>3.8E-3</v>
      </c>
      <c r="D29" s="233"/>
      <c r="E29" s="234"/>
      <c r="F29" s="244"/>
      <c r="G29" s="245"/>
    </row>
    <row r="30" spans="1:7" s="212" customFormat="1" ht="13.5" customHeight="1">
      <c r="A30" s="772"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31309</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43224</v>
      </c>
      <c r="D33" s="230"/>
      <c r="E33" s="210"/>
      <c r="F33" s="239"/>
      <c r="G33" s="232"/>
    </row>
    <row r="34" spans="1:7" s="256" customFormat="1" ht="13.5" customHeight="1">
      <c r="A34" s="775" t="s">
        <v>349</v>
      </c>
      <c r="B34" s="213" t="s">
        <v>32</v>
      </c>
      <c r="C34" s="218">
        <f>IF(F34=100%,'数据-取费表'!M16-SUMIF('数据-取费表'!C:C,"公共配套",'数据-取费表'!M:M),'数据-取费表'!O16-SUMIF('数据-取费表'!C:C,"公共配套",'数据-取费表'!O:O))</f>
        <v>39437</v>
      </c>
      <c r="D34" s="215"/>
      <c r="E34" s="218"/>
      <c r="F34" s="255">
        <f>IF('数据-取费表'!B24=0,1,'数据-取费表'!N16)</f>
        <v>1</v>
      </c>
      <c r="G34" s="217" t="s">
        <v>89</v>
      </c>
    </row>
    <row r="35" spans="1:7" ht="13.5" customHeight="1">
      <c r="A35" s="775" t="s">
        <v>351</v>
      </c>
      <c r="B35" s="213" t="s">
        <v>33</v>
      </c>
      <c r="C35" s="218">
        <f>ROUND(C34*F35,0)</f>
        <v>1972</v>
      </c>
      <c r="D35" s="218"/>
      <c r="E35" s="218"/>
      <c r="F35" s="257">
        <f>'数据-取费表'!B33</f>
        <v>0.05</v>
      </c>
      <c r="G35" s="217" t="s">
        <v>90</v>
      </c>
    </row>
    <row r="36" spans="1:7" ht="24">
      <c r="A36" s="775"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5" t="s">
        <v>353</v>
      </c>
      <c r="B37" s="213" t="s">
        <v>91</v>
      </c>
      <c r="C37" s="247">
        <f>ROUND(E37*D37*F34/10000,0)</f>
        <v>1223</v>
      </c>
      <c r="D37" s="215">
        <f>'数据-汇总表'!E3</f>
        <v>61136.619999999995</v>
      </c>
      <c r="E37" s="247">
        <f>'数据-取费表'!B35</f>
        <v>200</v>
      </c>
      <c r="F37" s="257"/>
      <c r="G37" s="259" t="s">
        <v>92</v>
      </c>
    </row>
    <row r="38" spans="1:7" ht="13.5" customHeight="1">
      <c r="A38" s="775" t="s">
        <v>354</v>
      </c>
      <c r="B38" s="213" t="s">
        <v>36</v>
      </c>
      <c r="C38" s="218">
        <f>ROUND(C34*F38,0)</f>
        <v>592</v>
      </c>
      <c r="D38" s="218"/>
      <c r="E38" s="218"/>
      <c r="F38" s="257">
        <f>'数据-取费表'!B36</f>
        <v>1.4999999999999999E-2</v>
      </c>
      <c r="G38" s="217" t="s">
        <v>90</v>
      </c>
    </row>
    <row r="39" spans="1:7" s="212" customFormat="1" ht="13.5" customHeight="1">
      <c r="A39" s="772" t="s">
        <v>338</v>
      </c>
      <c r="B39" s="208" t="s">
        <v>77</v>
      </c>
      <c r="C39" s="230">
        <f>ROUND(C33*F20,0)</f>
        <v>864</v>
      </c>
      <c r="D39" s="230"/>
      <c r="E39" s="230"/>
      <c r="F39" s="231"/>
      <c r="G39" s="1062" t="s">
        <v>433</v>
      </c>
    </row>
    <row r="40" spans="1:7" s="212" customFormat="1" ht="13.5" customHeight="1">
      <c r="A40" s="772" t="s">
        <v>339</v>
      </c>
      <c r="B40" s="208" t="s">
        <v>78</v>
      </c>
      <c r="C40" s="260">
        <f>F21</f>
        <v>0.02</v>
      </c>
      <c r="D40" s="234" t="s">
        <v>102</v>
      </c>
      <c r="E40" s="230"/>
      <c r="F40" s="231"/>
      <c r="G40" s="232" t="s">
        <v>93</v>
      </c>
    </row>
    <row r="41" spans="1:7" s="212" customFormat="1" ht="13.5" customHeight="1">
      <c r="A41" s="772" t="s">
        <v>340</v>
      </c>
      <c r="B41" s="208" t="s">
        <v>80</v>
      </c>
      <c r="C41" s="230">
        <f ca="1">ROUND(SUM(C42:C43),0)</f>
        <v>2301</v>
      </c>
      <c r="D41" s="233">
        <f ca="1">C44</f>
        <v>1E-3</v>
      </c>
      <c r="E41" s="234" t="s">
        <v>102</v>
      </c>
      <c r="F41" s="235"/>
      <c r="G41" s="1062" t="str">
        <f>IF('数据-取费表'!B22&lt;=1,"单利计息","复利计息")</f>
        <v>复利计息</v>
      </c>
    </row>
    <row r="42" spans="1:7" ht="13.5" customHeight="1">
      <c r="A42" s="775" t="s">
        <v>349</v>
      </c>
      <c r="B42" s="213" t="s">
        <v>423</v>
      </c>
      <c r="C42" s="236">
        <f ca="1">ROUND(IF('数据-取费表'!B22&lt;=1,C33*F22*'数据-取费表'!B21/2,C33*(POWER((1+F22),'数据-取费表'!B21/2)-1)),0)</f>
        <v>2256</v>
      </c>
      <c r="D42" s="236"/>
      <c r="E42" s="236"/>
      <c r="F42" s="237"/>
      <c r="G42" s="4036" t="s">
        <v>94</v>
      </c>
    </row>
    <row r="43" spans="1:7" ht="13.5" customHeight="1">
      <c r="A43" s="775" t="s">
        <v>347</v>
      </c>
      <c r="B43" s="213" t="s">
        <v>426</v>
      </c>
      <c r="C43" s="236">
        <f ca="1">ROUND(IF('数据-取费表'!B22&lt;=1,C39*F22*'数据-取费表'!B21/2,C39*(POWER((1+F22),'数据-取费表'!B21/2)-1)),0)</f>
        <v>45</v>
      </c>
      <c r="D43" s="236"/>
      <c r="E43" s="236"/>
      <c r="F43" s="237"/>
      <c r="G43" s="4037"/>
    </row>
    <row r="44" spans="1:7" ht="13.5" customHeight="1">
      <c r="A44" s="775" t="s">
        <v>348</v>
      </c>
      <c r="B44" s="213" t="s">
        <v>428</v>
      </c>
      <c r="C44" s="236">
        <f ca="1">ROUND(IF('数据-取费表'!B22&lt;=1,C40*F22*'数据-取费表'!B21/2,C40*(POWER((1+F22),'数据-取费表'!B21/2)-1)),4)</f>
        <v>1E-3</v>
      </c>
      <c r="D44" s="236"/>
      <c r="E44" s="236"/>
      <c r="F44" s="237"/>
      <c r="G44" s="4038"/>
    </row>
    <row r="45" spans="1:7" s="212" customFormat="1" ht="13.5" customHeight="1">
      <c r="A45" s="772" t="s">
        <v>341</v>
      </c>
      <c r="B45" s="242" t="s">
        <v>85</v>
      </c>
      <c r="C45" s="243">
        <f>C46</f>
        <v>8377</v>
      </c>
      <c r="D45" s="233">
        <f>C47</f>
        <v>3.8E-3</v>
      </c>
      <c r="E45" s="234" t="s">
        <v>102</v>
      </c>
      <c r="F45" s="244"/>
      <c r="G45" s="245" t="s">
        <v>434</v>
      </c>
    </row>
    <row r="46" spans="1:7" s="212" customFormat="1" ht="13.5" customHeight="1">
      <c r="A46" s="775" t="s">
        <v>349</v>
      </c>
      <c r="B46" s="246" t="s">
        <v>427</v>
      </c>
      <c r="C46" s="247">
        <f>ROUND((C33+C39)*F27,0)</f>
        <v>8377</v>
      </c>
      <c r="D46" s="261"/>
      <c r="E46" s="234"/>
      <c r="F46" s="244"/>
      <c r="G46" s="245"/>
    </row>
    <row r="47" spans="1:7" s="212" customFormat="1" ht="13.5" customHeight="1">
      <c r="A47" s="775" t="s">
        <v>347</v>
      </c>
      <c r="B47" s="246" t="s">
        <v>429</v>
      </c>
      <c r="C47" s="236">
        <f>ROUND(C40*F27,4)</f>
        <v>3.8E-3</v>
      </c>
      <c r="D47" s="261"/>
      <c r="E47" s="234"/>
      <c r="F47" s="244"/>
      <c r="G47" s="245"/>
    </row>
    <row r="48" spans="1:7" s="212" customFormat="1" ht="13.5" customHeight="1">
      <c r="A48" s="772" t="s">
        <v>342</v>
      </c>
      <c r="B48" s="208" t="s">
        <v>95</v>
      </c>
      <c r="C48" s="260">
        <f>F30</f>
        <v>5.6000000000000001E-2</v>
      </c>
      <c r="D48" s="234" t="s">
        <v>103</v>
      </c>
      <c r="E48" s="230"/>
      <c r="F48" s="235"/>
      <c r="G48" s="232" t="s">
        <v>96</v>
      </c>
    </row>
    <row r="49" spans="1:7" ht="16.5" customHeight="1">
      <c r="A49" s="772" t="s">
        <v>343</v>
      </c>
      <c r="B49" s="208" t="s">
        <v>104</v>
      </c>
      <c r="C49" s="230">
        <f ca="1">ROUND((C33+C39+C41+C45)/(1-C40-D41-D45-C48/(1+'数据-取费表'!B42)),0)</f>
        <v>59408</v>
      </c>
      <c r="D49" s="230"/>
      <c r="E49" s="230"/>
      <c r="F49" s="262"/>
      <c r="G49" s="232" t="s">
        <v>435</v>
      </c>
    </row>
    <row r="50" spans="1:7" s="256" customFormat="1" ht="24">
      <c r="A50" s="772" t="s">
        <v>344</v>
      </c>
      <c r="B50" s="208" t="s">
        <v>97</v>
      </c>
      <c r="C50" s="230"/>
      <c r="D50" s="230"/>
      <c r="E50" s="230"/>
      <c r="F50" s="262">
        <f>IF('数据-取费表'!B24=0,'数据-取费表'!N16,1)</f>
        <v>0.75</v>
      </c>
      <c r="G50" s="245" t="s">
        <v>98</v>
      </c>
    </row>
    <row r="51" spans="1:7" ht="16.5" customHeight="1">
      <c r="A51" s="772" t="s">
        <v>345</v>
      </c>
      <c r="B51" s="208" t="s">
        <v>105</v>
      </c>
      <c r="C51" s="230">
        <f ca="1">ROUND(C49*F50,0)</f>
        <v>44556</v>
      </c>
      <c r="D51" s="230"/>
      <c r="E51" s="230"/>
      <c r="F51" s="262"/>
      <c r="G51" s="232" t="s">
        <v>37</v>
      </c>
    </row>
    <row r="52" spans="1:7" s="206" customFormat="1" ht="16.5" thickBot="1">
      <c r="A52" s="263" t="s">
        <v>38</v>
      </c>
      <c r="B52" s="264"/>
      <c r="C52" s="265">
        <f ca="1">C31+C51</f>
        <v>75865</v>
      </c>
      <c r="D52" s="264"/>
      <c r="E52" s="264"/>
      <c r="F52" s="264"/>
      <c r="G52" s="266"/>
    </row>
    <row r="55" spans="1:7" ht="15">
      <c r="B55" s="268" t="s">
        <v>39</v>
      </c>
      <c r="C55" s="269"/>
    </row>
    <row r="56" spans="1:7">
      <c r="B56" s="271" t="s">
        <v>40</v>
      </c>
      <c r="C56" s="272">
        <f ca="1">ROUND(C51/C52,3)</f>
        <v>0.58699999999999997</v>
      </c>
    </row>
    <row r="57" spans="1:7">
      <c r="B57" s="271" t="s">
        <v>41</v>
      </c>
      <c r="C57" s="273">
        <f ca="1">1-C56</f>
        <v>0.41300000000000003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53" sqref="J53"/>
    </sheetView>
  </sheetViews>
  <sheetFormatPr defaultColWidth="8.875" defaultRowHeight="11.25"/>
  <cols>
    <col min="1" max="1" width="9.625" style="3151" customWidth="1"/>
    <col min="2" max="2" width="18.625" style="3151" customWidth="1"/>
    <col min="3" max="6" width="10.25" style="3151" customWidth="1"/>
    <col min="7" max="7" width="10.5" style="3151" bestFit="1" customWidth="1"/>
    <col min="8" max="8" width="8.875" style="3147"/>
    <col min="9" max="9" width="13.375" style="3147" customWidth="1"/>
    <col min="10" max="13" width="13.375" style="3151" customWidth="1"/>
    <col min="14" max="14" width="18.25" style="3151" customWidth="1"/>
    <col min="15" max="17" width="15.125" style="3151" customWidth="1"/>
    <col min="18" max="20" width="11.5" style="3151" customWidth="1"/>
    <col min="21" max="16384" width="8.875" style="3151"/>
  </cols>
  <sheetData>
    <row r="1" spans="1:20" ht="12" thickBot="1">
      <c r="A1" s="4174" t="s">
        <v>2804</v>
      </c>
      <c r="B1" s="4174"/>
      <c r="C1" s="4174"/>
      <c r="D1" s="4174"/>
      <c r="E1" s="4174"/>
      <c r="F1" s="4174"/>
      <c r="G1" s="4175"/>
      <c r="I1" s="3148" t="s">
        <v>2805</v>
      </c>
      <c r="J1" s="3149" t="s">
        <v>2806</v>
      </c>
      <c r="K1" s="3149" t="s">
        <v>2807</v>
      </c>
      <c r="L1" s="3149" t="s">
        <v>2808</v>
      </c>
      <c r="M1" s="3149" t="s">
        <v>2809</v>
      </c>
      <c r="N1" s="3149" t="s">
        <v>2810</v>
      </c>
      <c r="O1" s="3149" t="s">
        <v>2811</v>
      </c>
      <c r="P1" s="3149" t="s">
        <v>2812</v>
      </c>
      <c r="Q1" s="3149" t="s">
        <v>2813</v>
      </c>
      <c r="R1" s="3149" t="s">
        <v>2814</v>
      </c>
      <c r="S1" s="3149" t="s">
        <v>2815</v>
      </c>
      <c r="T1" s="3150" t="s">
        <v>2816</v>
      </c>
    </row>
    <row r="2" spans="1:20" ht="12" thickBot="1">
      <c r="A2" s="3152" t="s">
        <v>2817</v>
      </c>
      <c r="B2" s="3152"/>
      <c r="C2" s="3152"/>
      <c r="D2" s="3152"/>
      <c r="E2" s="3152"/>
      <c r="F2" s="3152"/>
      <c r="G2" s="3153" t="s">
        <v>2818</v>
      </c>
      <c r="I2" s="3154" t="s">
        <v>2819</v>
      </c>
      <c r="J2" s="3154" t="s">
        <v>2820</v>
      </c>
      <c r="K2" s="3154" t="s">
        <v>2821</v>
      </c>
      <c r="L2" s="3154" t="s">
        <v>2822</v>
      </c>
      <c r="M2" s="3154" t="s">
        <v>2823</v>
      </c>
      <c r="N2" s="3154" t="s">
        <v>2824</v>
      </c>
      <c r="O2" s="3154" t="s">
        <v>2825</v>
      </c>
      <c r="P2" s="3154" t="s">
        <v>2826</v>
      </c>
      <c r="Q2" s="3154" t="s">
        <v>2827</v>
      </c>
      <c r="R2" s="3154" t="s">
        <v>2828</v>
      </c>
      <c r="S2" s="3154" t="s">
        <v>2829</v>
      </c>
      <c r="T2" s="3154" t="s">
        <v>2830</v>
      </c>
    </row>
    <row r="3" spans="1:20" s="3160" customFormat="1">
      <c r="A3" s="4172" t="s">
        <v>2831</v>
      </c>
      <c r="B3" s="3155"/>
      <c r="C3" s="3156" t="s">
        <v>2798</v>
      </c>
      <c r="D3" s="3156" t="s">
        <v>2832</v>
      </c>
      <c r="E3" s="3156" t="s">
        <v>2800</v>
      </c>
      <c r="F3" s="3156" t="s">
        <v>2833</v>
      </c>
      <c r="G3" s="3156" t="s">
        <v>2618</v>
      </c>
      <c r="H3" s="3157"/>
      <c r="I3" s="3158" t="s">
        <v>2834</v>
      </c>
      <c r="J3" s="3159" t="s">
        <v>128</v>
      </c>
      <c r="K3" s="3159" t="s">
        <v>129</v>
      </c>
      <c r="L3" s="3158" t="s">
        <v>130</v>
      </c>
      <c r="M3" s="3158" t="s">
        <v>131</v>
      </c>
      <c r="N3" s="3158" t="s">
        <v>132</v>
      </c>
      <c r="O3" s="3158" t="s">
        <v>133</v>
      </c>
      <c r="P3" s="3158" t="s">
        <v>134</v>
      </c>
      <c r="Q3" s="3158" t="s">
        <v>135</v>
      </c>
      <c r="R3" s="3158" t="s">
        <v>136</v>
      </c>
      <c r="S3" s="3158" t="s">
        <v>2835</v>
      </c>
      <c r="T3" s="3158" t="s">
        <v>2836</v>
      </c>
    </row>
    <row r="4" spans="1:20" s="3160" customFormat="1" ht="12" thickBot="1">
      <c r="A4" s="4173"/>
      <c r="B4" s="3161" t="s">
        <v>2837</v>
      </c>
      <c r="C4" s="3161" t="s">
        <v>2838</v>
      </c>
      <c r="D4" s="3161" t="s">
        <v>2838</v>
      </c>
      <c r="E4" s="3161" t="s">
        <v>2838</v>
      </c>
      <c r="F4" s="3162" t="s">
        <v>2838</v>
      </c>
      <c r="G4" s="3162" t="s">
        <v>2838</v>
      </c>
      <c r="H4" s="3157"/>
      <c r="I4" s="3159" t="s">
        <v>137</v>
      </c>
      <c r="J4" s="3159" t="s">
        <v>111</v>
      </c>
      <c r="K4" s="3159" t="s">
        <v>138</v>
      </c>
      <c r="L4" s="3158" t="s">
        <v>139</v>
      </c>
      <c r="M4" s="3158" t="s">
        <v>140</v>
      </c>
      <c r="N4" s="3158" t="s">
        <v>141</v>
      </c>
      <c r="O4" s="3158" t="s">
        <v>142</v>
      </c>
      <c r="P4" s="3158" t="s">
        <v>143</v>
      </c>
      <c r="Q4" s="3158" t="s">
        <v>2839</v>
      </c>
      <c r="R4" s="3158" t="s">
        <v>2840</v>
      </c>
      <c r="S4" s="3158" t="s">
        <v>2841</v>
      </c>
      <c r="T4" s="3158" t="s">
        <v>2842</v>
      </c>
    </row>
    <row r="5" spans="1:20">
      <c r="A5" s="3163" t="s">
        <v>2805</v>
      </c>
      <c r="B5" s="3154" t="s">
        <v>2819</v>
      </c>
      <c r="C5" s="3154">
        <v>34550</v>
      </c>
      <c r="D5" s="3154">
        <v>34470</v>
      </c>
      <c r="E5" s="3154">
        <v>34330</v>
      </c>
      <c r="F5" s="3154">
        <v>13400</v>
      </c>
      <c r="G5" s="3154">
        <v>25450</v>
      </c>
      <c r="H5" s="3157"/>
      <c r="I5" s="3158" t="s">
        <v>145</v>
      </c>
      <c r="J5" s="3159" t="s">
        <v>146</v>
      </c>
      <c r="K5" s="3159" t="s">
        <v>147</v>
      </c>
      <c r="L5" s="3158" t="s">
        <v>148</v>
      </c>
      <c r="M5" s="3158" t="s">
        <v>149</v>
      </c>
      <c r="N5" s="3158" t="s">
        <v>150</v>
      </c>
      <c r="O5" s="3158" t="s">
        <v>151</v>
      </c>
      <c r="P5" s="3158" t="s">
        <v>152</v>
      </c>
      <c r="Q5" s="3158" t="s">
        <v>2843</v>
      </c>
      <c r="R5" s="3158" t="s">
        <v>2844</v>
      </c>
      <c r="S5" s="3158" t="s">
        <v>153</v>
      </c>
      <c r="T5" s="3158" t="s">
        <v>2845</v>
      </c>
    </row>
    <row r="6" spans="1:20" ht="12" thickBot="1">
      <c r="A6" s="3158" t="s">
        <v>144</v>
      </c>
      <c r="B6" s="3158" t="s">
        <v>2834</v>
      </c>
      <c r="C6" s="3158">
        <v>36990</v>
      </c>
      <c r="D6" s="3158">
        <v>36850</v>
      </c>
      <c r="E6" s="3158">
        <v>36700</v>
      </c>
      <c r="F6" s="3158">
        <v>14590</v>
      </c>
      <c r="G6" s="3158">
        <v>27450</v>
      </c>
      <c r="H6" s="3157"/>
      <c r="I6" s="3164" t="s">
        <v>154</v>
      </c>
      <c r="J6" s="3159" t="s">
        <v>155</v>
      </c>
      <c r="K6" s="3159" t="s">
        <v>156</v>
      </c>
      <c r="L6" s="3158" t="s">
        <v>157</v>
      </c>
      <c r="M6" s="3158" t="s">
        <v>158</v>
      </c>
      <c r="N6" s="3158" t="s">
        <v>159</v>
      </c>
      <c r="O6" s="3158" t="s">
        <v>160</v>
      </c>
      <c r="P6" s="3158" t="s">
        <v>2846</v>
      </c>
      <c r="Q6" s="3158" t="s">
        <v>2847</v>
      </c>
      <c r="R6" s="3158" t="s">
        <v>161</v>
      </c>
      <c r="S6" s="3158" t="s">
        <v>2848</v>
      </c>
      <c r="T6" s="3158" t="s">
        <v>2849</v>
      </c>
    </row>
    <row r="7" spans="1:20">
      <c r="A7" s="3158" t="s">
        <v>144</v>
      </c>
      <c r="B7" s="3159" t="s">
        <v>137</v>
      </c>
      <c r="C7" s="3158">
        <v>34850</v>
      </c>
      <c r="D7" s="3158">
        <v>34690</v>
      </c>
      <c r="E7" s="3158">
        <v>34550</v>
      </c>
      <c r="F7" s="3158">
        <v>14360</v>
      </c>
      <c r="G7" s="3158">
        <v>25620</v>
      </c>
      <c r="H7" s="3157"/>
      <c r="J7" s="3159" t="s">
        <v>162</v>
      </c>
      <c r="K7" s="3159" t="s">
        <v>163</v>
      </c>
      <c r="L7" s="3158" t="s">
        <v>164</v>
      </c>
      <c r="M7" s="3158" t="s">
        <v>165</v>
      </c>
      <c r="N7" s="3158" t="s">
        <v>166</v>
      </c>
      <c r="O7" s="3158" t="s">
        <v>167</v>
      </c>
      <c r="P7" s="3158" t="s">
        <v>2850</v>
      </c>
      <c r="Q7" s="3158" t="s">
        <v>2851</v>
      </c>
      <c r="R7" s="3158" t="s">
        <v>2852</v>
      </c>
      <c r="S7" s="3158" t="s">
        <v>2853</v>
      </c>
      <c r="T7" s="3158" t="s">
        <v>2854</v>
      </c>
    </row>
    <row r="8" spans="1:20" ht="12" thickBot="1">
      <c r="A8" s="3158" t="s">
        <v>144</v>
      </c>
      <c r="B8" s="3158" t="s">
        <v>145</v>
      </c>
      <c r="C8" s="3158">
        <v>32630</v>
      </c>
      <c r="D8" s="3158">
        <v>32510</v>
      </c>
      <c r="E8" s="3158">
        <v>32420</v>
      </c>
      <c r="F8" s="3158">
        <v>13300</v>
      </c>
      <c r="G8" s="3158">
        <v>24010</v>
      </c>
      <c r="H8" s="3157"/>
      <c r="J8" s="3159" t="s">
        <v>168</v>
      </c>
      <c r="K8" s="3159" t="s">
        <v>169</v>
      </c>
      <c r="L8" s="3158" t="s">
        <v>170</v>
      </c>
      <c r="M8" s="3158" t="s">
        <v>171</v>
      </c>
      <c r="N8" s="3158" t="s">
        <v>172</v>
      </c>
      <c r="O8" s="3158" t="s">
        <v>173</v>
      </c>
      <c r="P8" s="3158" t="s">
        <v>2855</v>
      </c>
      <c r="Q8" s="3158" t="s">
        <v>174</v>
      </c>
      <c r="R8" s="3158" t="s">
        <v>2856</v>
      </c>
      <c r="S8" s="3158" t="s">
        <v>2857</v>
      </c>
      <c r="T8" s="3165" t="s">
        <v>2858</v>
      </c>
    </row>
    <row r="9" spans="1:20" ht="12" thickBot="1">
      <c r="A9" s="3166" t="s">
        <v>144</v>
      </c>
      <c r="B9" s="3164" t="s">
        <v>154</v>
      </c>
      <c r="C9" s="3165">
        <v>36370</v>
      </c>
      <c r="D9" s="3165">
        <v>36210</v>
      </c>
      <c r="E9" s="3165">
        <v>36050</v>
      </c>
      <c r="F9" s="3165"/>
      <c r="G9" s="3165">
        <v>26740</v>
      </c>
      <c r="H9" s="3157"/>
      <c r="J9" s="3159" t="s">
        <v>175</v>
      </c>
      <c r="K9" s="3159" t="s">
        <v>176</v>
      </c>
      <c r="L9" s="3158" t="s">
        <v>177</v>
      </c>
      <c r="M9" s="3158" t="s">
        <v>178</v>
      </c>
      <c r="N9" s="3158" t="s">
        <v>179</v>
      </c>
      <c r="O9" s="3158" t="s">
        <v>180</v>
      </c>
      <c r="P9" s="3158" t="s">
        <v>2859</v>
      </c>
      <c r="Q9" s="3158" t="s">
        <v>182</v>
      </c>
      <c r="R9" s="3158" t="s">
        <v>183</v>
      </c>
      <c r="S9" s="3158" t="s">
        <v>200</v>
      </c>
    </row>
    <row r="10" spans="1:20">
      <c r="A10" s="3163" t="s">
        <v>184</v>
      </c>
      <c r="B10" s="3154" t="s">
        <v>2820</v>
      </c>
      <c r="C10" s="3158">
        <v>32350</v>
      </c>
      <c r="D10" s="3158">
        <v>31430</v>
      </c>
      <c r="E10" s="3158">
        <v>31320</v>
      </c>
      <c r="F10" s="3158">
        <v>10850</v>
      </c>
      <c r="G10" s="3158">
        <v>22860</v>
      </c>
      <c r="H10" s="3157"/>
      <c r="J10" s="3159" t="s">
        <v>185</v>
      </c>
      <c r="K10" s="3159" t="s">
        <v>186</v>
      </c>
      <c r="L10" s="3158" t="s">
        <v>187</v>
      </c>
      <c r="M10" s="3158" t="s">
        <v>188</v>
      </c>
      <c r="N10" s="3158" t="s">
        <v>189</v>
      </c>
      <c r="O10" s="3158" t="s">
        <v>190</v>
      </c>
      <c r="P10" s="3158" t="s">
        <v>181</v>
      </c>
      <c r="Q10" s="3158" t="s">
        <v>192</v>
      </c>
      <c r="R10" s="3158" t="s">
        <v>193</v>
      </c>
      <c r="S10" s="3158" t="s">
        <v>2860</v>
      </c>
    </row>
    <row r="11" spans="1:20">
      <c r="A11" s="3158" t="s">
        <v>184</v>
      </c>
      <c r="B11" s="3159" t="s">
        <v>128</v>
      </c>
      <c r="C11" s="3158">
        <v>31590</v>
      </c>
      <c r="D11" s="3158">
        <v>29490</v>
      </c>
      <c r="E11" s="3158">
        <v>28700</v>
      </c>
      <c r="F11" s="3158">
        <v>10410</v>
      </c>
      <c r="G11" s="3158">
        <v>21460</v>
      </c>
      <c r="H11" s="3157"/>
      <c r="J11" s="3159" t="s">
        <v>194</v>
      </c>
      <c r="K11" s="3159" t="s">
        <v>195</v>
      </c>
      <c r="L11" s="3158" t="s">
        <v>196</v>
      </c>
      <c r="M11" s="3158" t="s">
        <v>197</v>
      </c>
      <c r="N11" s="3158" t="s">
        <v>198</v>
      </c>
      <c r="O11" s="3158" t="s">
        <v>2861</v>
      </c>
      <c r="P11" s="3158" t="s">
        <v>191</v>
      </c>
      <c r="Q11" s="3158" t="s">
        <v>199</v>
      </c>
      <c r="R11" s="3158" t="s">
        <v>2862</v>
      </c>
      <c r="S11" s="3158" t="s">
        <v>2863</v>
      </c>
    </row>
    <row r="12" spans="1:20">
      <c r="A12" s="3158" t="s">
        <v>184</v>
      </c>
      <c r="B12" s="3159" t="s">
        <v>111</v>
      </c>
      <c r="C12" s="3158">
        <v>29640</v>
      </c>
      <c r="D12" s="3158">
        <v>27550</v>
      </c>
      <c r="E12" s="3158">
        <v>28010</v>
      </c>
      <c r="F12" s="3158">
        <v>8730</v>
      </c>
      <c r="G12" s="3158">
        <v>20050</v>
      </c>
      <c r="H12" s="3157"/>
      <c r="J12" s="3159" t="s">
        <v>201</v>
      </c>
      <c r="K12" s="3159" t="s">
        <v>202</v>
      </c>
      <c r="L12" s="3158" t="s">
        <v>203</v>
      </c>
      <c r="M12" s="3158" t="s">
        <v>204</v>
      </c>
      <c r="N12" s="3158" t="s">
        <v>205</v>
      </c>
      <c r="O12" s="3158" t="s">
        <v>2864</v>
      </c>
      <c r="P12" s="3158" t="s">
        <v>2865</v>
      </c>
      <c r="Q12" s="3158" t="s">
        <v>2866</v>
      </c>
      <c r="R12" s="3158" t="s">
        <v>2867</v>
      </c>
      <c r="S12" s="3158" t="s">
        <v>2868</v>
      </c>
    </row>
    <row r="13" spans="1:20">
      <c r="A13" s="3158" t="s">
        <v>184</v>
      </c>
      <c r="B13" s="3159" t="s">
        <v>146</v>
      </c>
      <c r="C13" s="3158">
        <v>29680</v>
      </c>
      <c r="D13" s="3158">
        <v>27660</v>
      </c>
      <c r="E13" s="3158">
        <v>28210</v>
      </c>
      <c r="F13" s="3158">
        <v>9590</v>
      </c>
      <c r="G13" s="3158">
        <v>20120</v>
      </c>
      <c r="H13" s="3157"/>
      <c r="J13" s="3159" t="s">
        <v>208</v>
      </c>
      <c r="K13" s="3159" t="s">
        <v>209</v>
      </c>
      <c r="L13" s="3158" t="s">
        <v>210</v>
      </c>
      <c r="M13" s="3158" t="s">
        <v>211</v>
      </c>
      <c r="N13" s="3158" t="s">
        <v>212</v>
      </c>
      <c r="O13" s="3158" t="s">
        <v>2869</v>
      </c>
      <c r="P13" s="3158" t="s">
        <v>206</v>
      </c>
      <c r="Q13" s="3158" t="s">
        <v>219</v>
      </c>
      <c r="R13" s="3158" t="s">
        <v>220</v>
      </c>
      <c r="S13" s="3158" t="s">
        <v>214</v>
      </c>
    </row>
    <row r="14" spans="1:20">
      <c r="A14" s="3158" t="s">
        <v>184</v>
      </c>
      <c r="B14" s="3159" t="s">
        <v>155</v>
      </c>
      <c r="C14" s="3158">
        <v>30520</v>
      </c>
      <c r="D14" s="3158">
        <v>29510</v>
      </c>
      <c r="E14" s="3158">
        <v>29400</v>
      </c>
      <c r="F14" s="3158">
        <v>9630</v>
      </c>
      <c r="G14" s="3158">
        <v>21480</v>
      </c>
      <c r="H14" s="3157"/>
      <c r="J14" s="3159" t="s">
        <v>2870</v>
      </c>
      <c r="K14" s="3159" t="s">
        <v>215</v>
      </c>
      <c r="L14" s="3158" t="s">
        <v>216</v>
      </c>
      <c r="M14" s="3158" t="s">
        <v>217</v>
      </c>
      <c r="N14" s="3158" t="s">
        <v>218</v>
      </c>
      <c r="O14" s="3158" t="s">
        <v>240</v>
      </c>
      <c r="P14" s="3158" t="s">
        <v>213</v>
      </c>
      <c r="Q14" s="3158" t="s">
        <v>2871</v>
      </c>
      <c r="R14" s="3158" t="s">
        <v>228</v>
      </c>
      <c r="S14" s="3158" t="s">
        <v>221</v>
      </c>
    </row>
    <row r="15" spans="1:20">
      <c r="A15" s="3158" t="s">
        <v>184</v>
      </c>
      <c r="B15" s="3159" t="s">
        <v>162</v>
      </c>
      <c r="C15" s="3158">
        <v>29090</v>
      </c>
      <c r="D15" s="3158">
        <v>27590</v>
      </c>
      <c r="E15" s="3158">
        <v>28120</v>
      </c>
      <c r="F15" s="3158">
        <v>9110</v>
      </c>
      <c r="G15" s="3158">
        <v>20070</v>
      </c>
      <c r="H15" s="3157"/>
      <c r="J15" s="3159" t="s">
        <v>222</v>
      </c>
      <c r="K15" s="3159" t="s">
        <v>223</v>
      </c>
      <c r="L15" s="3158" t="s">
        <v>224</v>
      </c>
      <c r="M15" s="3158" t="s">
        <v>225</v>
      </c>
      <c r="N15" s="3158" t="s">
        <v>226</v>
      </c>
      <c r="O15" s="3158" t="s">
        <v>2872</v>
      </c>
      <c r="P15" s="3158" t="s">
        <v>2873</v>
      </c>
      <c r="Q15" s="3158" t="s">
        <v>242</v>
      </c>
      <c r="R15" s="3158" t="s">
        <v>2874</v>
      </c>
      <c r="S15" s="3158" t="s">
        <v>229</v>
      </c>
    </row>
    <row r="16" spans="1:20">
      <c r="A16" s="3158" t="s">
        <v>184</v>
      </c>
      <c r="B16" s="3159" t="s">
        <v>168</v>
      </c>
      <c r="C16" s="3158">
        <v>26790</v>
      </c>
      <c r="D16" s="3158">
        <v>30370</v>
      </c>
      <c r="E16" s="3158">
        <v>30240</v>
      </c>
      <c r="F16" s="3158">
        <v>11590</v>
      </c>
      <c r="G16" s="3158">
        <v>22090</v>
      </c>
      <c r="H16" s="3157"/>
      <c r="J16" s="3159" t="s">
        <v>230</v>
      </c>
      <c r="K16" s="3159" t="s">
        <v>231</v>
      </c>
      <c r="L16" s="3158" t="s">
        <v>232</v>
      </c>
      <c r="M16" s="3158" t="s">
        <v>233</v>
      </c>
      <c r="N16" s="3158" t="s">
        <v>234</v>
      </c>
      <c r="O16" s="3158" t="s">
        <v>2875</v>
      </c>
      <c r="P16" s="3158" t="s">
        <v>227</v>
      </c>
      <c r="Q16" s="3158" t="s">
        <v>250</v>
      </c>
      <c r="R16" s="3158" t="s">
        <v>207</v>
      </c>
      <c r="S16" s="3158" t="s">
        <v>2876</v>
      </c>
    </row>
    <row r="17" spans="1:19" ht="14.25" customHeight="1">
      <c r="A17" s="3158" t="s">
        <v>184</v>
      </c>
      <c r="B17" s="3159" t="s">
        <v>175</v>
      </c>
      <c r="C17" s="3158">
        <v>29180</v>
      </c>
      <c r="D17" s="3158">
        <v>27620</v>
      </c>
      <c r="E17" s="3158">
        <v>28180</v>
      </c>
      <c r="F17" s="3158">
        <v>10790</v>
      </c>
      <c r="G17" s="3158">
        <v>20090</v>
      </c>
      <c r="H17" s="3157"/>
      <c r="J17" s="3159" t="s">
        <v>235</v>
      </c>
      <c r="K17" s="3159" t="s">
        <v>236</v>
      </c>
      <c r="L17" s="3158" t="s">
        <v>237</v>
      </c>
      <c r="M17" s="3158" t="s">
        <v>238</v>
      </c>
      <c r="N17" s="3158" t="s">
        <v>239</v>
      </c>
      <c r="O17" s="3158" t="s">
        <v>2877</v>
      </c>
      <c r="P17" s="3158" t="s">
        <v>2878</v>
      </c>
      <c r="Q17" s="3158" t="s">
        <v>256</v>
      </c>
      <c r="R17" s="3158" t="s">
        <v>2879</v>
      </c>
      <c r="S17" s="3158" t="s">
        <v>258</v>
      </c>
    </row>
    <row r="18" spans="1:19" ht="14.25" customHeight="1">
      <c r="A18" s="3158" t="s">
        <v>184</v>
      </c>
      <c r="B18" s="3159" t="s">
        <v>185</v>
      </c>
      <c r="C18" s="3158">
        <v>26840</v>
      </c>
      <c r="D18" s="3158">
        <v>28930</v>
      </c>
      <c r="E18" s="3158">
        <v>28820</v>
      </c>
      <c r="F18" s="3158"/>
      <c r="G18" s="3158">
        <v>21050</v>
      </c>
      <c r="H18" s="3157"/>
      <c r="J18" s="3159" t="s">
        <v>244</v>
      </c>
      <c r="K18" s="3159" t="s">
        <v>245</v>
      </c>
      <c r="L18" s="3158" t="s">
        <v>246</v>
      </c>
      <c r="M18" s="3158" t="s">
        <v>247</v>
      </c>
      <c r="N18" s="3158" t="s">
        <v>248</v>
      </c>
      <c r="O18" s="3158" t="s">
        <v>2880</v>
      </c>
      <c r="P18" s="3158" t="s">
        <v>241</v>
      </c>
      <c r="Q18" s="3158" t="s">
        <v>2881</v>
      </c>
      <c r="R18" s="3158" t="s">
        <v>257</v>
      </c>
      <c r="S18" s="3158" t="s">
        <v>266</v>
      </c>
    </row>
    <row r="19" spans="1:19" ht="14.25" customHeight="1">
      <c r="A19" s="3158" t="s">
        <v>184</v>
      </c>
      <c r="B19" s="3159" t="s">
        <v>194</v>
      </c>
      <c r="C19" s="3158">
        <v>27750</v>
      </c>
      <c r="D19" s="3158">
        <v>26680</v>
      </c>
      <c r="E19" s="3158">
        <v>26590</v>
      </c>
      <c r="F19" s="3158"/>
      <c r="G19" s="3158">
        <v>19420</v>
      </c>
      <c r="H19" s="3157"/>
      <c r="J19" s="3159" t="s">
        <v>251</v>
      </c>
      <c r="K19" s="3159" t="s">
        <v>252</v>
      </c>
      <c r="L19" s="3158" t="s">
        <v>253</v>
      </c>
      <c r="M19" s="3158" t="s">
        <v>254</v>
      </c>
      <c r="N19" s="3158" t="s">
        <v>255</v>
      </c>
      <c r="O19" s="3158" t="s">
        <v>2882</v>
      </c>
      <c r="P19" s="3158" t="s">
        <v>249</v>
      </c>
      <c r="Q19" s="3158" t="s">
        <v>2883</v>
      </c>
      <c r="R19" s="3158" t="s">
        <v>265</v>
      </c>
      <c r="S19" s="3158" t="s">
        <v>2884</v>
      </c>
    </row>
    <row r="20" spans="1:19" ht="14.25" customHeight="1">
      <c r="A20" s="3158" t="s">
        <v>184</v>
      </c>
      <c r="B20" s="3159" t="s">
        <v>201</v>
      </c>
      <c r="C20" s="3158">
        <v>27050</v>
      </c>
      <c r="D20" s="3158">
        <v>29010</v>
      </c>
      <c r="E20" s="3158">
        <v>28910</v>
      </c>
      <c r="F20" s="3158"/>
      <c r="G20" s="3158">
        <v>21110</v>
      </c>
      <c r="J20" s="3159" t="s">
        <v>259</v>
      </c>
      <c r="K20" s="3159" t="s">
        <v>260</v>
      </c>
      <c r="L20" s="3158" t="s">
        <v>261</v>
      </c>
      <c r="M20" s="3158" t="s">
        <v>262</v>
      </c>
      <c r="N20" s="3158" t="s">
        <v>263</v>
      </c>
      <c r="O20" s="3158" t="s">
        <v>2885</v>
      </c>
      <c r="P20" s="3158" t="s">
        <v>2886</v>
      </c>
      <c r="Q20" s="3158" t="s">
        <v>290</v>
      </c>
      <c r="R20" s="3158" t="s">
        <v>2887</v>
      </c>
      <c r="S20" s="3158" t="s">
        <v>277</v>
      </c>
    </row>
    <row r="21" spans="1:19" ht="14.25" customHeight="1" thickBot="1">
      <c r="A21" s="3158" t="s">
        <v>184</v>
      </c>
      <c r="B21" s="3159" t="s">
        <v>208</v>
      </c>
      <c r="C21" s="3158">
        <v>32370</v>
      </c>
      <c r="D21" s="3158">
        <v>26730</v>
      </c>
      <c r="E21" s="3158">
        <v>26640</v>
      </c>
      <c r="F21" s="3158"/>
      <c r="G21" s="3158">
        <v>19440</v>
      </c>
      <c r="J21" s="3165" t="s">
        <v>2888</v>
      </c>
      <c r="K21" s="3159" t="s">
        <v>267</v>
      </c>
      <c r="L21" s="3158" t="s">
        <v>268</v>
      </c>
      <c r="M21" s="3158" t="s">
        <v>269</v>
      </c>
      <c r="N21" s="3158" t="s">
        <v>270</v>
      </c>
      <c r="O21" s="3158" t="s">
        <v>264</v>
      </c>
      <c r="P21" s="3158" t="s">
        <v>283</v>
      </c>
      <c r="Q21" s="3158" t="s">
        <v>293</v>
      </c>
      <c r="R21" s="3158" t="s">
        <v>2889</v>
      </c>
      <c r="S21" s="3165" t="s">
        <v>2890</v>
      </c>
    </row>
    <row r="22" spans="1:19" ht="14.25" customHeight="1">
      <c r="A22" s="3158" t="s">
        <v>184</v>
      </c>
      <c r="B22" s="3159" t="s">
        <v>2870</v>
      </c>
      <c r="C22" s="3158">
        <v>29830</v>
      </c>
      <c r="D22" s="3158">
        <v>27600</v>
      </c>
      <c r="E22" s="3158">
        <v>28150</v>
      </c>
      <c r="F22" s="3158"/>
      <c r="G22" s="3158">
        <v>20080</v>
      </c>
      <c r="K22" s="3159" t="s">
        <v>2891</v>
      </c>
      <c r="L22" s="3158" t="s">
        <v>272</v>
      </c>
      <c r="M22" s="3158" t="s">
        <v>273</v>
      </c>
      <c r="N22" s="3158" t="s">
        <v>274</v>
      </c>
      <c r="O22" s="3158" t="s">
        <v>2892</v>
      </c>
      <c r="P22" s="3158" t="s">
        <v>286</v>
      </c>
      <c r="Q22" s="3158" t="s">
        <v>295</v>
      </c>
      <c r="R22" s="3158" t="s">
        <v>243</v>
      </c>
    </row>
    <row r="23" spans="1:19" ht="14.25" customHeight="1">
      <c r="A23" s="3158" t="s">
        <v>184</v>
      </c>
      <c r="B23" s="3159" t="s">
        <v>222</v>
      </c>
      <c r="C23" s="3158">
        <v>27800</v>
      </c>
      <c r="D23" s="3158">
        <v>26900</v>
      </c>
      <c r="E23" s="3158">
        <v>27170</v>
      </c>
      <c r="F23" s="3158"/>
      <c r="G23" s="3158">
        <v>19570</v>
      </c>
      <c r="K23" s="3159" t="s">
        <v>2893</v>
      </c>
      <c r="L23" s="3158" t="s">
        <v>278</v>
      </c>
      <c r="M23" s="3158" t="s">
        <v>279</v>
      </c>
      <c r="N23" s="3158" t="s">
        <v>2894</v>
      </c>
      <c r="O23" s="3158" t="s">
        <v>2895</v>
      </c>
      <c r="P23" s="3158" t="s">
        <v>289</v>
      </c>
      <c r="Q23" s="3158" t="s">
        <v>298</v>
      </c>
      <c r="R23" s="3158" t="s">
        <v>2896</v>
      </c>
    </row>
    <row r="24" spans="1:19" ht="14.25" customHeight="1">
      <c r="A24" s="3158" t="s">
        <v>184</v>
      </c>
      <c r="B24" s="3159" t="s">
        <v>230</v>
      </c>
      <c r="C24" s="3158">
        <v>27930</v>
      </c>
      <c r="D24" s="3158">
        <v>32260</v>
      </c>
      <c r="E24" s="3158">
        <v>32120</v>
      </c>
      <c r="F24" s="3158"/>
      <c r="G24" s="3158">
        <v>23470</v>
      </c>
      <c r="K24" s="3159" t="s">
        <v>2897</v>
      </c>
      <c r="L24" s="3158" t="s">
        <v>281</v>
      </c>
      <c r="M24" s="3158" t="s">
        <v>282</v>
      </c>
      <c r="N24" s="3158" t="s">
        <v>2898</v>
      </c>
      <c r="O24" s="3158" t="s">
        <v>285</v>
      </c>
      <c r="P24" s="3158" t="s">
        <v>2899</v>
      </c>
      <c r="Q24" s="3167" t="s">
        <v>2900</v>
      </c>
      <c r="R24" s="3158" t="s">
        <v>2901</v>
      </c>
    </row>
    <row r="25" spans="1:19" ht="14.25" customHeight="1">
      <c r="A25" s="3158" t="s">
        <v>184</v>
      </c>
      <c r="B25" s="3159" t="s">
        <v>235</v>
      </c>
      <c r="C25" s="3158">
        <v>32230</v>
      </c>
      <c r="D25" s="3158">
        <v>29640</v>
      </c>
      <c r="E25" s="3158">
        <v>29510</v>
      </c>
      <c r="F25" s="3158"/>
      <c r="G25" s="3158">
        <v>21560</v>
      </c>
      <c r="K25" s="3159" t="s">
        <v>2902</v>
      </c>
      <c r="L25" s="3158" t="s">
        <v>2903</v>
      </c>
      <c r="M25" s="3158" t="s">
        <v>284</v>
      </c>
      <c r="N25" s="3158" t="s">
        <v>292</v>
      </c>
      <c r="O25" s="3158" t="s">
        <v>288</v>
      </c>
      <c r="P25" s="3158" t="s">
        <v>275</v>
      </c>
      <c r="Q25" s="3167" t="s">
        <v>271</v>
      </c>
      <c r="R25" s="3158" t="s">
        <v>2904</v>
      </c>
    </row>
    <row r="26" spans="1:19" ht="14.25" customHeight="1" thickBot="1">
      <c r="A26" s="3158" t="s">
        <v>184</v>
      </c>
      <c r="B26" s="3159" t="s">
        <v>244</v>
      </c>
      <c r="C26" s="3158">
        <v>31690</v>
      </c>
      <c r="D26" s="3158">
        <v>27650</v>
      </c>
      <c r="E26" s="3158">
        <v>28200</v>
      </c>
      <c r="F26" s="3158"/>
      <c r="G26" s="3158">
        <v>20110</v>
      </c>
      <c r="K26" s="3164" t="s">
        <v>2905</v>
      </c>
      <c r="L26" s="3158" t="s">
        <v>2906</v>
      </c>
      <c r="M26" s="3158" t="s">
        <v>287</v>
      </c>
      <c r="N26" s="3158" t="s">
        <v>294</v>
      </c>
      <c r="O26" s="3158" t="s">
        <v>2907</v>
      </c>
      <c r="P26" s="3158" t="s">
        <v>2908</v>
      </c>
      <c r="Q26" s="3167" t="s">
        <v>276</v>
      </c>
      <c r="R26" s="3158" t="s">
        <v>2909</v>
      </c>
    </row>
    <row r="27" spans="1:19" ht="14.25" customHeight="1">
      <c r="A27" s="3158" t="s">
        <v>184</v>
      </c>
      <c r="B27" s="3159" t="s">
        <v>251</v>
      </c>
      <c r="C27" s="3158">
        <v>29610</v>
      </c>
      <c r="D27" s="3158">
        <v>27770</v>
      </c>
      <c r="E27" s="3158">
        <v>28300</v>
      </c>
      <c r="F27" s="3158"/>
      <c r="G27" s="3158">
        <v>20210</v>
      </c>
      <c r="L27" s="3158" t="s">
        <v>2910</v>
      </c>
      <c r="M27" s="3158" t="s">
        <v>291</v>
      </c>
      <c r="N27" s="3158" t="s">
        <v>297</v>
      </c>
      <c r="O27" s="3158" t="s">
        <v>2911</v>
      </c>
      <c r="P27" s="3158" t="s">
        <v>2912</v>
      </c>
      <c r="Q27" s="3158" t="s">
        <v>2913</v>
      </c>
      <c r="R27" s="3158" t="s">
        <v>2914</v>
      </c>
    </row>
    <row r="28" spans="1:19" ht="14.25" customHeight="1">
      <c r="A28" s="3158" t="s">
        <v>184</v>
      </c>
      <c r="B28" s="3159" t="s">
        <v>259</v>
      </c>
      <c r="C28" s="3158"/>
      <c r="D28" s="3158">
        <v>31520</v>
      </c>
      <c r="E28" s="3158">
        <v>31410</v>
      </c>
      <c r="F28" s="3158"/>
      <c r="G28" s="3158">
        <v>22940</v>
      </c>
      <c r="L28" s="3158" t="s">
        <v>2915</v>
      </c>
      <c r="M28" s="3158" t="s">
        <v>2916</v>
      </c>
      <c r="N28" s="3158" t="s">
        <v>2917</v>
      </c>
      <c r="O28" s="3158" t="s">
        <v>2918</v>
      </c>
      <c r="P28" s="3158" t="s">
        <v>2919</v>
      </c>
      <c r="Q28" s="3158" t="s">
        <v>2920</v>
      </c>
      <c r="R28" s="3158" t="s">
        <v>2921</v>
      </c>
    </row>
    <row r="29" spans="1:19" ht="14.25" customHeight="1" thickBot="1">
      <c r="A29" s="3166" t="s">
        <v>184</v>
      </c>
      <c r="B29" s="3168" t="s">
        <v>2888</v>
      </c>
      <c r="C29" s="3169"/>
      <c r="D29" s="3169">
        <v>29460</v>
      </c>
      <c r="E29" s="3169">
        <v>28640</v>
      </c>
      <c r="F29" s="3169"/>
      <c r="G29" s="3169">
        <v>21430</v>
      </c>
      <c r="L29" s="3158" t="s">
        <v>2922</v>
      </c>
      <c r="M29" s="3158" t="s">
        <v>2923</v>
      </c>
      <c r="N29" s="3158" t="s">
        <v>2924</v>
      </c>
      <c r="O29" s="3158" t="s">
        <v>2925</v>
      </c>
      <c r="P29" s="3158" t="s">
        <v>2926</v>
      </c>
      <c r="Q29" s="3158" t="s">
        <v>2927</v>
      </c>
      <c r="R29" s="3158" t="s">
        <v>280</v>
      </c>
    </row>
    <row r="30" spans="1:19" ht="14.25" customHeight="1">
      <c r="A30" s="3163" t="s">
        <v>296</v>
      </c>
      <c r="B30" s="3154" t="s">
        <v>2821</v>
      </c>
      <c r="C30" s="3154">
        <v>26890</v>
      </c>
      <c r="D30" s="3154">
        <v>26770</v>
      </c>
      <c r="E30" s="3154">
        <v>25700</v>
      </c>
      <c r="F30" s="3154">
        <v>8180</v>
      </c>
      <c r="G30" s="3170">
        <v>18740</v>
      </c>
      <c r="L30" s="3158" t="s">
        <v>2928</v>
      </c>
      <c r="M30" s="3158" t="s">
        <v>2929</v>
      </c>
      <c r="N30" s="3158" t="s">
        <v>2930</v>
      </c>
      <c r="O30" s="3158" t="s">
        <v>2931</v>
      </c>
      <c r="P30" s="3158" t="s">
        <v>2932</v>
      </c>
      <c r="Q30" s="3158" t="s">
        <v>2933</v>
      </c>
      <c r="R30" s="3158" t="s">
        <v>2934</v>
      </c>
    </row>
    <row r="31" spans="1:19" ht="14.25" customHeight="1">
      <c r="A31" s="3158" t="s">
        <v>296</v>
      </c>
      <c r="B31" s="3159" t="s">
        <v>129</v>
      </c>
      <c r="C31" s="3158">
        <v>24550</v>
      </c>
      <c r="D31" s="3158">
        <v>23990</v>
      </c>
      <c r="E31" s="3158">
        <v>22930</v>
      </c>
      <c r="F31" s="3158">
        <v>7470</v>
      </c>
      <c r="G31" s="3171">
        <v>16790</v>
      </c>
      <c r="L31" s="3158" t="s">
        <v>2935</v>
      </c>
      <c r="M31" s="3158" t="s">
        <v>2936</v>
      </c>
      <c r="N31" s="3158" t="s">
        <v>2937</v>
      </c>
      <c r="O31" s="3158" t="s">
        <v>2938</v>
      </c>
      <c r="P31" s="3158" t="s">
        <v>2939</v>
      </c>
      <c r="Q31" s="3158" t="s">
        <v>2940</v>
      </c>
      <c r="R31" s="3158" t="s">
        <v>2941</v>
      </c>
    </row>
    <row r="32" spans="1:19" ht="14.25" customHeight="1" thickBot="1">
      <c r="A32" s="3158" t="s">
        <v>296</v>
      </c>
      <c r="B32" s="3159" t="s">
        <v>138</v>
      </c>
      <c r="C32" s="3158">
        <v>27210</v>
      </c>
      <c r="D32" s="3158">
        <v>23240</v>
      </c>
      <c r="E32" s="3158">
        <v>23260</v>
      </c>
      <c r="F32" s="3158">
        <v>7130</v>
      </c>
      <c r="G32" s="3171">
        <v>16270</v>
      </c>
      <c r="L32" s="3158" t="s">
        <v>2942</v>
      </c>
      <c r="M32" s="3158" t="s">
        <v>2943</v>
      </c>
      <c r="N32" s="3158" t="s">
        <v>300</v>
      </c>
      <c r="O32" s="3158" t="s">
        <v>2944</v>
      </c>
      <c r="P32" s="3158" t="s">
        <v>299</v>
      </c>
      <c r="Q32" s="3158" t="s">
        <v>2945</v>
      </c>
      <c r="R32" s="3165" t="s">
        <v>2946</v>
      </c>
    </row>
    <row r="33" spans="1:17" ht="14.25" customHeight="1" thickBot="1">
      <c r="A33" s="3158" t="s">
        <v>296</v>
      </c>
      <c r="B33" s="3159" t="s">
        <v>147</v>
      </c>
      <c r="C33" s="3158">
        <v>27300</v>
      </c>
      <c r="D33" s="3158">
        <v>22980</v>
      </c>
      <c r="E33" s="3158">
        <v>24260</v>
      </c>
      <c r="F33" s="3158">
        <v>5860</v>
      </c>
      <c r="G33" s="3171">
        <v>16090</v>
      </c>
      <c r="L33" s="3165" t="s">
        <v>2947</v>
      </c>
      <c r="M33" s="3158" t="s">
        <v>2948</v>
      </c>
      <c r="N33" s="3158" t="s">
        <v>301</v>
      </c>
      <c r="O33" s="3158" t="s">
        <v>2949</v>
      </c>
      <c r="P33" s="3158" t="s">
        <v>2950</v>
      </c>
      <c r="Q33" s="3158" t="s">
        <v>2951</v>
      </c>
    </row>
    <row r="34" spans="1:17" ht="14.25" customHeight="1">
      <c r="A34" s="3158" t="s">
        <v>296</v>
      </c>
      <c r="B34" s="3159" t="s">
        <v>156</v>
      </c>
      <c r="C34" s="3158">
        <v>23090</v>
      </c>
      <c r="D34" s="3158">
        <v>23390</v>
      </c>
      <c r="E34" s="3158">
        <v>23510</v>
      </c>
      <c r="F34" s="3158">
        <v>6700</v>
      </c>
      <c r="G34" s="3171">
        <v>16370</v>
      </c>
      <c r="M34" s="3158" t="s">
        <v>2952</v>
      </c>
      <c r="N34" s="3158" t="s">
        <v>302</v>
      </c>
      <c r="O34" s="3158" t="s">
        <v>2953</v>
      </c>
      <c r="P34" s="3158" t="s">
        <v>2954</v>
      </c>
      <c r="Q34" s="3158" t="s">
        <v>2955</v>
      </c>
    </row>
    <row r="35" spans="1:17" ht="14.25" customHeight="1">
      <c r="A35" s="3158" t="s">
        <v>296</v>
      </c>
      <c r="B35" s="3159" t="s">
        <v>163</v>
      </c>
      <c r="C35" s="3158">
        <v>27270</v>
      </c>
      <c r="D35" s="3158">
        <v>24270</v>
      </c>
      <c r="E35" s="3158">
        <v>24950</v>
      </c>
      <c r="F35" s="3158">
        <v>6600</v>
      </c>
      <c r="G35" s="3171">
        <v>16990</v>
      </c>
      <c r="M35" s="3158" t="s">
        <v>2956</v>
      </c>
      <c r="N35" s="3158" t="s">
        <v>2957</v>
      </c>
      <c r="O35" s="3158" t="s">
        <v>2958</v>
      </c>
      <c r="P35" s="3158" t="s">
        <v>2959</v>
      </c>
      <c r="Q35" s="3158" t="s">
        <v>2960</v>
      </c>
    </row>
    <row r="36" spans="1:17" ht="14.25" customHeight="1">
      <c r="A36" s="3158" t="s">
        <v>296</v>
      </c>
      <c r="B36" s="3159" t="s">
        <v>169</v>
      </c>
      <c r="C36" s="3158">
        <v>23490</v>
      </c>
      <c r="D36" s="3158">
        <v>23020</v>
      </c>
      <c r="E36" s="3158">
        <v>25230</v>
      </c>
      <c r="F36" s="3158">
        <v>6780</v>
      </c>
      <c r="G36" s="3171">
        <v>16120</v>
      </c>
      <c r="M36" s="3158" t="s">
        <v>2961</v>
      </c>
      <c r="N36" s="3158" t="s">
        <v>2962</v>
      </c>
      <c r="O36" s="3158" t="s">
        <v>2963</v>
      </c>
      <c r="P36" s="3158" t="s">
        <v>2964</v>
      </c>
      <c r="Q36" s="3158" t="s">
        <v>2965</v>
      </c>
    </row>
    <row r="37" spans="1:17" ht="14.25" customHeight="1">
      <c r="A37" s="3158" t="s">
        <v>296</v>
      </c>
      <c r="B37" s="3159" t="s">
        <v>176</v>
      </c>
      <c r="C37" s="3158">
        <v>24380</v>
      </c>
      <c r="D37" s="3158">
        <v>22240</v>
      </c>
      <c r="E37" s="3158">
        <v>25980</v>
      </c>
      <c r="F37" s="3158">
        <v>8160</v>
      </c>
      <c r="G37" s="3171">
        <v>15570</v>
      </c>
      <c r="M37" s="3158" t="s">
        <v>2966</v>
      </c>
      <c r="N37" s="3158" t="s">
        <v>2967</v>
      </c>
      <c r="O37" s="3158" t="s">
        <v>2968</v>
      </c>
      <c r="P37" s="3158" t="s">
        <v>2969</v>
      </c>
      <c r="Q37" s="3158" t="s">
        <v>2970</v>
      </c>
    </row>
    <row r="38" spans="1:17" ht="14.25" customHeight="1">
      <c r="A38" s="3158" t="s">
        <v>296</v>
      </c>
      <c r="B38" s="3159" t="s">
        <v>186</v>
      </c>
      <c r="C38" s="3158">
        <v>23120</v>
      </c>
      <c r="D38" s="3158">
        <v>24630</v>
      </c>
      <c r="E38" s="3158">
        <v>25030</v>
      </c>
      <c r="F38" s="3158">
        <v>7710</v>
      </c>
      <c r="G38" s="3171">
        <v>17240</v>
      </c>
      <c r="M38" s="3158" t="s">
        <v>2971</v>
      </c>
      <c r="N38" s="3158" t="s">
        <v>2972</v>
      </c>
      <c r="O38" s="3158" t="s">
        <v>2973</v>
      </c>
      <c r="P38" s="3158" t="s">
        <v>2974</v>
      </c>
      <c r="Q38" s="3158" t="s">
        <v>2975</v>
      </c>
    </row>
    <row r="39" spans="1:17" ht="14.25" customHeight="1">
      <c r="A39" s="3158" t="s">
        <v>296</v>
      </c>
      <c r="B39" s="3159" t="s">
        <v>195</v>
      </c>
      <c r="C39" s="3158">
        <v>22330</v>
      </c>
      <c r="D39" s="3158">
        <v>21140</v>
      </c>
      <c r="E39" s="3158">
        <v>23970</v>
      </c>
      <c r="F39" s="3158">
        <v>7940</v>
      </c>
      <c r="G39" s="3171">
        <v>14790</v>
      </c>
      <c r="M39" s="3158" t="s">
        <v>2976</v>
      </c>
      <c r="N39" s="3158" t="s">
        <v>2977</v>
      </c>
      <c r="O39" s="3158" t="s">
        <v>2978</v>
      </c>
      <c r="P39" s="3158" t="s">
        <v>2979</v>
      </c>
      <c r="Q39" s="3158" t="s">
        <v>2980</v>
      </c>
    </row>
    <row r="40" spans="1:17" ht="14.25" customHeight="1">
      <c r="A40" s="3158" t="s">
        <v>296</v>
      </c>
      <c r="B40" s="3159" t="s">
        <v>202</v>
      </c>
      <c r="C40" s="3158">
        <v>24740</v>
      </c>
      <c r="D40" s="3158">
        <v>24690</v>
      </c>
      <c r="E40" s="3158">
        <v>22610</v>
      </c>
      <c r="F40" s="3158"/>
      <c r="G40" s="3171">
        <v>17280</v>
      </c>
      <c r="M40" s="3158" t="s">
        <v>2981</v>
      </c>
      <c r="N40" s="3158" t="s">
        <v>2982</v>
      </c>
      <c r="O40" s="3158" t="s">
        <v>2983</v>
      </c>
      <c r="P40" s="3158" t="s">
        <v>2984</v>
      </c>
      <c r="Q40" s="3158" t="s">
        <v>2985</v>
      </c>
    </row>
    <row r="41" spans="1:17" ht="14.25" customHeight="1" thickBot="1">
      <c r="A41" s="3158" t="s">
        <v>296</v>
      </c>
      <c r="B41" s="3159" t="s">
        <v>209</v>
      </c>
      <c r="C41" s="3158">
        <v>21220</v>
      </c>
      <c r="D41" s="3158">
        <v>21120</v>
      </c>
      <c r="E41" s="3158">
        <v>22590</v>
      </c>
      <c r="F41" s="3158"/>
      <c r="G41" s="3171">
        <v>14780</v>
      </c>
      <c r="M41" s="3165" t="s">
        <v>2986</v>
      </c>
      <c r="N41" s="3158" t="s">
        <v>2987</v>
      </c>
      <c r="O41" s="3158" t="s">
        <v>2988</v>
      </c>
      <c r="P41" s="3158" t="s">
        <v>2989</v>
      </c>
      <c r="Q41" s="3158" t="s">
        <v>2990</v>
      </c>
    </row>
    <row r="42" spans="1:17" ht="14.25" customHeight="1">
      <c r="A42" s="3158" t="s">
        <v>296</v>
      </c>
      <c r="B42" s="3159" t="s">
        <v>215</v>
      </c>
      <c r="C42" s="3158">
        <v>24800</v>
      </c>
      <c r="D42" s="3158">
        <v>22280</v>
      </c>
      <c r="E42" s="3158">
        <v>24350</v>
      </c>
      <c r="F42" s="3158"/>
      <c r="G42" s="3171">
        <v>15590</v>
      </c>
      <c r="N42" s="3158" t="s">
        <v>2991</v>
      </c>
      <c r="O42" s="3158" t="s">
        <v>2992</v>
      </c>
      <c r="P42" s="3158" t="s">
        <v>2993</v>
      </c>
      <c r="Q42" s="3158" t="s">
        <v>2994</v>
      </c>
    </row>
    <row r="43" spans="1:17" ht="14.25" customHeight="1">
      <c r="A43" s="3158" t="s">
        <v>2995</v>
      </c>
      <c r="B43" s="3159" t="s">
        <v>223</v>
      </c>
      <c r="C43" s="3158">
        <v>21210</v>
      </c>
      <c r="D43" s="3158">
        <v>21160</v>
      </c>
      <c r="E43" s="3158">
        <v>22650</v>
      </c>
      <c r="F43" s="3158"/>
      <c r="G43" s="3171">
        <v>14800</v>
      </c>
      <c r="N43" s="3158" t="s">
        <v>2996</v>
      </c>
      <c r="O43" s="3158" t="s">
        <v>2997</v>
      </c>
      <c r="P43" s="3158" t="s">
        <v>2998</v>
      </c>
      <c r="Q43" s="3158" t="s">
        <v>2999</v>
      </c>
    </row>
    <row r="44" spans="1:17" ht="14.25" customHeight="1" thickBot="1">
      <c r="A44" s="3158" t="s">
        <v>296</v>
      </c>
      <c r="B44" s="3159" t="s">
        <v>231</v>
      </c>
      <c r="C44" s="3158">
        <v>22370</v>
      </c>
      <c r="D44" s="3158">
        <v>23140</v>
      </c>
      <c r="E44" s="3158">
        <v>25090</v>
      </c>
      <c r="F44" s="3158"/>
      <c r="G44" s="3171">
        <v>16190</v>
      </c>
      <c r="N44" s="3158" t="s">
        <v>3000</v>
      </c>
      <c r="O44" s="3158" t="s">
        <v>3001</v>
      </c>
      <c r="P44" s="3165" t="s">
        <v>3002</v>
      </c>
      <c r="Q44" s="3158" t="s">
        <v>3003</v>
      </c>
    </row>
    <row r="45" spans="1:17" ht="14.25" customHeight="1" thickBot="1">
      <c r="A45" s="3158" t="s">
        <v>296</v>
      </c>
      <c r="B45" s="3159" t="s">
        <v>236</v>
      </c>
      <c r="C45" s="3158">
        <v>21240</v>
      </c>
      <c r="D45" s="3158">
        <v>27050</v>
      </c>
      <c r="E45" s="3158">
        <v>28000</v>
      </c>
      <c r="F45" s="3158"/>
      <c r="G45" s="3171">
        <v>18940</v>
      </c>
      <c r="N45" s="3158" t="s">
        <v>3004</v>
      </c>
      <c r="O45" s="3165" t="s">
        <v>3005</v>
      </c>
      <c r="Q45" s="3158" t="s">
        <v>3006</v>
      </c>
    </row>
    <row r="46" spans="1:17" ht="14.25" customHeight="1">
      <c r="A46" s="3158" t="s">
        <v>296</v>
      </c>
      <c r="B46" s="3159" t="s">
        <v>245</v>
      </c>
      <c r="C46" s="3158">
        <v>23240</v>
      </c>
      <c r="D46" s="3158">
        <v>23000</v>
      </c>
      <c r="E46" s="3158">
        <v>24980</v>
      </c>
      <c r="F46" s="3158"/>
      <c r="G46" s="3171">
        <v>16100</v>
      </c>
      <c r="N46" s="3158" t="s">
        <v>3007</v>
      </c>
      <c r="Q46" s="3158" t="s">
        <v>3008</v>
      </c>
    </row>
    <row r="47" spans="1:17" ht="14.25" customHeight="1">
      <c r="A47" s="3158" t="s">
        <v>296</v>
      </c>
      <c r="B47" s="3159" t="s">
        <v>252</v>
      </c>
      <c r="C47" s="3158">
        <v>27150</v>
      </c>
      <c r="D47" s="3158">
        <v>23310</v>
      </c>
      <c r="E47" s="3158">
        <v>25150</v>
      </c>
      <c r="F47" s="3158"/>
      <c r="G47" s="3171">
        <v>16310</v>
      </c>
      <c r="N47" s="3158" t="s">
        <v>3009</v>
      </c>
      <c r="Q47" s="3158" t="s">
        <v>3010</v>
      </c>
    </row>
    <row r="48" spans="1:17" ht="14.25" customHeight="1">
      <c r="A48" s="3158" t="s">
        <v>296</v>
      </c>
      <c r="B48" s="3159" t="s">
        <v>260</v>
      </c>
      <c r="C48" s="3158">
        <v>23100</v>
      </c>
      <c r="D48" s="3158">
        <v>21110</v>
      </c>
      <c r="E48" s="3158">
        <v>23080</v>
      </c>
      <c r="F48" s="3158"/>
      <c r="G48" s="3171">
        <v>14780</v>
      </c>
      <c r="N48" s="3158" t="s">
        <v>3011</v>
      </c>
      <c r="Q48" s="3158" t="s">
        <v>3012</v>
      </c>
    </row>
    <row r="49" spans="1:17" ht="14.25" customHeight="1">
      <c r="A49" s="3158" t="s">
        <v>296</v>
      </c>
      <c r="B49" s="3159" t="s">
        <v>267</v>
      </c>
      <c r="C49" s="3158">
        <v>23400</v>
      </c>
      <c r="D49" s="3158">
        <v>22920</v>
      </c>
      <c r="E49" s="3158">
        <v>24900</v>
      </c>
      <c r="F49" s="3158"/>
      <c r="G49" s="3171">
        <v>16040</v>
      </c>
      <c r="N49" s="3158" t="s">
        <v>3013</v>
      </c>
      <c r="Q49" s="3158" t="s">
        <v>3014</v>
      </c>
    </row>
    <row r="50" spans="1:17" ht="14.25" customHeight="1">
      <c r="A50" s="3158" t="s">
        <v>296</v>
      </c>
      <c r="B50" s="3159" t="s">
        <v>2891</v>
      </c>
      <c r="C50" s="3158">
        <v>21200</v>
      </c>
      <c r="D50" s="3158">
        <v>26540</v>
      </c>
      <c r="E50" s="3158">
        <v>23200</v>
      </c>
      <c r="F50" s="3158"/>
      <c r="G50" s="3171">
        <v>18580</v>
      </c>
      <c r="N50" s="3158" t="s">
        <v>3015</v>
      </c>
      <c r="Q50" s="3159" t="s">
        <v>3016</v>
      </c>
    </row>
    <row r="51" spans="1:17" ht="14.25" customHeight="1" thickBot="1">
      <c r="A51" s="3158" t="s">
        <v>296</v>
      </c>
      <c r="B51" s="3159" t="s">
        <v>2893</v>
      </c>
      <c r="C51" s="3158">
        <v>23000</v>
      </c>
      <c r="D51" s="3158">
        <v>23460</v>
      </c>
      <c r="E51" s="3158">
        <v>25290</v>
      </c>
      <c r="F51" s="3158"/>
      <c r="G51" s="3171">
        <v>16420</v>
      </c>
      <c r="N51" s="3158" t="s">
        <v>3017</v>
      </c>
      <c r="Q51" s="3165" t="s">
        <v>3018</v>
      </c>
    </row>
    <row r="52" spans="1:17" ht="14.25" customHeight="1">
      <c r="A52" s="3158" t="s">
        <v>296</v>
      </c>
      <c r="B52" s="3159" t="s">
        <v>2897</v>
      </c>
      <c r="C52" s="3158">
        <v>26660</v>
      </c>
      <c r="D52" s="3158">
        <v>22350</v>
      </c>
      <c r="E52" s="3158">
        <v>22920</v>
      </c>
      <c r="F52" s="3158"/>
      <c r="G52" s="3171">
        <v>15640</v>
      </c>
      <c r="N52" s="3158" t="s">
        <v>3019</v>
      </c>
    </row>
    <row r="53" spans="1:17" ht="14.25" customHeight="1">
      <c r="A53" s="3158" t="s">
        <v>296</v>
      </c>
      <c r="B53" s="3159" t="s">
        <v>2902</v>
      </c>
      <c r="C53" s="3158">
        <v>23580</v>
      </c>
      <c r="D53" s="3158"/>
      <c r="E53" s="3158">
        <v>24280</v>
      </c>
      <c r="F53" s="3158"/>
      <c r="G53" s="3171"/>
      <c r="N53" s="3158" t="s">
        <v>3020</v>
      </c>
    </row>
    <row r="54" spans="1:17" ht="14.25" customHeight="1" thickBot="1">
      <c r="A54" s="3172" t="s">
        <v>296</v>
      </c>
      <c r="B54" s="3164" t="s">
        <v>2905</v>
      </c>
      <c r="C54" s="3165">
        <v>22460</v>
      </c>
      <c r="D54" s="3165"/>
      <c r="E54" s="3165"/>
      <c r="F54" s="3165"/>
      <c r="G54" s="3173"/>
      <c r="N54" s="3158" t="s">
        <v>3021</v>
      </c>
    </row>
    <row r="55" spans="1:17" ht="14.25" customHeight="1">
      <c r="A55" s="3163" t="s">
        <v>110</v>
      </c>
      <c r="B55" s="3154" t="s">
        <v>3022</v>
      </c>
      <c r="C55" s="3158">
        <v>21970</v>
      </c>
      <c r="D55" s="3158">
        <v>20370</v>
      </c>
      <c r="E55" s="3158">
        <v>20180</v>
      </c>
      <c r="F55" s="3158">
        <v>5730</v>
      </c>
      <c r="G55" s="3158">
        <v>13820</v>
      </c>
      <c r="N55" s="3158" t="s">
        <v>3023</v>
      </c>
    </row>
    <row r="56" spans="1:17" ht="14.25" customHeight="1">
      <c r="A56" s="3158" t="s">
        <v>110</v>
      </c>
      <c r="B56" s="3158" t="s">
        <v>130</v>
      </c>
      <c r="C56" s="3158">
        <v>20470</v>
      </c>
      <c r="D56" s="3158">
        <v>20700</v>
      </c>
      <c r="E56" s="3158">
        <v>20380</v>
      </c>
      <c r="F56" s="3158">
        <v>4760</v>
      </c>
      <c r="G56" s="3158">
        <v>14050</v>
      </c>
      <c r="N56" s="3158" t="s">
        <v>3024</v>
      </c>
    </row>
    <row r="57" spans="1:17" ht="14.25" customHeight="1">
      <c r="A57" s="3158" t="s">
        <v>110</v>
      </c>
      <c r="B57" s="3158" t="s">
        <v>139</v>
      </c>
      <c r="C57" s="3158">
        <v>20790</v>
      </c>
      <c r="D57" s="3158">
        <v>21370</v>
      </c>
      <c r="E57" s="3158">
        <v>20890</v>
      </c>
      <c r="F57" s="3158">
        <v>4910</v>
      </c>
      <c r="G57" s="3158">
        <v>14510</v>
      </c>
      <c r="N57" s="3158" t="s">
        <v>3025</v>
      </c>
    </row>
    <row r="58" spans="1:17" ht="14.25" customHeight="1">
      <c r="A58" s="3158" t="s">
        <v>110</v>
      </c>
      <c r="B58" s="3158" t="s">
        <v>148</v>
      </c>
      <c r="C58" s="3158">
        <v>21460</v>
      </c>
      <c r="D58" s="3158">
        <v>20920</v>
      </c>
      <c r="E58" s="3158">
        <v>23410</v>
      </c>
      <c r="F58" s="3158">
        <v>5100</v>
      </c>
      <c r="G58" s="3158">
        <v>14200</v>
      </c>
      <c r="N58" s="3158" t="s">
        <v>3026</v>
      </c>
    </row>
    <row r="59" spans="1:17" ht="14.25" customHeight="1">
      <c r="A59" s="3158" t="s">
        <v>110</v>
      </c>
      <c r="B59" s="3158" t="s">
        <v>157</v>
      </c>
      <c r="C59" s="3158">
        <v>21000</v>
      </c>
      <c r="D59" s="3158">
        <v>21550</v>
      </c>
      <c r="E59" s="3158">
        <v>21150</v>
      </c>
      <c r="F59" s="3158">
        <v>5250</v>
      </c>
      <c r="G59" s="3158">
        <v>14630</v>
      </c>
      <c r="N59" s="3158" t="s">
        <v>3027</v>
      </c>
    </row>
    <row r="60" spans="1:17" ht="14.25" customHeight="1">
      <c r="A60" s="3158" t="s">
        <v>110</v>
      </c>
      <c r="B60" s="3158" t="s">
        <v>164</v>
      </c>
      <c r="C60" s="3158">
        <v>21640</v>
      </c>
      <c r="D60" s="3158">
        <v>21260</v>
      </c>
      <c r="E60" s="3158">
        <v>24040</v>
      </c>
      <c r="F60" s="3158">
        <v>4470</v>
      </c>
      <c r="G60" s="3158">
        <v>14430</v>
      </c>
      <c r="N60" s="3158" t="s">
        <v>3028</v>
      </c>
    </row>
    <row r="61" spans="1:17" ht="14.25" customHeight="1">
      <c r="A61" s="3158" t="s">
        <v>110</v>
      </c>
      <c r="B61" s="3158" t="s">
        <v>170</v>
      </c>
      <c r="C61" s="3158">
        <v>21330</v>
      </c>
      <c r="D61" s="3158">
        <v>18640</v>
      </c>
      <c r="E61" s="3158">
        <v>21190</v>
      </c>
      <c r="F61" s="3158">
        <v>4180</v>
      </c>
      <c r="G61" s="3158">
        <v>12650</v>
      </c>
      <c r="N61" s="3158" t="s">
        <v>3029</v>
      </c>
    </row>
    <row r="62" spans="1:17" ht="14.25" customHeight="1">
      <c r="A62" s="3158" t="s">
        <v>110</v>
      </c>
      <c r="B62" s="3158" t="s">
        <v>177</v>
      </c>
      <c r="C62" s="3158">
        <v>18710</v>
      </c>
      <c r="D62" s="3158">
        <v>19400</v>
      </c>
      <c r="E62" s="3158">
        <v>23750</v>
      </c>
      <c r="F62" s="3158">
        <v>4860</v>
      </c>
      <c r="G62" s="3158">
        <v>13170</v>
      </c>
      <c r="N62" s="3158" t="s">
        <v>3030</v>
      </c>
    </row>
    <row r="63" spans="1:17" ht="14.25" customHeight="1">
      <c r="A63" s="3158" t="s">
        <v>110</v>
      </c>
      <c r="B63" s="3158" t="s">
        <v>187</v>
      </c>
      <c r="C63" s="3158">
        <v>19480</v>
      </c>
      <c r="D63" s="3158">
        <v>16830</v>
      </c>
      <c r="E63" s="3158">
        <v>21590</v>
      </c>
      <c r="F63" s="3158">
        <v>4560</v>
      </c>
      <c r="G63" s="3158">
        <v>11420</v>
      </c>
      <c r="N63" s="3158" t="s">
        <v>3031</v>
      </c>
    </row>
    <row r="64" spans="1:17" ht="14.25" customHeight="1" thickBot="1">
      <c r="A64" s="3158" t="s">
        <v>110</v>
      </c>
      <c r="B64" s="3158" t="s">
        <v>196</v>
      </c>
      <c r="C64" s="3158">
        <v>16920</v>
      </c>
      <c r="D64" s="3158">
        <v>19190</v>
      </c>
      <c r="E64" s="3158">
        <v>22200</v>
      </c>
      <c r="F64" s="3158">
        <v>4390</v>
      </c>
      <c r="G64" s="3158">
        <v>13030</v>
      </c>
      <c r="N64" s="3165" t="s">
        <v>3032</v>
      </c>
    </row>
    <row r="65" spans="1:7" s="3147" customFormat="1" ht="14.25" customHeight="1">
      <c r="A65" s="3158" t="s">
        <v>110</v>
      </c>
      <c r="B65" s="3158" t="s">
        <v>203</v>
      </c>
      <c r="C65" s="3158">
        <v>19290</v>
      </c>
      <c r="D65" s="3158">
        <v>17020</v>
      </c>
      <c r="E65" s="3158">
        <v>19880</v>
      </c>
      <c r="F65" s="3158">
        <v>4070</v>
      </c>
      <c r="G65" s="3158">
        <v>11550</v>
      </c>
    </row>
    <row r="66" spans="1:7" s="3147" customFormat="1" ht="14.25" customHeight="1">
      <c r="A66" s="3158" t="s">
        <v>110</v>
      </c>
      <c r="B66" s="3158" t="s">
        <v>210</v>
      </c>
      <c r="C66" s="3158">
        <v>17090</v>
      </c>
      <c r="D66" s="3158">
        <v>18340</v>
      </c>
      <c r="E66" s="3158">
        <v>21830</v>
      </c>
      <c r="F66" s="3158">
        <v>4690</v>
      </c>
      <c r="G66" s="3158">
        <v>12450</v>
      </c>
    </row>
    <row r="67" spans="1:7" s="3147" customFormat="1" ht="14.25" customHeight="1">
      <c r="A67" s="3158" t="s">
        <v>110</v>
      </c>
      <c r="B67" s="3158" t="s">
        <v>216</v>
      </c>
      <c r="C67" s="3158">
        <v>18420</v>
      </c>
      <c r="D67" s="3158">
        <v>16360</v>
      </c>
      <c r="E67" s="3158">
        <v>20020</v>
      </c>
      <c r="F67" s="3158">
        <v>5150</v>
      </c>
      <c r="G67" s="3158">
        <v>11110</v>
      </c>
    </row>
    <row r="68" spans="1:7" s="3147" customFormat="1" ht="14.25" customHeight="1">
      <c r="A68" s="3158" t="s">
        <v>110</v>
      </c>
      <c r="B68" s="3158" t="s">
        <v>224</v>
      </c>
      <c r="C68" s="3158">
        <v>16450</v>
      </c>
      <c r="D68" s="3158">
        <v>18430</v>
      </c>
      <c r="E68" s="3158">
        <v>21010</v>
      </c>
      <c r="F68" s="3158">
        <v>4720</v>
      </c>
      <c r="G68" s="3158">
        <v>12510</v>
      </c>
    </row>
    <row r="69" spans="1:7" s="3147" customFormat="1" ht="14.25" customHeight="1">
      <c r="A69" s="3158" t="s">
        <v>110</v>
      </c>
      <c r="B69" s="3158" t="s">
        <v>232</v>
      </c>
      <c r="C69" s="3158">
        <v>18510</v>
      </c>
      <c r="D69" s="3158">
        <v>16300</v>
      </c>
      <c r="E69" s="3158">
        <v>18830</v>
      </c>
      <c r="F69" s="3158">
        <v>5400</v>
      </c>
      <c r="G69" s="3158">
        <v>11070</v>
      </c>
    </row>
    <row r="70" spans="1:7" s="3147" customFormat="1" ht="14.25" customHeight="1">
      <c r="A70" s="3158" t="s">
        <v>110</v>
      </c>
      <c r="B70" s="3158" t="s">
        <v>237</v>
      </c>
      <c r="C70" s="3158">
        <v>16370</v>
      </c>
      <c r="D70" s="3158">
        <v>18620</v>
      </c>
      <c r="E70" s="3158">
        <v>21100</v>
      </c>
      <c r="F70" s="3158">
        <v>5700</v>
      </c>
      <c r="G70" s="3158">
        <v>12640</v>
      </c>
    </row>
    <row r="71" spans="1:7" s="3147" customFormat="1" ht="14.25" customHeight="1">
      <c r="A71" s="3158" t="s">
        <v>110</v>
      </c>
      <c r="B71" s="3158" t="s">
        <v>246</v>
      </c>
      <c r="C71" s="3158">
        <v>18700</v>
      </c>
      <c r="D71" s="3158">
        <v>16290</v>
      </c>
      <c r="E71" s="3158">
        <v>18760</v>
      </c>
      <c r="F71" s="3158">
        <v>4780</v>
      </c>
      <c r="G71" s="3158">
        <v>11050</v>
      </c>
    </row>
    <row r="72" spans="1:7" s="3147" customFormat="1" ht="14.25" customHeight="1">
      <c r="A72" s="3158" t="s">
        <v>110</v>
      </c>
      <c r="B72" s="3158" t="s">
        <v>253</v>
      </c>
      <c r="C72" s="3158">
        <v>16340</v>
      </c>
      <c r="D72" s="3158">
        <v>17520</v>
      </c>
      <c r="E72" s="3158">
        <v>21170</v>
      </c>
      <c r="F72" s="3158"/>
      <c r="G72" s="3158">
        <v>11900</v>
      </c>
    </row>
    <row r="73" spans="1:7" s="3147" customFormat="1" ht="14.25" customHeight="1">
      <c r="A73" s="3158" t="s">
        <v>110</v>
      </c>
      <c r="B73" s="3158" t="s">
        <v>261</v>
      </c>
      <c r="C73" s="3158">
        <v>17610</v>
      </c>
      <c r="D73" s="3158">
        <v>18520</v>
      </c>
      <c r="E73" s="3158">
        <v>18720</v>
      </c>
      <c r="F73" s="3158"/>
      <c r="G73" s="3158">
        <v>12570</v>
      </c>
    </row>
    <row r="74" spans="1:7" s="3147" customFormat="1" ht="14.25" customHeight="1">
      <c r="A74" s="3158" t="s">
        <v>110</v>
      </c>
      <c r="B74" s="3158" t="s">
        <v>268</v>
      </c>
      <c r="C74" s="3158">
        <v>18600</v>
      </c>
      <c r="D74" s="3158">
        <v>16480</v>
      </c>
      <c r="E74" s="3158">
        <v>20100</v>
      </c>
      <c r="F74" s="3158"/>
      <c r="G74" s="3158">
        <v>11190</v>
      </c>
    </row>
    <row r="75" spans="1:7" s="3147" customFormat="1" ht="14.25" customHeight="1">
      <c r="A75" s="3158" t="s">
        <v>110</v>
      </c>
      <c r="B75" s="3158" t="s">
        <v>272</v>
      </c>
      <c r="C75" s="3158">
        <v>16570</v>
      </c>
      <c r="D75" s="3158">
        <v>17530</v>
      </c>
      <c r="E75" s="3158">
        <v>21030</v>
      </c>
      <c r="F75" s="3158"/>
      <c r="G75" s="3158">
        <v>11900</v>
      </c>
    </row>
    <row r="76" spans="1:7" s="3147" customFormat="1" ht="14.25" customHeight="1">
      <c r="A76" s="3158" t="s">
        <v>110</v>
      </c>
      <c r="B76" s="3158" t="s">
        <v>278</v>
      </c>
      <c r="C76" s="3158">
        <v>17610</v>
      </c>
      <c r="D76" s="3158">
        <v>20800</v>
      </c>
      <c r="E76" s="3158">
        <v>18920</v>
      </c>
      <c r="F76" s="3158"/>
      <c r="G76" s="3158">
        <v>14120</v>
      </c>
    </row>
    <row r="77" spans="1:7" s="3147" customFormat="1" ht="14.25" customHeight="1">
      <c r="A77" s="3158" t="s">
        <v>110</v>
      </c>
      <c r="B77" s="3158" t="s">
        <v>281</v>
      </c>
      <c r="C77" s="3158">
        <v>20890</v>
      </c>
      <c r="D77" s="3158">
        <v>19740</v>
      </c>
      <c r="E77" s="3158">
        <v>20110</v>
      </c>
      <c r="F77" s="3158"/>
      <c r="G77" s="3158">
        <v>13400</v>
      </c>
    </row>
    <row r="78" spans="1:7" s="3147" customFormat="1" ht="14.25" customHeight="1">
      <c r="A78" s="3158" t="s">
        <v>110</v>
      </c>
      <c r="B78" s="3158" t="s">
        <v>2903</v>
      </c>
      <c r="C78" s="3158">
        <v>19820</v>
      </c>
      <c r="D78" s="3158">
        <v>19780</v>
      </c>
      <c r="E78" s="3158">
        <v>18560</v>
      </c>
      <c r="F78" s="3158"/>
      <c r="G78" s="3158">
        <v>13430</v>
      </c>
    </row>
    <row r="79" spans="1:7" s="3147" customFormat="1" ht="14.25" customHeight="1">
      <c r="A79" s="3158" t="s">
        <v>110</v>
      </c>
      <c r="B79" s="3158" t="s">
        <v>2906</v>
      </c>
      <c r="C79" s="3158">
        <v>21660</v>
      </c>
      <c r="D79" s="3158">
        <v>18000</v>
      </c>
      <c r="E79" s="3158">
        <v>22570</v>
      </c>
      <c r="F79" s="3158"/>
      <c r="G79" s="3158">
        <v>12220</v>
      </c>
    </row>
    <row r="80" spans="1:7" s="3147" customFormat="1" ht="14.25" customHeight="1">
      <c r="A80" s="3158" t="s">
        <v>110</v>
      </c>
      <c r="B80" s="3158" t="s">
        <v>2910</v>
      </c>
      <c r="C80" s="3158">
        <v>19850</v>
      </c>
      <c r="D80" s="3158"/>
      <c r="E80" s="3158">
        <v>21700</v>
      </c>
      <c r="F80" s="3158"/>
      <c r="G80" s="3158"/>
    </row>
    <row r="81" spans="1:7" s="3147" customFormat="1" ht="14.25" customHeight="1">
      <c r="A81" s="3158" t="s">
        <v>110</v>
      </c>
      <c r="B81" s="3158" t="s">
        <v>2915</v>
      </c>
      <c r="C81" s="3158">
        <v>18080</v>
      </c>
      <c r="D81" s="3158"/>
      <c r="E81" s="3158">
        <v>20900</v>
      </c>
      <c r="F81" s="3158"/>
      <c r="G81" s="3158"/>
    </row>
    <row r="82" spans="1:7" s="3147" customFormat="1" ht="14.25" customHeight="1">
      <c r="A82" s="3158" t="s">
        <v>110</v>
      </c>
      <c r="B82" s="3158" t="s">
        <v>2922</v>
      </c>
      <c r="C82" s="3158"/>
      <c r="D82" s="3158"/>
      <c r="E82" s="3158">
        <v>20840</v>
      </c>
      <c r="F82" s="3158"/>
      <c r="G82" s="3158"/>
    </row>
    <row r="83" spans="1:7" s="3147" customFormat="1" ht="14.25" customHeight="1">
      <c r="A83" s="3158" t="s">
        <v>110</v>
      </c>
      <c r="B83" s="3158" t="s">
        <v>3033</v>
      </c>
      <c r="C83" s="3158"/>
      <c r="D83" s="3158"/>
      <c r="E83" s="3158"/>
      <c r="F83" s="3158">
        <v>4770</v>
      </c>
      <c r="G83" s="3158"/>
    </row>
    <row r="84" spans="1:7" s="3147" customFormat="1" ht="14.25" customHeight="1">
      <c r="A84" s="3158" t="s">
        <v>110</v>
      </c>
      <c r="B84" s="3158" t="s">
        <v>3034</v>
      </c>
      <c r="C84" s="3158"/>
      <c r="D84" s="3158"/>
      <c r="E84" s="3158"/>
      <c r="F84" s="3158">
        <v>4600</v>
      </c>
      <c r="G84" s="3158"/>
    </row>
    <row r="85" spans="1:7" s="3147" customFormat="1" ht="14.25" customHeight="1">
      <c r="A85" s="3158" t="s">
        <v>110</v>
      </c>
      <c r="B85" s="3158" t="s">
        <v>3035</v>
      </c>
      <c r="C85" s="3158"/>
      <c r="D85" s="3158"/>
      <c r="E85" s="3158"/>
      <c r="F85" s="3158">
        <v>4680</v>
      </c>
      <c r="G85" s="3158"/>
    </row>
    <row r="86" spans="1:7" s="3147" customFormat="1" ht="14.25" customHeight="1" thickBot="1">
      <c r="A86" s="3166" t="s">
        <v>110</v>
      </c>
      <c r="B86" s="3168" t="s">
        <v>3036</v>
      </c>
      <c r="C86" s="3169">
        <v>16610</v>
      </c>
      <c r="D86" s="3169">
        <v>16540</v>
      </c>
      <c r="E86" s="3169">
        <v>18850</v>
      </c>
      <c r="F86" s="3169"/>
      <c r="G86" s="3169">
        <v>11220</v>
      </c>
    </row>
    <row r="87" spans="1:7" s="3147" customFormat="1" ht="14.25" customHeight="1">
      <c r="A87" s="3163" t="s">
        <v>303</v>
      </c>
      <c r="B87" s="3154" t="s">
        <v>3037</v>
      </c>
      <c r="C87" s="3154">
        <v>15240</v>
      </c>
      <c r="D87" s="3154">
        <v>15170</v>
      </c>
      <c r="E87" s="3154">
        <v>18260</v>
      </c>
      <c r="F87" s="3154">
        <v>3830</v>
      </c>
      <c r="G87" s="3170">
        <v>10020</v>
      </c>
    </row>
    <row r="88" spans="1:7" s="3147" customFormat="1" ht="14.25" customHeight="1">
      <c r="A88" s="3158" t="s">
        <v>303</v>
      </c>
      <c r="B88" s="3158" t="s">
        <v>131</v>
      </c>
      <c r="C88" s="3158">
        <v>17310</v>
      </c>
      <c r="D88" s="3158">
        <v>17220</v>
      </c>
      <c r="E88" s="3158">
        <v>18610</v>
      </c>
      <c r="F88" s="3158">
        <v>3990</v>
      </c>
      <c r="G88" s="3171">
        <v>11380</v>
      </c>
    </row>
    <row r="89" spans="1:7" s="3147" customFormat="1" ht="14.25" customHeight="1">
      <c r="A89" s="3158" t="s">
        <v>303</v>
      </c>
      <c r="B89" s="3158" t="s">
        <v>140</v>
      </c>
      <c r="C89" s="3158">
        <v>15600</v>
      </c>
      <c r="D89" s="3158">
        <v>15550</v>
      </c>
      <c r="E89" s="3158">
        <v>19200</v>
      </c>
      <c r="F89" s="3158">
        <v>4110</v>
      </c>
      <c r="G89" s="3171">
        <v>10270</v>
      </c>
    </row>
    <row r="90" spans="1:7" s="3147" customFormat="1" ht="14.25" customHeight="1">
      <c r="A90" s="3158" t="s">
        <v>303</v>
      </c>
      <c r="B90" s="3158" t="s">
        <v>149</v>
      </c>
      <c r="C90" s="3158">
        <v>17330</v>
      </c>
      <c r="D90" s="3158">
        <v>17240</v>
      </c>
      <c r="E90" s="3158">
        <v>18570</v>
      </c>
      <c r="F90" s="3158">
        <v>4070</v>
      </c>
      <c r="G90" s="3171">
        <v>11390</v>
      </c>
    </row>
    <row r="91" spans="1:7" s="3147" customFormat="1" ht="14.25" customHeight="1">
      <c r="A91" s="3158" t="s">
        <v>303</v>
      </c>
      <c r="B91" s="3158" t="s">
        <v>158</v>
      </c>
      <c r="C91" s="3158">
        <v>16330</v>
      </c>
      <c r="D91" s="3158">
        <v>16260</v>
      </c>
      <c r="E91" s="3158">
        <v>16800</v>
      </c>
      <c r="F91" s="3158">
        <v>3410</v>
      </c>
      <c r="G91" s="3171">
        <v>10740</v>
      </c>
    </row>
    <row r="92" spans="1:7" s="3147" customFormat="1" ht="14.25" customHeight="1">
      <c r="A92" s="3158" t="s">
        <v>303</v>
      </c>
      <c r="B92" s="3158" t="s">
        <v>165</v>
      </c>
      <c r="C92" s="3158">
        <v>15570</v>
      </c>
      <c r="D92" s="3158">
        <v>15500</v>
      </c>
      <c r="E92" s="3158">
        <v>17360</v>
      </c>
      <c r="F92" s="3158">
        <v>3510</v>
      </c>
      <c r="G92" s="3171">
        <v>10240</v>
      </c>
    </row>
    <row r="93" spans="1:7" s="3147" customFormat="1" ht="14.25" customHeight="1">
      <c r="A93" s="3158" t="s">
        <v>303</v>
      </c>
      <c r="B93" s="3158" t="s">
        <v>171</v>
      </c>
      <c r="C93" s="3158">
        <v>14000</v>
      </c>
      <c r="D93" s="3158">
        <v>13930</v>
      </c>
      <c r="E93" s="3158">
        <v>18200</v>
      </c>
      <c r="F93" s="3158">
        <v>3640</v>
      </c>
      <c r="G93" s="3171">
        <v>9210</v>
      </c>
    </row>
    <row r="94" spans="1:7" s="3147" customFormat="1" ht="14.25" customHeight="1">
      <c r="A94" s="3158" t="s">
        <v>303</v>
      </c>
      <c r="B94" s="3158" t="s">
        <v>178</v>
      </c>
      <c r="C94" s="3158">
        <v>14530</v>
      </c>
      <c r="D94" s="3158">
        <v>14470</v>
      </c>
      <c r="E94" s="3158">
        <v>18240</v>
      </c>
      <c r="F94" s="3158">
        <v>3180</v>
      </c>
      <c r="G94" s="3171">
        <v>9560</v>
      </c>
    </row>
    <row r="95" spans="1:7" s="3147" customFormat="1" ht="14.25" customHeight="1">
      <c r="A95" s="3158" t="s">
        <v>303</v>
      </c>
      <c r="B95" s="3158" t="s">
        <v>188</v>
      </c>
      <c r="C95" s="3158">
        <v>17330</v>
      </c>
      <c r="D95" s="3158">
        <v>17260</v>
      </c>
      <c r="E95" s="3158">
        <v>18420</v>
      </c>
      <c r="F95" s="3158">
        <v>3060</v>
      </c>
      <c r="G95" s="3171">
        <v>11410</v>
      </c>
    </row>
    <row r="96" spans="1:7" s="3147" customFormat="1" ht="14.25" customHeight="1">
      <c r="A96" s="3158" t="s">
        <v>303</v>
      </c>
      <c r="B96" s="3158" t="s">
        <v>197</v>
      </c>
      <c r="C96" s="3158">
        <v>15030</v>
      </c>
      <c r="D96" s="3158">
        <v>14970</v>
      </c>
      <c r="E96" s="3158">
        <v>17580</v>
      </c>
      <c r="F96" s="3158">
        <v>2970</v>
      </c>
      <c r="G96" s="3171">
        <v>9890</v>
      </c>
    </row>
    <row r="97" spans="1:7" s="3147" customFormat="1" ht="14.25" customHeight="1">
      <c r="A97" s="3158" t="s">
        <v>303</v>
      </c>
      <c r="B97" s="3158" t="s">
        <v>204</v>
      </c>
      <c r="C97" s="3158">
        <v>17400</v>
      </c>
      <c r="D97" s="3158">
        <v>17330</v>
      </c>
      <c r="E97" s="3158">
        <v>16430</v>
      </c>
      <c r="F97" s="3158">
        <v>2950</v>
      </c>
      <c r="G97" s="3171">
        <v>11450</v>
      </c>
    </row>
    <row r="98" spans="1:7" s="3147" customFormat="1" ht="14.25" customHeight="1">
      <c r="A98" s="3158" t="s">
        <v>303</v>
      </c>
      <c r="B98" s="3158" t="s">
        <v>211</v>
      </c>
      <c r="C98" s="3158">
        <v>15200</v>
      </c>
      <c r="D98" s="3158">
        <v>15120</v>
      </c>
      <c r="E98" s="3158">
        <v>17550</v>
      </c>
      <c r="F98" s="3158">
        <v>3080</v>
      </c>
      <c r="G98" s="3171">
        <v>9990</v>
      </c>
    </row>
    <row r="99" spans="1:7" s="3147" customFormat="1" ht="14.25" customHeight="1">
      <c r="A99" s="3158" t="s">
        <v>303</v>
      </c>
      <c r="B99" s="3158" t="s">
        <v>217</v>
      </c>
      <c r="C99" s="3158">
        <v>17520</v>
      </c>
      <c r="D99" s="3158">
        <v>17430</v>
      </c>
      <c r="E99" s="3158">
        <v>16350</v>
      </c>
      <c r="F99" s="3158">
        <v>3260</v>
      </c>
      <c r="G99" s="3171">
        <v>11510</v>
      </c>
    </row>
    <row r="100" spans="1:7" s="3147" customFormat="1" ht="14.25" customHeight="1">
      <c r="A100" s="3158" t="s">
        <v>303</v>
      </c>
      <c r="B100" s="3158" t="s">
        <v>225</v>
      </c>
      <c r="C100" s="3158">
        <v>15340</v>
      </c>
      <c r="D100" s="3158">
        <v>15260</v>
      </c>
      <c r="E100" s="3158">
        <v>15930</v>
      </c>
      <c r="F100" s="3158">
        <v>2740</v>
      </c>
      <c r="G100" s="3171">
        <v>10080</v>
      </c>
    </row>
    <row r="101" spans="1:7" s="3147" customFormat="1" ht="14.25" customHeight="1">
      <c r="A101" s="3158" t="s">
        <v>303</v>
      </c>
      <c r="B101" s="3158" t="s">
        <v>233</v>
      </c>
      <c r="C101" s="3158">
        <v>14620</v>
      </c>
      <c r="D101" s="3158">
        <v>14560</v>
      </c>
      <c r="E101" s="3158">
        <v>15570</v>
      </c>
      <c r="F101" s="3158">
        <v>3500</v>
      </c>
      <c r="G101" s="3171">
        <v>9630</v>
      </c>
    </row>
    <row r="102" spans="1:7" s="3147" customFormat="1" ht="14.25" customHeight="1">
      <c r="A102" s="3158" t="s">
        <v>303</v>
      </c>
      <c r="B102" s="3158" t="s">
        <v>238</v>
      </c>
      <c r="C102" s="3158">
        <v>13680</v>
      </c>
      <c r="D102" s="3158">
        <v>13610</v>
      </c>
      <c r="E102" s="3158">
        <v>15690</v>
      </c>
      <c r="F102" s="3158">
        <v>2870</v>
      </c>
      <c r="G102" s="3171">
        <v>8990</v>
      </c>
    </row>
    <row r="103" spans="1:7" s="3147" customFormat="1" ht="14.25" customHeight="1">
      <c r="A103" s="3158" t="s">
        <v>303</v>
      </c>
      <c r="B103" s="3158" t="s">
        <v>247</v>
      </c>
      <c r="C103" s="3158">
        <v>14620</v>
      </c>
      <c r="D103" s="3158">
        <v>14540</v>
      </c>
      <c r="E103" s="3158">
        <v>15240</v>
      </c>
      <c r="F103" s="3158">
        <v>2840</v>
      </c>
      <c r="G103" s="3171">
        <v>9610</v>
      </c>
    </row>
    <row r="104" spans="1:7" s="3147" customFormat="1" ht="14.25" customHeight="1">
      <c r="A104" s="3158" t="s">
        <v>303</v>
      </c>
      <c r="B104" s="3158" t="s">
        <v>254</v>
      </c>
      <c r="C104" s="3158">
        <v>13610</v>
      </c>
      <c r="D104" s="3158">
        <v>13540</v>
      </c>
      <c r="E104" s="3158">
        <v>15750</v>
      </c>
      <c r="F104" s="3158">
        <v>2770</v>
      </c>
      <c r="G104" s="3171">
        <v>8940</v>
      </c>
    </row>
    <row r="105" spans="1:7" s="3147" customFormat="1" ht="14.25" customHeight="1">
      <c r="A105" s="3158" t="s">
        <v>303</v>
      </c>
      <c r="B105" s="3158" t="s">
        <v>262</v>
      </c>
      <c r="C105" s="3158">
        <v>13310</v>
      </c>
      <c r="D105" s="3158">
        <v>13240</v>
      </c>
      <c r="E105" s="3158">
        <v>16280</v>
      </c>
      <c r="F105" s="3158">
        <v>3210</v>
      </c>
      <c r="G105" s="3171">
        <v>8750</v>
      </c>
    </row>
    <row r="106" spans="1:7" s="3147" customFormat="1" ht="14.25" customHeight="1">
      <c r="A106" s="3158" t="s">
        <v>303</v>
      </c>
      <c r="B106" s="3158" t="s">
        <v>269</v>
      </c>
      <c r="C106" s="3158">
        <v>13010</v>
      </c>
      <c r="D106" s="3158">
        <v>12930</v>
      </c>
      <c r="E106" s="3158">
        <v>14960</v>
      </c>
      <c r="F106" s="3158">
        <v>3530</v>
      </c>
      <c r="G106" s="3171">
        <v>8550</v>
      </c>
    </row>
    <row r="107" spans="1:7" s="3147" customFormat="1" ht="14.25" customHeight="1">
      <c r="A107" s="3158" t="s">
        <v>303</v>
      </c>
      <c r="B107" s="3158" t="s">
        <v>273</v>
      </c>
      <c r="C107" s="3158">
        <v>13070</v>
      </c>
      <c r="D107" s="3158">
        <v>13000</v>
      </c>
      <c r="E107" s="3158">
        <v>15910</v>
      </c>
      <c r="F107" s="3158">
        <v>3990</v>
      </c>
      <c r="G107" s="3171">
        <v>8580</v>
      </c>
    </row>
    <row r="108" spans="1:7" s="3147" customFormat="1" ht="14.25" customHeight="1">
      <c r="A108" s="3158" t="s">
        <v>303</v>
      </c>
      <c r="B108" s="3158" t="s">
        <v>279</v>
      </c>
      <c r="C108" s="3158">
        <v>12640</v>
      </c>
      <c r="D108" s="3158">
        <v>12580</v>
      </c>
      <c r="E108" s="3158">
        <v>15730</v>
      </c>
      <c r="F108" s="3158"/>
      <c r="G108" s="3171">
        <v>8310</v>
      </c>
    </row>
    <row r="109" spans="1:7" s="3147" customFormat="1" ht="14.25" customHeight="1">
      <c r="A109" s="3158" t="s">
        <v>303</v>
      </c>
      <c r="B109" s="3158" t="s">
        <v>282</v>
      </c>
      <c r="C109" s="3158">
        <v>13130</v>
      </c>
      <c r="D109" s="3158">
        <v>13070</v>
      </c>
      <c r="E109" s="3158">
        <v>15000</v>
      </c>
      <c r="F109" s="3158"/>
      <c r="G109" s="3171">
        <v>8630</v>
      </c>
    </row>
    <row r="110" spans="1:7" s="3147" customFormat="1" ht="14.25" customHeight="1">
      <c r="A110" s="3158" t="s">
        <v>303</v>
      </c>
      <c r="B110" s="3158" t="s">
        <v>284</v>
      </c>
      <c r="C110" s="3158">
        <v>13560</v>
      </c>
      <c r="D110" s="3158">
        <v>13490</v>
      </c>
      <c r="E110" s="3158">
        <v>16300</v>
      </c>
      <c r="F110" s="3158"/>
      <c r="G110" s="3171">
        <v>8920</v>
      </c>
    </row>
    <row r="111" spans="1:7" s="3147" customFormat="1" ht="14.25" customHeight="1">
      <c r="A111" s="3158" t="s">
        <v>303</v>
      </c>
      <c r="B111" s="3158" t="s">
        <v>287</v>
      </c>
      <c r="C111" s="3158">
        <v>12440</v>
      </c>
      <c r="D111" s="3158">
        <v>12380</v>
      </c>
      <c r="E111" s="3158">
        <v>17850</v>
      </c>
      <c r="F111" s="3158"/>
      <c r="G111" s="3171">
        <v>8180</v>
      </c>
    </row>
    <row r="112" spans="1:7" s="3147" customFormat="1" ht="14.25" customHeight="1">
      <c r="A112" s="3158" t="s">
        <v>303</v>
      </c>
      <c r="B112" s="3158" t="s">
        <v>291</v>
      </c>
      <c r="C112" s="3158">
        <v>13260</v>
      </c>
      <c r="D112" s="3158">
        <v>13180</v>
      </c>
      <c r="E112" s="3158">
        <v>19740</v>
      </c>
      <c r="F112" s="3158"/>
      <c r="G112" s="3171">
        <v>8710</v>
      </c>
    </row>
    <row r="113" spans="1:7" s="3147" customFormat="1" ht="14.25" customHeight="1">
      <c r="A113" s="3158" t="s">
        <v>303</v>
      </c>
      <c r="B113" s="3158" t="s">
        <v>2916</v>
      </c>
      <c r="C113" s="3158">
        <v>15520</v>
      </c>
      <c r="D113" s="3158">
        <v>15450</v>
      </c>
      <c r="E113" s="3158"/>
      <c r="F113" s="3158"/>
      <c r="G113" s="3171">
        <v>10210</v>
      </c>
    </row>
    <row r="114" spans="1:7" s="3147" customFormat="1" ht="14.25" customHeight="1">
      <c r="A114" s="3158" t="s">
        <v>303</v>
      </c>
      <c r="B114" s="3158" t="s">
        <v>2923</v>
      </c>
      <c r="C114" s="3158">
        <v>13110</v>
      </c>
      <c r="D114" s="3158">
        <v>13050</v>
      </c>
      <c r="E114" s="3158"/>
      <c r="F114" s="3158"/>
      <c r="G114" s="3171">
        <v>8620</v>
      </c>
    </row>
    <row r="115" spans="1:7" s="3147" customFormat="1" ht="14.25" customHeight="1">
      <c r="A115" s="3158" t="s">
        <v>303</v>
      </c>
      <c r="B115" s="3158" t="s">
        <v>2929</v>
      </c>
      <c r="C115" s="3158">
        <v>12460</v>
      </c>
      <c r="D115" s="3158">
        <v>12390</v>
      </c>
      <c r="E115" s="3158"/>
      <c r="F115" s="3158"/>
      <c r="G115" s="3171">
        <v>8190</v>
      </c>
    </row>
    <row r="116" spans="1:7" s="3147" customFormat="1" ht="14.25" customHeight="1">
      <c r="A116" s="3158" t="s">
        <v>303</v>
      </c>
      <c r="B116" s="3158" t="s">
        <v>2936</v>
      </c>
      <c r="C116" s="3158">
        <v>13580</v>
      </c>
      <c r="D116" s="3158">
        <v>13520</v>
      </c>
      <c r="E116" s="3158"/>
      <c r="F116" s="3158"/>
      <c r="G116" s="3171">
        <v>8930</v>
      </c>
    </row>
    <row r="117" spans="1:7" s="3147" customFormat="1" ht="14.25" customHeight="1">
      <c r="A117" s="3158" t="s">
        <v>303</v>
      </c>
      <c r="B117" s="3158" t="s">
        <v>2943</v>
      </c>
      <c r="C117" s="3158">
        <v>17120</v>
      </c>
      <c r="D117" s="3158">
        <v>17040</v>
      </c>
      <c r="E117" s="3158"/>
      <c r="F117" s="3158"/>
      <c r="G117" s="3171">
        <v>11260</v>
      </c>
    </row>
    <row r="118" spans="1:7" s="3147" customFormat="1" ht="14.25" customHeight="1">
      <c r="A118" s="3158" t="s">
        <v>303</v>
      </c>
      <c r="B118" s="3158" t="s">
        <v>2948</v>
      </c>
      <c r="C118" s="3158">
        <v>14860</v>
      </c>
      <c r="D118" s="3158">
        <v>14790</v>
      </c>
      <c r="E118" s="3158"/>
      <c r="F118" s="3158"/>
      <c r="G118" s="3171">
        <v>9780</v>
      </c>
    </row>
    <row r="119" spans="1:7" s="3147" customFormat="1" ht="14.25" customHeight="1">
      <c r="A119" s="3158" t="s">
        <v>303</v>
      </c>
      <c r="B119" s="3158" t="s">
        <v>2952</v>
      </c>
      <c r="C119" s="3158">
        <v>16470</v>
      </c>
      <c r="D119" s="3158">
        <v>16400</v>
      </c>
      <c r="E119" s="3158"/>
      <c r="F119" s="3158"/>
      <c r="G119" s="3171">
        <v>10840</v>
      </c>
    </row>
    <row r="120" spans="1:7" s="3147" customFormat="1" ht="14.25" customHeight="1">
      <c r="A120" s="3158" t="s">
        <v>303</v>
      </c>
      <c r="B120" s="3158" t="s">
        <v>3038</v>
      </c>
      <c r="C120" s="3158"/>
      <c r="D120" s="3158"/>
      <c r="E120" s="3158"/>
      <c r="F120" s="3158">
        <v>4160</v>
      </c>
      <c r="G120" s="3171"/>
    </row>
    <row r="121" spans="1:7" s="3147" customFormat="1" ht="14.25" customHeight="1">
      <c r="A121" s="3158" t="s">
        <v>303</v>
      </c>
      <c r="B121" s="3158" t="s">
        <v>3039</v>
      </c>
      <c r="C121" s="3158"/>
      <c r="D121" s="3158"/>
      <c r="E121" s="3158"/>
      <c r="F121" s="3158">
        <v>3880</v>
      </c>
      <c r="G121" s="3171"/>
    </row>
    <row r="122" spans="1:7" s="3147" customFormat="1" ht="14.25" customHeight="1">
      <c r="A122" s="3158" t="s">
        <v>303</v>
      </c>
      <c r="B122" s="3158" t="s">
        <v>3040</v>
      </c>
      <c r="C122" s="3158">
        <v>13750</v>
      </c>
      <c r="D122" s="3158">
        <v>13680</v>
      </c>
      <c r="E122" s="3158">
        <v>16460</v>
      </c>
      <c r="F122" s="3158">
        <v>2880</v>
      </c>
      <c r="G122" s="3171">
        <v>9040</v>
      </c>
    </row>
    <row r="123" spans="1:7" s="3147" customFormat="1" ht="14.25" customHeight="1">
      <c r="A123" s="3158" t="s">
        <v>303</v>
      </c>
      <c r="B123" s="3158" t="s">
        <v>2971</v>
      </c>
      <c r="C123" s="3158">
        <v>13590</v>
      </c>
      <c r="D123" s="3158">
        <v>13520</v>
      </c>
      <c r="E123" s="3158">
        <v>16290</v>
      </c>
      <c r="F123" s="3158">
        <v>2790</v>
      </c>
      <c r="G123" s="3171">
        <v>8930</v>
      </c>
    </row>
    <row r="124" spans="1:7" s="3147" customFormat="1" ht="14.25" customHeight="1">
      <c r="A124" s="3158" t="s">
        <v>303</v>
      </c>
      <c r="B124" s="3158" t="s">
        <v>2976</v>
      </c>
      <c r="C124" s="3158">
        <v>13400</v>
      </c>
      <c r="D124" s="3158">
        <v>13320</v>
      </c>
      <c r="E124" s="3158">
        <v>16100</v>
      </c>
      <c r="F124" s="3158">
        <v>2320</v>
      </c>
      <c r="G124" s="3171">
        <v>8800</v>
      </c>
    </row>
    <row r="125" spans="1:7" s="3147" customFormat="1" ht="14.25" customHeight="1">
      <c r="A125" s="3158" t="s">
        <v>303</v>
      </c>
      <c r="B125" s="3158" t="s">
        <v>2981</v>
      </c>
      <c r="C125" s="3158">
        <v>12860</v>
      </c>
      <c r="D125" s="3158">
        <v>12790</v>
      </c>
      <c r="E125" s="3158">
        <v>15370</v>
      </c>
      <c r="F125" s="3158">
        <v>2280</v>
      </c>
      <c r="G125" s="3171">
        <v>8450</v>
      </c>
    </row>
    <row r="126" spans="1:7" s="3147" customFormat="1" ht="14.25" customHeight="1" thickBot="1">
      <c r="A126" s="3172" t="s">
        <v>303</v>
      </c>
      <c r="B126" s="3165" t="s">
        <v>2986</v>
      </c>
      <c r="C126" s="3165">
        <v>12960</v>
      </c>
      <c r="D126" s="3165">
        <v>12890</v>
      </c>
      <c r="E126" s="3165">
        <v>15530</v>
      </c>
      <c r="F126" s="3165">
        <v>2910</v>
      </c>
      <c r="G126" s="3173">
        <v>8520</v>
      </c>
    </row>
    <row r="127" spans="1:7" s="3147" customFormat="1" ht="14.25" customHeight="1">
      <c r="A127" s="3163" t="s">
        <v>29</v>
      </c>
      <c r="B127" s="3154" t="s">
        <v>3041</v>
      </c>
      <c r="C127" s="3158">
        <v>12280</v>
      </c>
      <c r="D127" s="3158">
        <v>12250</v>
      </c>
      <c r="E127" s="3158">
        <v>15130</v>
      </c>
      <c r="F127" s="3158">
        <v>2710</v>
      </c>
      <c r="G127" s="3158">
        <v>7870</v>
      </c>
    </row>
    <row r="128" spans="1:7" s="3147" customFormat="1" ht="14.25" customHeight="1">
      <c r="A128" s="3158" t="s">
        <v>29</v>
      </c>
      <c r="B128" s="3158" t="s">
        <v>132</v>
      </c>
      <c r="C128" s="3158">
        <v>13180</v>
      </c>
      <c r="D128" s="3158">
        <v>13150</v>
      </c>
      <c r="E128" s="3158">
        <v>16190</v>
      </c>
      <c r="F128" s="3158">
        <v>2820</v>
      </c>
      <c r="G128" s="3158">
        <v>8460</v>
      </c>
    </row>
    <row r="129" spans="1:7" s="3147" customFormat="1" ht="14.25" customHeight="1">
      <c r="A129" s="3158" t="s">
        <v>29</v>
      </c>
      <c r="B129" s="3158" t="s">
        <v>141</v>
      </c>
      <c r="C129" s="3158">
        <v>10950</v>
      </c>
      <c r="D129" s="3158">
        <v>10920</v>
      </c>
      <c r="E129" s="3158">
        <v>13820</v>
      </c>
      <c r="F129" s="3158">
        <v>2500</v>
      </c>
      <c r="G129" s="3158">
        <v>7020</v>
      </c>
    </row>
    <row r="130" spans="1:7" s="3147" customFormat="1" ht="14.25" customHeight="1">
      <c r="A130" s="3158" t="s">
        <v>29</v>
      </c>
      <c r="B130" s="3158" t="s">
        <v>150</v>
      </c>
      <c r="C130" s="3158">
        <v>10910</v>
      </c>
      <c r="D130" s="3158">
        <v>10860</v>
      </c>
      <c r="E130" s="3158">
        <v>13730</v>
      </c>
      <c r="F130" s="3158">
        <v>2760</v>
      </c>
      <c r="G130" s="3158">
        <v>6990</v>
      </c>
    </row>
    <row r="131" spans="1:7" s="3147" customFormat="1" ht="14.25" customHeight="1">
      <c r="A131" s="3158" t="s">
        <v>29</v>
      </c>
      <c r="B131" s="3158" t="s">
        <v>159</v>
      </c>
      <c r="C131" s="3158">
        <v>12910</v>
      </c>
      <c r="D131" s="3158">
        <v>12870</v>
      </c>
      <c r="E131" s="3158">
        <v>15720</v>
      </c>
      <c r="F131" s="3158">
        <v>2750</v>
      </c>
      <c r="G131" s="3158">
        <v>8280</v>
      </c>
    </row>
    <row r="132" spans="1:7" s="3147" customFormat="1" ht="14.25" customHeight="1">
      <c r="A132" s="3158" t="s">
        <v>29</v>
      </c>
      <c r="B132" s="3158" t="s">
        <v>166</v>
      </c>
      <c r="C132" s="3158">
        <v>11910</v>
      </c>
      <c r="D132" s="3158">
        <v>11860</v>
      </c>
      <c r="E132" s="3158">
        <v>14730</v>
      </c>
      <c r="F132" s="3158">
        <v>2360</v>
      </c>
      <c r="G132" s="3158">
        <v>7630</v>
      </c>
    </row>
    <row r="133" spans="1:7" s="3147" customFormat="1" ht="14.25" customHeight="1">
      <c r="A133" s="3158" t="s">
        <v>29</v>
      </c>
      <c r="B133" s="3158" t="s">
        <v>172</v>
      </c>
      <c r="C133" s="3158">
        <v>12270</v>
      </c>
      <c r="D133" s="3158">
        <v>12210</v>
      </c>
      <c r="E133" s="3158">
        <v>15010</v>
      </c>
      <c r="F133" s="3158">
        <v>2580</v>
      </c>
      <c r="G133" s="3158">
        <v>7860</v>
      </c>
    </row>
    <row r="134" spans="1:7" s="3147" customFormat="1" ht="14.25" customHeight="1">
      <c r="A134" s="3158" t="s">
        <v>29</v>
      </c>
      <c r="B134" s="3158" t="s">
        <v>179</v>
      </c>
      <c r="C134" s="3158">
        <v>10800</v>
      </c>
      <c r="D134" s="3158">
        <v>10780</v>
      </c>
      <c r="E134" s="3158">
        <v>13640</v>
      </c>
      <c r="F134" s="3158">
        <v>2110</v>
      </c>
      <c r="G134" s="3158">
        <v>6930</v>
      </c>
    </row>
    <row r="135" spans="1:7" s="3147" customFormat="1" ht="14.25" customHeight="1">
      <c r="A135" s="3158" t="s">
        <v>29</v>
      </c>
      <c r="B135" s="3158" t="s">
        <v>189</v>
      </c>
      <c r="C135" s="3158">
        <v>10430</v>
      </c>
      <c r="D135" s="3158">
        <v>10390</v>
      </c>
      <c r="E135" s="3158">
        <v>13140</v>
      </c>
      <c r="F135" s="3158">
        <v>2240</v>
      </c>
      <c r="G135" s="3158">
        <v>6680</v>
      </c>
    </row>
    <row r="136" spans="1:7" s="3147" customFormat="1" ht="14.25" customHeight="1">
      <c r="A136" s="3158" t="s">
        <v>29</v>
      </c>
      <c r="B136" s="3158" t="s">
        <v>198</v>
      </c>
      <c r="C136" s="3158">
        <v>11930</v>
      </c>
      <c r="D136" s="3158">
        <v>11880</v>
      </c>
      <c r="E136" s="3158">
        <v>14770</v>
      </c>
      <c r="F136" s="3158">
        <v>1970</v>
      </c>
      <c r="G136" s="3158">
        <v>7640</v>
      </c>
    </row>
    <row r="137" spans="1:7" s="3147" customFormat="1" ht="14.25" customHeight="1">
      <c r="A137" s="3158" t="s">
        <v>29</v>
      </c>
      <c r="B137" s="3158" t="s">
        <v>205</v>
      </c>
      <c r="C137" s="3158">
        <v>10470</v>
      </c>
      <c r="D137" s="3158">
        <v>10430</v>
      </c>
      <c r="E137" s="3158">
        <v>13190</v>
      </c>
      <c r="F137" s="3158">
        <v>1990</v>
      </c>
      <c r="G137" s="3158">
        <v>6710</v>
      </c>
    </row>
    <row r="138" spans="1:7" s="3147" customFormat="1" ht="14.25" customHeight="1">
      <c r="A138" s="3158" t="s">
        <v>29</v>
      </c>
      <c r="B138" s="3158" t="s">
        <v>212</v>
      </c>
      <c r="C138" s="3158">
        <v>10410</v>
      </c>
      <c r="D138" s="3158">
        <v>10380</v>
      </c>
      <c r="E138" s="3158">
        <v>13130</v>
      </c>
      <c r="F138" s="3158">
        <v>2030</v>
      </c>
      <c r="G138" s="3158">
        <v>6680</v>
      </c>
    </row>
    <row r="139" spans="1:7" s="3147" customFormat="1" ht="14.25" customHeight="1">
      <c r="A139" s="3158" t="s">
        <v>29</v>
      </c>
      <c r="B139" s="3158" t="s">
        <v>218</v>
      </c>
      <c r="C139" s="3158">
        <v>9460</v>
      </c>
      <c r="D139" s="3158">
        <v>9410</v>
      </c>
      <c r="E139" s="3158">
        <v>12050</v>
      </c>
      <c r="F139" s="3158">
        <v>2140</v>
      </c>
      <c r="G139" s="3158">
        <v>6050</v>
      </c>
    </row>
    <row r="140" spans="1:7" s="3147" customFormat="1" ht="14.25" customHeight="1">
      <c r="A140" s="3158" t="s">
        <v>29</v>
      </c>
      <c r="B140" s="3158" t="s">
        <v>226</v>
      </c>
      <c r="C140" s="3158">
        <v>11030</v>
      </c>
      <c r="D140" s="3158">
        <v>10980</v>
      </c>
      <c r="E140" s="3158">
        <v>13880</v>
      </c>
      <c r="F140" s="3158">
        <v>2210</v>
      </c>
      <c r="G140" s="3158">
        <v>7060</v>
      </c>
    </row>
    <row r="141" spans="1:7" s="3147" customFormat="1" ht="14.25" customHeight="1">
      <c r="A141" s="3158" t="s">
        <v>29</v>
      </c>
      <c r="B141" s="3158" t="s">
        <v>234</v>
      </c>
      <c r="C141" s="3158">
        <v>11200</v>
      </c>
      <c r="D141" s="3158">
        <v>11150</v>
      </c>
      <c r="E141" s="3158">
        <v>14100</v>
      </c>
      <c r="F141" s="3158">
        <v>2470</v>
      </c>
      <c r="G141" s="3158">
        <v>7170</v>
      </c>
    </row>
    <row r="142" spans="1:7" s="3147" customFormat="1" ht="14.25" customHeight="1">
      <c r="A142" s="3158" t="s">
        <v>29</v>
      </c>
      <c r="B142" s="3158" t="s">
        <v>239</v>
      </c>
      <c r="C142" s="3158">
        <v>10780</v>
      </c>
      <c r="D142" s="3158">
        <v>10730</v>
      </c>
      <c r="E142" s="3158">
        <v>13540</v>
      </c>
      <c r="F142" s="3158">
        <v>2280</v>
      </c>
      <c r="G142" s="3158">
        <v>6900</v>
      </c>
    </row>
    <row r="143" spans="1:7" s="3147" customFormat="1" ht="14.25" customHeight="1">
      <c r="A143" s="3158" t="s">
        <v>29</v>
      </c>
      <c r="B143" s="3158" t="s">
        <v>248</v>
      </c>
      <c r="C143" s="3158">
        <v>11550</v>
      </c>
      <c r="D143" s="3158">
        <v>11490</v>
      </c>
      <c r="E143" s="3158">
        <v>14480</v>
      </c>
      <c r="F143" s="3158">
        <v>2070</v>
      </c>
      <c r="G143" s="3158">
        <v>7390</v>
      </c>
    </row>
    <row r="144" spans="1:7" s="3147" customFormat="1" ht="14.25" customHeight="1">
      <c r="A144" s="3158" t="s">
        <v>29</v>
      </c>
      <c r="B144" s="3158" t="s">
        <v>255</v>
      </c>
      <c r="C144" s="3158">
        <v>10720</v>
      </c>
      <c r="D144" s="3158">
        <v>10680</v>
      </c>
      <c r="E144" s="3158">
        <v>13480</v>
      </c>
      <c r="F144" s="3158">
        <v>2440</v>
      </c>
      <c r="G144" s="3158">
        <v>6870</v>
      </c>
    </row>
    <row r="145" spans="1:7" s="3147" customFormat="1" ht="14.25" customHeight="1">
      <c r="A145" s="3158" t="s">
        <v>29</v>
      </c>
      <c r="B145" s="3158" t="s">
        <v>263</v>
      </c>
      <c r="C145" s="3158">
        <v>10340</v>
      </c>
      <c r="D145" s="3158">
        <v>10290</v>
      </c>
      <c r="E145" s="3158">
        <v>12880</v>
      </c>
      <c r="F145" s="3158">
        <v>2650</v>
      </c>
      <c r="G145" s="3158">
        <v>6620</v>
      </c>
    </row>
    <row r="146" spans="1:7" s="3147" customFormat="1" ht="14.25" customHeight="1">
      <c r="A146" s="3158" t="s">
        <v>29</v>
      </c>
      <c r="B146" s="3158" t="s">
        <v>270</v>
      </c>
      <c r="C146" s="3158">
        <v>11890</v>
      </c>
      <c r="D146" s="3158">
        <v>11830</v>
      </c>
      <c r="E146" s="3158">
        <v>14670</v>
      </c>
      <c r="F146" s="3158"/>
      <c r="G146" s="3158">
        <v>7610</v>
      </c>
    </row>
    <row r="147" spans="1:7" s="3147" customFormat="1" ht="14.25" customHeight="1">
      <c r="A147" s="3158" t="s">
        <v>29</v>
      </c>
      <c r="B147" s="3158" t="s">
        <v>274</v>
      </c>
      <c r="C147" s="3158">
        <v>12650</v>
      </c>
      <c r="D147" s="3158">
        <v>12600</v>
      </c>
      <c r="E147" s="3158">
        <v>15440</v>
      </c>
      <c r="F147" s="3158"/>
      <c r="G147" s="3158">
        <v>8110</v>
      </c>
    </row>
    <row r="148" spans="1:7" s="3147" customFormat="1" ht="14.25" customHeight="1">
      <c r="A148" s="3158" t="s">
        <v>29</v>
      </c>
      <c r="B148" s="3158" t="s">
        <v>3042</v>
      </c>
      <c r="C148" s="3158">
        <v>10370</v>
      </c>
      <c r="D148" s="3158">
        <v>10310</v>
      </c>
      <c r="E148" s="3158">
        <v>12970</v>
      </c>
      <c r="F148" s="3158"/>
      <c r="G148" s="3158">
        <v>6630</v>
      </c>
    </row>
    <row r="149" spans="1:7" s="3147" customFormat="1" ht="14.25" customHeight="1">
      <c r="A149" s="3158" t="s">
        <v>29</v>
      </c>
      <c r="B149" s="3158" t="s">
        <v>3043</v>
      </c>
      <c r="C149" s="3158">
        <v>11600</v>
      </c>
      <c r="D149" s="3158">
        <v>11560</v>
      </c>
      <c r="E149" s="3158">
        <v>14540</v>
      </c>
      <c r="F149" s="3158">
        <v>2390</v>
      </c>
      <c r="G149" s="3158">
        <v>7430</v>
      </c>
    </row>
    <row r="150" spans="1:7" s="3147" customFormat="1" ht="14.25" customHeight="1">
      <c r="A150" s="3158" t="s">
        <v>29</v>
      </c>
      <c r="B150" s="3158" t="s">
        <v>292</v>
      </c>
      <c r="C150" s="3158">
        <v>9950</v>
      </c>
      <c r="D150" s="3158">
        <v>9890</v>
      </c>
      <c r="E150" s="3158">
        <v>12590</v>
      </c>
      <c r="F150" s="3158">
        <v>1970</v>
      </c>
      <c r="G150" s="3158">
        <v>6360</v>
      </c>
    </row>
    <row r="151" spans="1:7" s="3147" customFormat="1" ht="14.25" customHeight="1">
      <c r="A151" s="3158" t="s">
        <v>29</v>
      </c>
      <c r="B151" s="3158" t="s">
        <v>294</v>
      </c>
      <c r="C151" s="3158">
        <v>10700</v>
      </c>
      <c r="D151" s="3158">
        <v>10650</v>
      </c>
      <c r="E151" s="3158">
        <v>13420</v>
      </c>
      <c r="F151" s="3158">
        <v>2020</v>
      </c>
      <c r="G151" s="3158">
        <v>6850</v>
      </c>
    </row>
    <row r="152" spans="1:7" s="3147" customFormat="1" ht="14.25" customHeight="1">
      <c r="A152" s="3158" t="s">
        <v>29</v>
      </c>
      <c r="B152" s="3158" t="s">
        <v>297</v>
      </c>
      <c r="C152" s="3158">
        <v>10310</v>
      </c>
      <c r="D152" s="3158">
        <v>10260</v>
      </c>
      <c r="E152" s="3158">
        <v>12820</v>
      </c>
      <c r="F152" s="3158">
        <v>1980</v>
      </c>
      <c r="G152" s="3158">
        <v>6600</v>
      </c>
    </row>
    <row r="153" spans="1:7" s="3147" customFormat="1" ht="14.25" customHeight="1">
      <c r="A153" s="3158" t="s">
        <v>29</v>
      </c>
      <c r="B153" s="3158" t="s">
        <v>2917</v>
      </c>
      <c r="C153" s="3158">
        <v>10880</v>
      </c>
      <c r="D153" s="3158">
        <v>10820</v>
      </c>
      <c r="E153" s="3158">
        <v>13660</v>
      </c>
      <c r="F153" s="3158">
        <v>2260</v>
      </c>
      <c r="G153" s="3158">
        <v>6970</v>
      </c>
    </row>
    <row r="154" spans="1:7" s="3147" customFormat="1" ht="14.25" customHeight="1">
      <c r="A154" s="3158" t="s">
        <v>29</v>
      </c>
      <c r="B154" s="3158" t="s">
        <v>3044</v>
      </c>
      <c r="C154" s="3158">
        <v>11220</v>
      </c>
      <c r="D154" s="3158">
        <v>11160</v>
      </c>
      <c r="E154" s="3158">
        <v>14130</v>
      </c>
      <c r="F154" s="3158">
        <v>2230</v>
      </c>
      <c r="G154" s="3158">
        <v>7180</v>
      </c>
    </row>
    <row r="155" spans="1:7" s="3147" customFormat="1" ht="14.25" customHeight="1">
      <c r="A155" s="3158" t="s">
        <v>29</v>
      </c>
      <c r="B155" s="3158" t="s">
        <v>2930</v>
      </c>
      <c r="C155" s="3158">
        <v>10430</v>
      </c>
      <c r="D155" s="3158">
        <v>10380</v>
      </c>
      <c r="E155" s="3158">
        <v>13140</v>
      </c>
      <c r="F155" s="3158">
        <v>2080</v>
      </c>
      <c r="G155" s="3158">
        <v>6650</v>
      </c>
    </row>
    <row r="156" spans="1:7" s="3147" customFormat="1" ht="14.25" customHeight="1">
      <c r="A156" s="3158" t="s">
        <v>29</v>
      </c>
      <c r="B156" s="3158" t="s">
        <v>3045</v>
      </c>
      <c r="C156" s="3158">
        <v>10440</v>
      </c>
      <c r="D156" s="3158">
        <v>10400</v>
      </c>
      <c r="E156" s="3158">
        <v>13150</v>
      </c>
      <c r="F156" s="3158">
        <v>2490</v>
      </c>
      <c r="G156" s="3158">
        <v>6690</v>
      </c>
    </row>
    <row r="157" spans="1:7" s="3147" customFormat="1" ht="14.25" customHeight="1">
      <c r="A157" s="3158" t="s">
        <v>29</v>
      </c>
      <c r="B157" s="3158" t="s">
        <v>300</v>
      </c>
      <c r="C157" s="3158">
        <v>10970</v>
      </c>
      <c r="D157" s="3158">
        <v>10920</v>
      </c>
      <c r="E157" s="3158">
        <v>13840</v>
      </c>
      <c r="F157" s="3158">
        <v>2420</v>
      </c>
      <c r="G157" s="3158">
        <v>7020</v>
      </c>
    </row>
    <row r="158" spans="1:7" s="3147" customFormat="1" ht="14.25" customHeight="1">
      <c r="A158" s="3158" t="s">
        <v>29</v>
      </c>
      <c r="B158" s="3158" t="s">
        <v>301</v>
      </c>
      <c r="C158" s="3158">
        <v>9590</v>
      </c>
      <c r="D158" s="3158">
        <v>9540</v>
      </c>
      <c r="E158" s="3158">
        <v>12210</v>
      </c>
      <c r="F158" s="3158">
        <v>2100</v>
      </c>
      <c r="G158" s="3158">
        <v>6130</v>
      </c>
    </row>
    <row r="159" spans="1:7" s="3147" customFormat="1" ht="14.25" customHeight="1">
      <c r="A159" s="3158" t="s">
        <v>29</v>
      </c>
      <c r="B159" s="3158" t="s">
        <v>302</v>
      </c>
      <c r="C159" s="3158">
        <v>11190</v>
      </c>
      <c r="D159" s="3158">
        <v>11140</v>
      </c>
      <c r="E159" s="3158">
        <v>14090</v>
      </c>
      <c r="F159" s="3158">
        <v>2470</v>
      </c>
      <c r="G159" s="3158">
        <v>7170</v>
      </c>
    </row>
    <row r="160" spans="1:7" s="3147" customFormat="1" ht="14.25" customHeight="1">
      <c r="A160" s="3158" t="s">
        <v>29</v>
      </c>
      <c r="B160" s="3158" t="s">
        <v>3046</v>
      </c>
      <c r="C160" s="3158">
        <v>11180</v>
      </c>
      <c r="D160" s="3158">
        <v>11140</v>
      </c>
      <c r="E160" s="3158">
        <v>14050</v>
      </c>
      <c r="F160" s="3158">
        <v>2270</v>
      </c>
      <c r="G160" s="3158">
        <v>7170</v>
      </c>
    </row>
    <row r="161" spans="1:7" s="3147" customFormat="1" ht="14.25" customHeight="1">
      <c r="A161" s="3158" t="s">
        <v>29</v>
      </c>
      <c r="B161" s="3158" t="s">
        <v>2962</v>
      </c>
      <c r="C161" s="3158">
        <v>11160</v>
      </c>
      <c r="D161" s="3158">
        <v>11120</v>
      </c>
      <c r="E161" s="3158">
        <v>14020</v>
      </c>
      <c r="F161" s="3158">
        <v>2150</v>
      </c>
      <c r="G161" s="3158">
        <v>7160</v>
      </c>
    </row>
    <row r="162" spans="1:7" s="3147" customFormat="1" ht="14.25" customHeight="1">
      <c r="A162" s="3158" t="s">
        <v>29</v>
      </c>
      <c r="B162" s="3158" t="s">
        <v>2967</v>
      </c>
      <c r="C162" s="3158">
        <v>9620</v>
      </c>
      <c r="D162" s="3158">
        <v>9570</v>
      </c>
      <c r="E162" s="3158">
        <v>12320</v>
      </c>
      <c r="F162" s="3158">
        <v>2010</v>
      </c>
      <c r="G162" s="3158">
        <v>6160</v>
      </c>
    </row>
    <row r="163" spans="1:7" s="3147" customFormat="1" ht="14.25" customHeight="1">
      <c r="A163" s="3158" t="s">
        <v>29</v>
      </c>
      <c r="B163" s="3158" t="s">
        <v>2972</v>
      </c>
      <c r="C163" s="3158">
        <v>9320</v>
      </c>
      <c r="D163" s="3158">
        <v>9270</v>
      </c>
      <c r="E163" s="3158">
        <v>11790</v>
      </c>
      <c r="F163" s="3158">
        <v>1920</v>
      </c>
      <c r="G163" s="3158">
        <v>5960</v>
      </c>
    </row>
    <row r="164" spans="1:7" s="3147" customFormat="1" ht="14.25" customHeight="1">
      <c r="A164" s="3158" t="s">
        <v>29</v>
      </c>
      <c r="B164" s="3158" t="s">
        <v>2977</v>
      </c>
      <c r="C164" s="3158"/>
      <c r="D164" s="3158"/>
      <c r="E164" s="3158"/>
      <c r="F164" s="3158">
        <v>1980</v>
      </c>
      <c r="G164" s="3158"/>
    </row>
    <row r="165" spans="1:7" s="3147" customFormat="1" ht="14.25" customHeight="1">
      <c r="A165" s="3158" t="s">
        <v>29</v>
      </c>
      <c r="B165" s="3158" t="s">
        <v>3047</v>
      </c>
      <c r="C165" s="3158">
        <v>11060</v>
      </c>
      <c r="D165" s="3158">
        <v>11030</v>
      </c>
      <c r="E165" s="3158">
        <v>13850</v>
      </c>
      <c r="F165" s="3158">
        <v>2170</v>
      </c>
      <c r="G165" s="3158">
        <v>7090</v>
      </c>
    </row>
    <row r="166" spans="1:7" s="3147" customFormat="1" ht="14.25" customHeight="1">
      <c r="A166" s="3158" t="s">
        <v>29</v>
      </c>
      <c r="B166" s="3158" t="s">
        <v>2987</v>
      </c>
      <c r="C166" s="3158">
        <v>11050</v>
      </c>
      <c r="D166" s="3158">
        <v>11010</v>
      </c>
      <c r="E166" s="3158">
        <v>13920</v>
      </c>
      <c r="F166" s="3158">
        <v>2140</v>
      </c>
      <c r="G166" s="3158">
        <v>7080</v>
      </c>
    </row>
    <row r="167" spans="1:7" s="3147" customFormat="1" ht="14.25" customHeight="1">
      <c r="A167" s="3158" t="s">
        <v>29</v>
      </c>
      <c r="B167" s="3158" t="s">
        <v>2991</v>
      </c>
      <c r="C167" s="3158">
        <v>10930</v>
      </c>
      <c r="D167" s="3158">
        <v>10890</v>
      </c>
      <c r="E167" s="3158">
        <v>13790</v>
      </c>
      <c r="F167" s="3158">
        <v>2010</v>
      </c>
      <c r="G167" s="3158">
        <v>7000</v>
      </c>
    </row>
    <row r="168" spans="1:7" s="3147" customFormat="1" ht="14.25" customHeight="1">
      <c r="A168" s="3158" t="s">
        <v>29</v>
      </c>
      <c r="B168" s="3158" t="s">
        <v>2996</v>
      </c>
      <c r="C168" s="3158">
        <v>9420</v>
      </c>
      <c r="D168" s="3158">
        <v>9380</v>
      </c>
      <c r="E168" s="3158">
        <v>11970</v>
      </c>
      <c r="F168" s="3158"/>
      <c r="G168" s="3158">
        <v>6040</v>
      </c>
    </row>
    <row r="169" spans="1:7" s="3147" customFormat="1" ht="14.25" customHeight="1">
      <c r="A169" s="3158" t="s">
        <v>29</v>
      </c>
      <c r="B169" s="3158" t="s">
        <v>3048</v>
      </c>
      <c r="C169" s="3158"/>
      <c r="D169" s="3158"/>
      <c r="E169" s="3158"/>
      <c r="F169" s="3158">
        <v>2880</v>
      </c>
      <c r="G169" s="3158"/>
    </row>
    <row r="170" spans="1:7" s="3147" customFormat="1" ht="14.25" customHeight="1">
      <c r="A170" s="3158" t="s">
        <v>29</v>
      </c>
      <c r="B170" s="3158" t="s">
        <v>3004</v>
      </c>
      <c r="C170" s="3158"/>
      <c r="D170" s="3158"/>
      <c r="E170" s="3158"/>
      <c r="F170" s="3158">
        <v>2880</v>
      </c>
      <c r="G170" s="3158"/>
    </row>
    <row r="171" spans="1:7" s="3147" customFormat="1" ht="14.25" customHeight="1">
      <c r="A171" s="3158" t="s">
        <v>29</v>
      </c>
      <c r="B171" s="3158" t="s">
        <v>3007</v>
      </c>
      <c r="C171" s="3158"/>
      <c r="D171" s="3158"/>
      <c r="E171" s="3158"/>
      <c r="F171" s="3158">
        <v>2880</v>
      </c>
      <c r="G171" s="3158"/>
    </row>
    <row r="172" spans="1:7" s="3147" customFormat="1" ht="14.25" customHeight="1">
      <c r="A172" s="3158" t="s">
        <v>29</v>
      </c>
      <c r="B172" s="3158" t="s">
        <v>3009</v>
      </c>
      <c r="C172" s="3158"/>
      <c r="D172" s="3158"/>
      <c r="E172" s="3158"/>
      <c r="F172" s="3158">
        <v>2880</v>
      </c>
      <c r="G172" s="3158"/>
    </row>
    <row r="173" spans="1:7" s="3147" customFormat="1" ht="14.25" customHeight="1">
      <c r="A173" s="3158" t="s">
        <v>29</v>
      </c>
      <c r="B173" s="3158" t="s">
        <v>3011</v>
      </c>
      <c r="C173" s="3158"/>
      <c r="D173" s="3158"/>
      <c r="E173" s="3158"/>
      <c r="F173" s="3158">
        <v>2150</v>
      </c>
      <c r="G173" s="3158"/>
    </row>
    <row r="174" spans="1:7" s="3147" customFormat="1" ht="14.25" customHeight="1">
      <c r="A174" s="3158" t="s">
        <v>29</v>
      </c>
      <c r="B174" s="3158" t="s">
        <v>3013</v>
      </c>
      <c r="C174" s="3158"/>
      <c r="D174" s="3158"/>
      <c r="E174" s="3158"/>
      <c r="F174" s="3158">
        <v>2030</v>
      </c>
      <c r="G174" s="3158"/>
    </row>
    <row r="175" spans="1:7" s="3147" customFormat="1" ht="14.25" customHeight="1">
      <c r="A175" s="3158" t="s">
        <v>29</v>
      </c>
      <c r="B175" s="3158" t="s">
        <v>3015</v>
      </c>
      <c r="C175" s="3158"/>
      <c r="D175" s="3158"/>
      <c r="E175" s="3158"/>
      <c r="F175" s="3158">
        <v>2780</v>
      </c>
      <c r="G175" s="3158"/>
    </row>
    <row r="176" spans="1:7" s="3147" customFormat="1" ht="14.25" customHeight="1">
      <c r="A176" s="3158" t="s">
        <v>29</v>
      </c>
      <c r="B176" s="3158" t="s">
        <v>3017</v>
      </c>
      <c r="C176" s="3158"/>
      <c r="D176" s="3158"/>
      <c r="E176" s="3158"/>
      <c r="F176" s="3158">
        <v>2780</v>
      </c>
      <c r="G176" s="3158"/>
    </row>
    <row r="177" spans="1:7" s="3147" customFormat="1" ht="14.25" customHeight="1">
      <c r="A177" s="3158" t="s">
        <v>29</v>
      </c>
      <c r="B177" s="3158" t="s">
        <v>3049</v>
      </c>
      <c r="C177" s="3158"/>
      <c r="D177" s="3158"/>
      <c r="E177" s="3158"/>
      <c r="F177" s="3158">
        <v>2780</v>
      </c>
      <c r="G177" s="3158"/>
    </row>
    <row r="178" spans="1:7" s="3147" customFormat="1" ht="14.25" customHeight="1">
      <c r="A178" s="3158" t="s">
        <v>29</v>
      </c>
      <c r="B178" s="3158" t="s">
        <v>3050</v>
      </c>
      <c r="C178" s="3158"/>
      <c r="D178" s="3158"/>
      <c r="E178" s="3158"/>
      <c r="F178" s="3158">
        <v>2060</v>
      </c>
      <c r="G178" s="3158"/>
    </row>
    <row r="179" spans="1:7" s="3147" customFormat="1" ht="14.25" customHeight="1">
      <c r="A179" s="3158" t="s">
        <v>29</v>
      </c>
      <c r="B179" s="3158" t="s">
        <v>3051</v>
      </c>
      <c r="C179" s="3158"/>
      <c r="D179" s="3158"/>
      <c r="E179" s="3158"/>
      <c r="F179" s="3158">
        <v>2120</v>
      </c>
      <c r="G179" s="3158"/>
    </row>
    <row r="180" spans="1:7" s="3147" customFormat="1" ht="14.25" customHeight="1">
      <c r="A180" s="3158" t="s">
        <v>29</v>
      </c>
      <c r="B180" s="3158" t="s">
        <v>3023</v>
      </c>
      <c r="C180" s="3158"/>
      <c r="D180" s="3158"/>
      <c r="E180" s="3158"/>
      <c r="F180" s="3158">
        <v>2340</v>
      </c>
      <c r="G180" s="3158"/>
    </row>
    <row r="181" spans="1:7" s="3147" customFormat="1" ht="14.25" customHeight="1">
      <c r="A181" s="3158" t="s">
        <v>29</v>
      </c>
      <c r="B181" s="3158" t="s">
        <v>3024</v>
      </c>
      <c r="C181" s="3158"/>
      <c r="D181" s="3158"/>
      <c r="E181" s="3158"/>
      <c r="F181" s="3158">
        <v>2340</v>
      </c>
      <c r="G181" s="3158"/>
    </row>
    <row r="182" spans="1:7" s="3147" customFormat="1" ht="14.25" customHeight="1">
      <c r="A182" s="3158" t="s">
        <v>29</v>
      </c>
      <c r="B182" s="3158" t="s">
        <v>3025</v>
      </c>
      <c r="C182" s="3158"/>
      <c r="D182" s="3158"/>
      <c r="E182" s="3158"/>
      <c r="F182" s="3158">
        <v>2340</v>
      </c>
      <c r="G182" s="3158"/>
    </row>
    <row r="183" spans="1:7" s="3147" customFormat="1" ht="14.25" customHeight="1">
      <c r="A183" s="3158" t="s">
        <v>29</v>
      </c>
      <c r="B183" s="3158" t="s">
        <v>3026</v>
      </c>
      <c r="C183" s="3158"/>
      <c r="D183" s="3158"/>
      <c r="E183" s="3158"/>
      <c r="F183" s="3158">
        <v>2340</v>
      </c>
      <c r="G183" s="3158"/>
    </row>
    <row r="184" spans="1:7" s="3147" customFormat="1" ht="14.25" customHeight="1">
      <c r="A184" s="3158" t="s">
        <v>29</v>
      </c>
      <c r="B184" s="3158" t="s">
        <v>3027</v>
      </c>
      <c r="C184" s="3158"/>
      <c r="D184" s="3158"/>
      <c r="E184" s="3158"/>
      <c r="F184" s="3158">
        <v>2340</v>
      </c>
      <c r="G184" s="3158"/>
    </row>
    <row r="185" spans="1:7" s="3147" customFormat="1" ht="14.25" customHeight="1">
      <c r="A185" s="3158" t="s">
        <v>29</v>
      </c>
      <c r="B185" s="3158" t="s">
        <v>3028</v>
      </c>
      <c r="C185" s="3158"/>
      <c r="D185" s="3158"/>
      <c r="E185" s="3158"/>
      <c r="F185" s="3158">
        <v>2530</v>
      </c>
      <c r="G185" s="3158"/>
    </row>
    <row r="186" spans="1:7" s="3147" customFormat="1" ht="14.25" customHeight="1">
      <c r="A186" s="3158" t="s">
        <v>29</v>
      </c>
      <c r="B186" s="3158" t="s">
        <v>3029</v>
      </c>
      <c r="C186" s="3158"/>
      <c r="D186" s="3158"/>
      <c r="E186" s="3158"/>
      <c r="F186" s="3158">
        <v>2550</v>
      </c>
      <c r="G186" s="3158"/>
    </row>
    <row r="187" spans="1:7" s="3147" customFormat="1" ht="14.25" customHeight="1">
      <c r="A187" s="3158" t="s">
        <v>29</v>
      </c>
      <c r="B187" s="3158" t="s">
        <v>3030</v>
      </c>
      <c r="C187" s="3158"/>
      <c r="D187" s="3158"/>
      <c r="E187" s="3158"/>
      <c r="F187" s="3158">
        <v>2070</v>
      </c>
      <c r="G187" s="3158"/>
    </row>
    <row r="188" spans="1:7" s="3147" customFormat="1" ht="14.25" customHeight="1">
      <c r="A188" s="3158" t="s">
        <v>29</v>
      </c>
      <c r="B188" s="3158" t="s">
        <v>3031</v>
      </c>
      <c r="C188" s="3158"/>
      <c r="D188" s="3158"/>
      <c r="E188" s="3158"/>
      <c r="F188" s="3158">
        <v>2340</v>
      </c>
      <c r="G188" s="3158"/>
    </row>
    <row r="189" spans="1:7" s="3147" customFormat="1" ht="14.25" customHeight="1" thickBot="1">
      <c r="A189" s="3166" t="s">
        <v>29</v>
      </c>
      <c r="B189" s="3169" t="s">
        <v>3032</v>
      </c>
      <c r="C189" s="3169"/>
      <c r="D189" s="3169"/>
      <c r="E189" s="3169"/>
      <c r="F189" s="3169">
        <v>2050</v>
      </c>
      <c r="G189" s="3169"/>
    </row>
    <row r="190" spans="1:7" s="3147" customFormat="1" ht="14.25" customHeight="1">
      <c r="A190" s="3163" t="s">
        <v>304</v>
      </c>
      <c r="B190" s="3154" t="s">
        <v>3052</v>
      </c>
      <c r="C190" s="3154">
        <v>8830</v>
      </c>
      <c r="D190" s="3154">
        <v>8790</v>
      </c>
      <c r="E190" s="3154">
        <v>11630</v>
      </c>
      <c r="F190" s="3154">
        <v>1790</v>
      </c>
      <c r="G190" s="3170">
        <v>5550</v>
      </c>
    </row>
    <row r="191" spans="1:7" s="3147" customFormat="1" ht="14.25" customHeight="1">
      <c r="A191" s="3158" t="s">
        <v>304</v>
      </c>
      <c r="B191" s="3158" t="s">
        <v>133</v>
      </c>
      <c r="C191" s="3158">
        <v>9780</v>
      </c>
      <c r="D191" s="3158">
        <v>9710</v>
      </c>
      <c r="E191" s="3158">
        <v>12550</v>
      </c>
      <c r="F191" s="3158">
        <v>1980</v>
      </c>
      <c r="G191" s="3171">
        <v>6130</v>
      </c>
    </row>
    <row r="192" spans="1:7" s="3147" customFormat="1" ht="14.25" customHeight="1">
      <c r="A192" s="3158" t="s">
        <v>304</v>
      </c>
      <c r="B192" s="3158" t="s">
        <v>142</v>
      </c>
      <c r="C192" s="3158">
        <v>8180</v>
      </c>
      <c r="D192" s="3158">
        <v>8140</v>
      </c>
      <c r="E192" s="3158">
        <v>10870</v>
      </c>
      <c r="F192" s="3158">
        <v>1690</v>
      </c>
      <c r="G192" s="3171">
        <v>5140</v>
      </c>
    </row>
    <row r="193" spans="1:7" s="3147" customFormat="1" ht="14.25" customHeight="1">
      <c r="A193" s="3158" t="s">
        <v>304</v>
      </c>
      <c r="B193" s="3158" t="s">
        <v>151</v>
      </c>
      <c r="C193" s="3158">
        <v>8440</v>
      </c>
      <c r="D193" s="3158">
        <v>8390</v>
      </c>
      <c r="E193" s="3158">
        <v>11210</v>
      </c>
      <c r="F193" s="3158">
        <v>1600</v>
      </c>
      <c r="G193" s="3171">
        <v>5300</v>
      </c>
    </row>
    <row r="194" spans="1:7" s="3147" customFormat="1" ht="14.25" customHeight="1">
      <c r="A194" s="3158" t="s">
        <v>304</v>
      </c>
      <c r="B194" s="3158" t="s">
        <v>160</v>
      </c>
      <c r="C194" s="3158">
        <v>8780</v>
      </c>
      <c r="D194" s="3158">
        <v>8730</v>
      </c>
      <c r="E194" s="3158">
        <v>11550</v>
      </c>
      <c r="F194" s="3158">
        <v>1660</v>
      </c>
      <c r="G194" s="3171">
        <v>5520</v>
      </c>
    </row>
    <row r="195" spans="1:7" s="3147" customFormat="1" ht="14.25" customHeight="1">
      <c r="A195" s="3158" t="s">
        <v>304</v>
      </c>
      <c r="B195" s="3158" t="s">
        <v>167</v>
      </c>
      <c r="C195" s="3158">
        <v>8720</v>
      </c>
      <c r="D195" s="3158">
        <v>8670</v>
      </c>
      <c r="E195" s="3158">
        <v>11450</v>
      </c>
      <c r="F195" s="3158">
        <v>1720</v>
      </c>
      <c r="G195" s="3171">
        <v>5480</v>
      </c>
    </row>
    <row r="196" spans="1:7" s="3147" customFormat="1" ht="14.25" customHeight="1">
      <c r="A196" s="3158" t="s">
        <v>304</v>
      </c>
      <c r="B196" s="3158" t="s">
        <v>173</v>
      </c>
      <c r="C196" s="3158">
        <v>8460</v>
      </c>
      <c r="D196" s="3158">
        <v>8410</v>
      </c>
      <c r="E196" s="3158">
        <v>11230</v>
      </c>
      <c r="F196" s="3158">
        <v>1730</v>
      </c>
      <c r="G196" s="3171">
        <v>5310</v>
      </c>
    </row>
    <row r="197" spans="1:7" s="3147" customFormat="1" ht="14.25" customHeight="1">
      <c r="A197" s="3158" t="s">
        <v>304</v>
      </c>
      <c r="B197" s="3158" t="s">
        <v>180</v>
      </c>
      <c r="C197" s="3158">
        <v>8790</v>
      </c>
      <c r="D197" s="3158">
        <v>8730</v>
      </c>
      <c r="E197" s="3158">
        <v>11560</v>
      </c>
      <c r="F197" s="3158">
        <v>1750</v>
      </c>
      <c r="G197" s="3171">
        <v>5520</v>
      </c>
    </row>
    <row r="198" spans="1:7" s="3147" customFormat="1" ht="14.25" customHeight="1">
      <c r="A198" s="3158" t="s">
        <v>304</v>
      </c>
      <c r="B198" s="3158" t="s">
        <v>190</v>
      </c>
      <c r="C198" s="3158">
        <v>8720</v>
      </c>
      <c r="D198" s="3158">
        <v>8680</v>
      </c>
      <c r="E198" s="3158">
        <v>11470</v>
      </c>
      <c r="F198" s="3158"/>
      <c r="G198" s="3171">
        <v>5480</v>
      </c>
    </row>
    <row r="199" spans="1:7" s="3147" customFormat="1" ht="14.25" customHeight="1">
      <c r="A199" s="3158" t="s">
        <v>304</v>
      </c>
      <c r="B199" s="3158" t="s">
        <v>3053</v>
      </c>
      <c r="C199" s="3158">
        <v>8690</v>
      </c>
      <c r="D199" s="3158">
        <v>8630</v>
      </c>
      <c r="E199" s="3158">
        <v>11350</v>
      </c>
      <c r="F199" s="3158">
        <v>1600</v>
      </c>
      <c r="G199" s="3171">
        <v>5450</v>
      </c>
    </row>
    <row r="200" spans="1:7" s="3147" customFormat="1" ht="14.25" customHeight="1">
      <c r="A200" s="3158" t="s">
        <v>304</v>
      </c>
      <c r="B200" s="3158" t="s">
        <v>2864</v>
      </c>
      <c r="C200" s="3158"/>
      <c r="D200" s="3158"/>
      <c r="E200" s="3158"/>
      <c r="F200" s="3158">
        <v>1510</v>
      </c>
      <c r="G200" s="3171"/>
    </row>
    <row r="201" spans="1:7" s="3147" customFormat="1" ht="14.25" customHeight="1">
      <c r="A201" s="3158" t="s">
        <v>304</v>
      </c>
      <c r="B201" s="3158" t="s">
        <v>3054</v>
      </c>
      <c r="C201" s="3158">
        <v>8440</v>
      </c>
      <c r="D201" s="3158">
        <v>8390</v>
      </c>
      <c r="E201" s="3158">
        <v>10930</v>
      </c>
      <c r="F201" s="3158">
        <v>1500</v>
      </c>
      <c r="G201" s="3171">
        <v>5300</v>
      </c>
    </row>
    <row r="202" spans="1:7" s="3147" customFormat="1" ht="14.25" customHeight="1">
      <c r="A202" s="3158" t="s">
        <v>304</v>
      </c>
      <c r="B202" s="3158" t="s">
        <v>240</v>
      </c>
      <c r="C202" s="3158">
        <v>8530</v>
      </c>
      <c r="D202" s="3158">
        <v>8490</v>
      </c>
      <c r="E202" s="3158">
        <v>11160</v>
      </c>
      <c r="F202" s="3158">
        <v>1580</v>
      </c>
      <c r="G202" s="3171">
        <v>5360</v>
      </c>
    </row>
    <row r="203" spans="1:7" s="3147" customFormat="1" ht="14.25" customHeight="1">
      <c r="A203" s="3158" t="s">
        <v>304</v>
      </c>
      <c r="B203" s="3158" t="s">
        <v>3055</v>
      </c>
      <c r="C203" s="3158">
        <v>8130</v>
      </c>
      <c r="D203" s="3158">
        <v>8070</v>
      </c>
      <c r="E203" s="3158">
        <v>10820</v>
      </c>
      <c r="F203" s="3158">
        <v>1690</v>
      </c>
      <c r="G203" s="3171">
        <v>5100</v>
      </c>
    </row>
    <row r="204" spans="1:7" s="3147" customFormat="1" ht="14.25" customHeight="1">
      <c r="A204" s="3158" t="s">
        <v>304</v>
      </c>
      <c r="B204" s="3158" t="s">
        <v>2875</v>
      </c>
      <c r="C204" s="3158">
        <v>8350</v>
      </c>
      <c r="D204" s="3158">
        <v>8290</v>
      </c>
      <c r="E204" s="3158">
        <v>11080</v>
      </c>
      <c r="F204" s="3158">
        <v>1450</v>
      </c>
      <c r="G204" s="3171">
        <v>5240</v>
      </c>
    </row>
    <row r="205" spans="1:7" s="3147" customFormat="1" ht="14.25" customHeight="1">
      <c r="A205" s="3158" t="s">
        <v>304</v>
      </c>
      <c r="B205" s="3158" t="s">
        <v>2877</v>
      </c>
      <c r="C205" s="3158">
        <v>7190</v>
      </c>
      <c r="D205" s="3158">
        <v>7130</v>
      </c>
      <c r="E205" s="3158">
        <v>9490</v>
      </c>
      <c r="F205" s="3158">
        <v>1470</v>
      </c>
      <c r="G205" s="3171">
        <v>4510</v>
      </c>
    </row>
    <row r="206" spans="1:7" s="3147" customFormat="1" ht="14.25" customHeight="1">
      <c r="A206" s="3158" t="s">
        <v>304</v>
      </c>
      <c r="B206" s="3158" t="s">
        <v>2880</v>
      </c>
      <c r="C206" s="3158">
        <v>7000</v>
      </c>
      <c r="D206" s="3158">
        <v>6950</v>
      </c>
      <c r="E206" s="3158">
        <v>9170</v>
      </c>
      <c r="F206" s="3158">
        <v>1400</v>
      </c>
      <c r="G206" s="3171">
        <v>4380</v>
      </c>
    </row>
    <row r="207" spans="1:7" s="3147" customFormat="1" ht="14.25" customHeight="1">
      <c r="A207" s="3158" t="s">
        <v>304</v>
      </c>
      <c r="B207" s="3158" t="s">
        <v>2882</v>
      </c>
      <c r="C207" s="3158">
        <v>6950</v>
      </c>
      <c r="D207" s="3158">
        <v>6900</v>
      </c>
      <c r="E207" s="3158">
        <v>9110</v>
      </c>
      <c r="F207" s="3158">
        <v>1790</v>
      </c>
      <c r="G207" s="3171">
        <v>4360</v>
      </c>
    </row>
    <row r="208" spans="1:7" s="3147" customFormat="1" ht="14.25" customHeight="1">
      <c r="A208" s="3158" t="s">
        <v>304</v>
      </c>
      <c r="B208" s="3158" t="s">
        <v>3056</v>
      </c>
      <c r="C208" s="3158">
        <v>9470</v>
      </c>
      <c r="D208" s="3158">
        <v>9410</v>
      </c>
      <c r="E208" s="3158">
        <v>12330</v>
      </c>
      <c r="F208" s="3158">
        <v>1770</v>
      </c>
      <c r="G208" s="3171">
        <v>5940</v>
      </c>
    </row>
    <row r="209" spans="1:7" s="3147" customFormat="1" ht="14.25" customHeight="1">
      <c r="A209" s="3158" t="s">
        <v>304</v>
      </c>
      <c r="B209" s="3158" t="s">
        <v>264</v>
      </c>
      <c r="C209" s="3158">
        <v>8740</v>
      </c>
      <c r="D209" s="3158">
        <v>8700</v>
      </c>
      <c r="E209" s="3158">
        <v>11500</v>
      </c>
      <c r="F209" s="3158">
        <v>1730</v>
      </c>
      <c r="G209" s="3171">
        <v>5490</v>
      </c>
    </row>
    <row r="210" spans="1:7" s="3147" customFormat="1" ht="14.25" customHeight="1">
      <c r="A210" s="3158" t="s">
        <v>304</v>
      </c>
      <c r="B210" s="3158" t="s">
        <v>2892</v>
      </c>
      <c r="C210" s="3158">
        <v>8710</v>
      </c>
      <c r="D210" s="3158">
        <v>8660</v>
      </c>
      <c r="E210" s="3158">
        <v>11440</v>
      </c>
      <c r="F210" s="3158">
        <v>1740</v>
      </c>
      <c r="G210" s="3171">
        <v>5470</v>
      </c>
    </row>
    <row r="211" spans="1:7" s="3147" customFormat="1" ht="14.25" customHeight="1">
      <c r="A211" s="3158" t="s">
        <v>304</v>
      </c>
      <c r="B211" s="3158" t="s">
        <v>3057</v>
      </c>
      <c r="C211" s="3158">
        <v>9480</v>
      </c>
      <c r="D211" s="3158">
        <v>9430</v>
      </c>
      <c r="E211" s="3158">
        <v>12360</v>
      </c>
      <c r="F211" s="3158">
        <v>1820</v>
      </c>
      <c r="G211" s="3171">
        <v>5950</v>
      </c>
    </row>
    <row r="212" spans="1:7" s="3147" customFormat="1" ht="14.25" customHeight="1">
      <c r="A212" s="3158" t="s">
        <v>304</v>
      </c>
      <c r="B212" s="3158" t="s">
        <v>285</v>
      </c>
      <c r="C212" s="3158">
        <v>9070</v>
      </c>
      <c r="D212" s="3158">
        <v>9020</v>
      </c>
      <c r="E212" s="3158">
        <v>11720</v>
      </c>
      <c r="F212" s="3158">
        <v>1850</v>
      </c>
      <c r="G212" s="3171">
        <v>5700</v>
      </c>
    </row>
    <row r="213" spans="1:7" s="3147" customFormat="1" ht="14.25" customHeight="1">
      <c r="A213" s="3158" t="s">
        <v>304</v>
      </c>
      <c r="B213" s="3158" t="s">
        <v>288</v>
      </c>
      <c r="C213" s="3158">
        <v>9030</v>
      </c>
      <c r="D213" s="3158">
        <v>8980</v>
      </c>
      <c r="E213" s="3158">
        <v>11670</v>
      </c>
      <c r="F213" s="3158">
        <v>1690</v>
      </c>
      <c r="G213" s="3171">
        <v>5670</v>
      </c>
    </row>
    <row r="214" spans="1:7" s="3147" customFormat="1" ht="14.25" customHeight="1">
      <c r="A214" s="3158" t="s">
        <v>304</v>
      </c>
      <c r="B214" s="3158" t="s">
        <v>3058</v>
      </c>
      <c r="C214" s="3158">
        <v>8090</v>
      </c>
      <c r="D214" s="3158">
        <v>8030</v>
      </c>
      <c r="E214" s="3158">
        <v>10780</v>
      </c>
      <c r="F214" s="3158">
        <v>1570</v>
      </c>
      <c r="G214" s="3171">
        <v>5070</v>
      </c>
    </row>
    <row r="215" spans="1:7" s="3147" customFormat="1" ht="14.25" customHeight="1">
      <c r="A215" s="3158" t="s">
        <v>304</v>
      </c>
      <c r="B215" s="3158" t="s">
        <v>3059</v>
      </c>
      <c r="C215" s="3158">
        <v>7950</v>
      </c>
      <c r="D215" s="3158">
        <v>7900</v>
      </c>
      <c r="E215" s="3158">
        <v>10560</v>
      </c>
      <c r="F215" s="3158">
        <v>1630</v>
      </c>
      <c r="G215" s="3171">
        <v>4990</v>
      </c>
    </row>
    <row r="216" spans="1:7" s="3147" customFormat="1" ht="14.25" customHeight="1">
      <c r="A216" s="3158" t="s">
        <v>304</v>
      </c>
      <c r="B216" s="3158" t="s">
        <v>3060</v>
      </c>
      <c r="C216" s="3158">
        <v>8490</v>
      </c>
      <c r="D216" s="3158">
        <v>8440</v>
      </c>
      <c r="E216" s="3158">
        <v>11260</v>
      </c>
      <c r="F216" s="3158">
        <v>1690</v>
      </c>
      <c r="G216" s="3171">
        <v>5330</v>
      </c>
    </row>
    <row r="217" spans="1:7" s="3147" customFormat="1" ht="14.25" customHeight="1">
      <c r="A217" s="3158" t="s">
        <v>304</v>
      </c>
      <c r="B217" s="3158" t="s">
        <v>2925</v>
      </c>
      <c r="C217" s="3158">
        <v>8200</v>
      </c>
      <c r="D217" s="3158">
        <v>8150</v>
      </c>
      <c r="E217" s="3158">
        <v>10910</v>
      </c>
      <c r="F217" s="3158">
        <v>1670</v>
      </c>
      <c r="G217" s="3171">
        <v>5150</v>
      </c>
    </row>
    <row r="218" spans="1:7" s="3147" customFormat="1" ht="14.25" customHeight="1">
      <c r="A218" s="3158" t="s">
        <v>304</v>
      </c>
      <c r="B218" s="3158" t="s">
        <v>3061</v>
      </c>
      <c r="C218" s="3158"/>
      <c r="D218" s="3158"/>
      <c r="E218" s="3158"/>
      <c r="F218" s="3158">
        <v>2040</v>
      </c>
      <c r="G218" s="3171"/>
    </row>
    <row r="219" spans="1:7" s="3147" customFormat="1" ht="14.25" customHeight="1">
      <c r="A219" s="3158" t="s">
        <v>304</v>
      </c>
      <c r="B219" s="3158" t="s">
        <v>3062</v>
      </c>
      <c r="C219" s="3158"/>
      <c r="D219" s="3158"/>
      <c r="E219" s="3158"/>
      <c r="F219" s="3158">
        <v>2040</v>
      </c>
      <c r="G219" s="3171"/>
    </row>
    <row r="220" spans="1:7" s="3147" customFormat="1" ht="14.25" customHeight="1">
      <c r="A220" s="3158" t="s">
        <v>304</v>
      </c>
      <c r="B220" s="3158" t="s">
        <v>3063</v>
      </c>
      <c r="C220" s="3158"/>
      <c r="D220" s="3158"/>
      <c r="E220" s="3158"/>
      <c r="F220" s="3158">
        <v>2040</v>
      </c>
      <c r="G220" s="3171"/>
    </row>
    <row r="221" spans="1:7" s="3147" customFormat="1" ht="14.25" customHeight="1">
      <c r="A221" s="3158" t="s">
        <v>304</v>
      </c>
      <c r="B221" s="3158" t="s">
        <v>3064</v>
      </c>
      <c r="C221" s="3158"/>
      <c r="D221" s="3158"/>
      <c r="E221" s="3158"/>
      <c r="F221" s="3158">
        <v>2040</v>
      </c>
      <c r="G221" s="3171"/>
    </row>
    <row r="222" spans="1:7" s="3147" customFormat="1" ht="14.25" customHeight="1">
      <c r="A222" s="3158" t="s">
        <v>304</v>
      </c>
      <c r="B222" s="3158" t="s">
        <v>3065</v>
      </c>
      <c r="C222" s="3158"/>
      <c r="D222" s="3158"/>
      <c r="E222" s="3158"/>
      <c r="F222" s="3158">
        <v>2040</v>
      </c>
      <c r="G222" s="3171"/>
    </row>
    <row r="223" spans="1:7" s="3147" customFormat="1" ht="14.25" customHeight="1">
      <c r="A223" s="3158" t="s">
        <v>304</v>
      </c>
      <c r="B223" s="3158" t="s">
        <v>3066</v>
      </c>
      <c r="C223" s="3158"/>
      <c r="D223" s="3158"/>
      <c r="E223" s="3158"/>
      <c r="F223" s="3158">
        <v>1930</v>
      </c>
      <c r="G223" s="3171"/>
    </row>
    <row r="224" spans="1:7" s="3147" customFormat="1" ht="14.25" customHeight="1">
      <c r="A224" s="3158" t="s">
        <v>304</v>
      </c>
      <c r="B224" s="3158" t="s">
        <v>3067</v>
      </c>
      <c r="C224" s="3158"/>
      <c r="D224" s="3158"/>
      <c r="E224" s="3158"/>
      <c r="F224" s="3158">
        <v>1930</v>
      </c>
      <c r="G224" s="3171"/>
    </row>
    <row r="225" spans="1:7" s="3147" customFormat="1" ht="14.25" customHeight="1">
      <c r="A225" s="3158" t="s">
        <v>304</v>
      </c>
      <c r="B225" s="3158" t="s">
        <v>3068</v>
      </c>
      <c r="C225" s="3158"/>
      <c r="D225" s="3158"/>
      <c r="E225" s="3158"/>
      <c r="F225" s="3158">
        <v>1930</v>
      </c>
      <c r="G225" s="3171"/>
    </row>
    <row r="226" spans="1:7" s="3147" customFormat="1" ht="14.25" customHeight="1">
      <c r="A226" s="3158" t="s">
        <v>304</v>
      </c>
      <c r="B226" s="3158" t="s">
        <v>3069</v>
      </c>
      <c r="C226" s="3158"/>
      <c r="D226" s="3158"/>
      <c r="E226" s="3158"/>
      <c r="F226" s="3158">
        <v>1700</v>
      </c>
      <c r="G226" s="3171"/>
    </row>
    <row r="227" spans="1:7" s="3147" customFormat="1" ht="14.25" customHeight="1">
      <c r="A227" s="3158" t="s">
        <v>304</v>
      </c>
      <c r="B227" s="3158" t="s">
        <v>3070</v>
      </c>
      <c r="C227" s="3158"/>
      <c r="D227" s="3158"/>
      <c r="E227" s="3158"/>
      <c r="F227" s="3158">
        <v>1520</v>
      </c>
      <c r="G227" s="3171"/>
    </row>
    <row r="228" spans="1:7" s="3147" customFormat="1" ht="14.25" customHeight="1">
      <c r="A228" s="3158" t="s">
        <v>304</v>
      </c>
      <c r="B228" s="3158" t="s">
        <v>3071</v>
      </c>
      <c r="C228" s="3158"/>
      <c r="D228" s="3158"/>
      <c r="E228" s="3158"/>
      <c r="F228" s="3158">
        <v>1520</v>
      </c>
      <c r="G228" s="3171"/>
    </row>
    <row r="229" spans="1:7" s="3147" customFormat="1" ht="14.25" customHeight="1">
      <c r="A229" s="3158" t="s">
        <v>304</v>
      </c>
      <c r="B229" s="3158" t="s">
        <v>2988</v>
      </c>
      <c r="C229" s="3158"/>
      <c r="D229" s="3158"/>
      <c r="E229" s="3158"/>
      <c r="F229" s="3158">
        <v>1520</v>
      </c>
      <c r="G229" s="3171"/>
    </row>
    <row r="230" spans="1:7" s="3147" customFormat="1" ht="14.25" customHeight="1">
      <c r="A230" s="3158" t="s">
        <v>304</v>
      </c>
      <c r="B230" s="3158" t="s">
        <v>3072</v>
      </c>
      <c r="C230" s="3158"/>
      <c r="D230" s="3158"/>
      <c r="E230" s="3158"/>
      <c r="F230" s="3158">
        <v>1820</v>
      </c>
      <c r="G230" s="3171"/>
    </row>
    <row r="231" spans="1:7" s="3147" customFormat="1" ht="14.25" customHeight="1">
      <c r="A231" s="3158" t="s">
        <v>304</v>
      </c>
      <c r="B231" s="3158" t="s">
        <v>3073</v>
      </c>
      <c r="C231" s="3158"/>
      <c r="D231" s="3158"/>
      <c r="E231" s="3158"/>
      <c r="F231" s="3158">
        <v>1760</v>
      </c>
      <c r="G231" s="3171"/>
    </row>
    <row r="232" spans="1:7" s="3147" customFormat="1" ht="14.25" customHeight="1">
      <c r="A232" s="3158" t="s">
        <v>304</v>
      </c>
      <c r="B232" s="3158" t="s">
        <v>3074</v>
      </c>
      <c r="C232" s="3158"/>
      <c r="D232" s="3158"/>
      <c r="E232" s="3158"/>
      <c r="F232" s="3158">
        <v>1840</v>
      </c>
      <c r="G232" s="3171"/>
    </row>
    <row r="233" spans="1:7" s="3147" customFormat="1" ht="14.25" customHeight="1" thickBot="1">
      <c r="A233" s="3172" t="s">
        <v>304</v>
      </c>
      <c r="B233" s="3165" t="s">
        <v>3005</v>
      </c>
      <c r="C233" s="3165"/>
      <c r="D233" s="3165"/>
      <c r="E233" s="3165"/>
      <c r="F233" s="3165">
        <v>1770</v>
      </c>
      <c r="G233" s="3173"/>
    </row>
    <row r="234" spans="1:7" s="3147" customFormat="1" ht="14.25" customHeight="1">
      <c r="A234" s="3163" t="s">
        <v>305</v>
      </c>
      <c r="B234" s="3154" t="s">
        <v>3075</v>
      </c>
      <c r="C234" s="3158">
        <v>6980</v>
      </c>
      <c r="D234" s="3158">
        <v>6970</v>
      </c>
      <c r="E234" s="3158">
        <v>8720</v>
      </c>
      <c r="F234" s="3158">
        <v>1350</v>
      </c>
      <c r="G234" s="3158">
        <v>4280</v>
      </c>
    </row>
    <row r="235" spans="1:7" s="3147" customFormat="1" ht="14.25" customHeight="1">
      <c r="A235" s="3158" t="s">
        <v>305</v>
      </c>
      <c r="B235" s="3158" t="s">
        <v>134</v>
      </c>
      <c r="C235" s="3158">
        <v>7620</v>
      </c>
      <c r="D235" s="3158">
        <v>7580</v>
      </c>
      <c r="E235" s="3158">
        <v>9360</v>
      </c>
      <c r="F235" s="3158">
        <v>1490</v>
      </c>
      <c r="G235" s="3158">
        <v>4650</v>
      </c>
    </row>
    <row r="236" spans="1:7" s="3147" customFormat="1" ht="14.25" customHeight="1">
      <c r="A236" s="3158" t="s">
        <v>305</v>
      </c>
      <c r="B236" s="3158" t="s">
        <v>143</v>
      </c>
      <c r="C236" s="3158">
        <v>6650</v>
      </c>
      <c r="D236" s="3158">
        <v>6630</v>
      </c>
      <c r="E236" s="3158">
        <v>8330</v>
      </c>
      <c r="F236" s="3158">
        <v>1250</v>
      </c>
      <c r="G236" s="3158">
        <v>4070</v>
      </c>
    </row>
    <row r="237" spans="1:7" s="3147" customFormat="1" ht="14.25" customHeight="1">
      <c r="A237" s="3158" t="s">
        <v>305</v>
      </c>
      <c r="B237" s="3158" t="s">
        <v>152</v>
      </c>
      <c r="C237" s="3158">
        <v>5850</v>
      </c>
      <c r="D237" s="3158">
        <v>5820</v>
      </c>
      <c r="E237" s="3158">
        <v>7260</v>
      </c>
      <c r="F237" s="3158">
        <v>1140</v>
      </c>
      <c r="G237" s="3158">
        <v>3570</v>
      </c>
    </row>
    <row r="238" spans="1:7" s="3147" customFormat="1" ht="14.25" customHeight="1">
      <c r="A238" s="3158" t="s">
        <v>305</v>
      </c>
      <c r="B238" s="3158" t="s">
        <v>2846</v>
      </c>
      <c r="C238" s="3158">
        <v>6920</v>
      </c>
      <c r="D238" s="3158">
        <v>6890</v>
      </c>
      <c r="E238" s="3158">
        <v>8640</v>
      </c>
      <c r="F238" s="3158">
        <v>1310</v>
      </c>
      <c r="G238" s="3158">
        <v>4230</v>
      </c>
    </row>
    <row r="239" spans="1:7" s="3147" customFormat="1" ht="14.25" customHeight="1">
      <c r="A239" s="3158" t="s">
        <v>305</v>
      </c>
      <c r="B239" s="3158" t="s">
        <v>3076</v>
      </c>
      <c r="C239" s="3158">
        <v>6780</v>
      </c>
      <c r="D239" s="3158">
        <v>6750</v>
      </c>
      <c r="E239" s="3158">
        <v>8440</v>
      </c>
      <c r="F239" s="3158">
        <v>1160</v>
      </c>
      <c r="G239" s="3158">
        <v>4140</v>
      </c>
    </row>
    <row r="240" spans="1:7" s="3147" customFormat="1" ht="14.25" customHeight="1">
      <c r="A240" s="3158" t="s">
        <v>305</v>
      </c>
      <c r="B240" s="3158" t="s">
        <v>3077</v>
      </c>
      <c r="C240" s="3158">
        <v>5420</v>
      </c>
      <c r="D240" s="3158">
        <v>5380</v>
      </c>
      <c r="E240" s="3158">
        <v>6640</v>
      </c>
      <c r="F240" s="3158">
        <v>1020</v>
      </c>
      <c r="G240" s="3158">
        <v>3300</v>
      </c>
    </row>
    <row r="241" spans="1:7" s="3147" customFormat="1" ht="14.25" customHeight="1">
      <c r="A241" s="3158" t="s">
        <v>305</v>
      </c>
      <c r="B241" s="3158" t="s">
        <v>3078</v>
      </c>
      <c r="C241" s="3158">
        <v>6660</v>
      </c>
      <c r="D241" s="3158">
        <v>6640</v>
      </c>
      <c r="E241" s="3158">
        <v>8340</v>
      </c>
      <c r="F241" s="3158">
        <v>1130</v>
      </c>
      <c r="G241" s="3158">
        <v>4080</v>
      </c>
    </row>
    <row r="242" spans="1:7" s="3147" customFormat="1" ht="14.25" customHeight="1">
      <c r="A242" s="3158" t="s">
        <v>305</v>
      </c>
      <c r="B242" s="3158" t="s">
        <v>181</v>
      </c>
      <c r="C242" s="3158">
        <v>6580</v>
      </c>
      <c r="D242" s="3158">
        <v>6550</v>
      </c>
      <c r="E242" s="3158">
        <v>8090</v>
      </c>
      <c r="F242" s="3158">
        <v>1240</v>
      </c>
      <c r="G242" s="3158">
        <v>4020</v>
      </c>
    </row>
    <row r="243" spans="1:7" s="3147" customFormat="1" ht="14.25" customHeight="1">
      <c r="A243" s="3158" t="s">
        <v>305</v>
      </c>
      <c r="B243" s="3158" t="s">
        <v>191</v>
      </c>
      <c r="C243" s="3158">
        <v>6000</v>
      </c>
      <c r="D243" s="3158">
        <v>5970</v>
      </c>
      <c r="E243" s="3158">
        <v>7370</v>
      </c>
      <c r="F243" s="3158">
        <v>1070</v>
      </c>
      <c r="G243" s="3158">
        <v>3670</v>
      </c>
    </row>
    <row r="244" spans="1:7" s="3147" customFormat="1" ht="14.25" customHeight="1">
      <c r="A244" s="3158" t="s">
        <v>305</v>
      </c>
      <c r="B244" s="3158" t="s">
        <v>3079</v>
      </c>
      <c r="C244" s="3158">
        <v>5840</v>
      </c>
      <c r="D244" s="3158">
        <v>5810</v>
      </c>
      <c r="E244" s="3158">
        <v>7240</v>
      </c>
      <c r="F244" s="3158">
        <v>1100</v>
      </c>
      <c r="G244" s="3158">
        <v>3560</v>
      </c>
    </row>
    <row r="245" spans="1:7" s="3147" customFormat="1" ht="14.25" customHeight="1">
      <c r="A245" s="3158" t="s">
        <v>305</v>
      </c>
      <c r="B245" s="3158" t="s">
        <v>206</v>
      </c>
      <c r="C245" s="3158">
        <v>6040</v>
      </c>
      <c r="D245" s="3158">
        <v>6000</v>
      </c>
      <c r="E245" s="3158">
        <v>7420</v>
      </c>
      <c r="F245" s="3158">
        <v>1140</v>
      </c>
      <c r="G245" s="3158">
        <v>3690</v>
      </c>
    </row>
    <row r="246" spans="1:7" s="3147" customFormat="1" ht="14.25" customHeight="1">
      <c r="A246" s="3158" t="s">
        <v>305</v>
      </c>
      <c r="B246" s="3158" t="s">
        <v>213</v>
      </c>
      <c r="C246" s="3158">
        <v>5890</v>
      </c>
      <c r="D246" s="3158">
        <v>5860</v>
      </c>
      <c r="E246" s="3158">
        <v>7300</v>
      </c>
      <c r="F246" s="3158">
        <v>1110</v>
      </c>
      <c r="G246" s="3158">
        <v>3590</v>
      </c>
    </row>
    <row r="247" spans="1:7" s="3147" customFormat="1" ht="14.25" customHeight="1">
      <c r="A247" s="3158" t="s">
        <v>305</v>
      </c>
      <c r="B247" s="3158" t="s">
        <v>3080</v>
      </c>
      <c r="C247" s="3158">
        <v>6480</v>
      </c>
      <c r="D247" s="3158">
        <v>6450</v>
      </c>
      <c r="E247" s="3158">
        <v>8010</v>
      </c>
      <c r="F247" s="3158">
        <v>1170</v>
      </c>
      <c r="G247" s="3158">
        <v>3960</v>
      </c>
    </row>
    <row r="248" spans="1:7" s="3147" customFormat="1" ht="14.25" customHeight="1">
      <c r="A248" s="3158" t="s">
        <v>305</v>
      </c>
      <c r="B248" s="3158" t="s">
        <v>227</v>
      </c>
      <c r="C248" s="3158">
        <v>6860</v>
      </c>
      <c r="D248" s="3158">
        <v>6840</v>
      </c>
      <c r="E248" s="3158">
        <v>8520</v>
      </c>
      <c r="F248" s="3158">
        <v>1240</v>
      </c>
      <c r="G248" s="3158">
        <v>4200</v>
      </c>
    </row>
    <row r="249" spans="1:7" s="3147" customFormat="1" ht="14.25" customHeight="1">
      <c r="A249" s="3158" t="s">
        <v>305</v>
      </c>
      <c r="B249" s="3158" t="s">
        <v>3081</v>
      </c>
      <c r="C249" s="3158">
        <v>7180</v>
      </c>
      <c r="D249" s="3158">
        <v>7140</v>
      </c>
      <c r="E249" s="3158">
        <v>8900</v>
      </c>
      <c r="F249" s="3158">
        <v>1350</v>
      </c>
      <c r="G249" s="3158">
        <v>4380</v>
      </c>
    </row>
    <row r="250" spans="1:7" s="3147" customFormat="1" ht="14.25" customHeight="1">
      <c r="A250" s="3158" t="s">
        <v>305</v>
      </c>
      <c r="B250" s="3158" t="s">
        <v>241</v>
      </c>
      <c r="C250" s="3158">
        <v>6880</v>
      </c>
      <c r="D250" s="3158">
        <v>6860</v>
      </c>
      <c r="E250" s="3158">
        <v>8550</v>
      </c>
      <c r="F250" s="3158">
        <v>1220</v>
      </c>
      <c r="G250" s="3158">
        <v>4210</v>
      </c>
    </row>
    <row r="251" spans="1:7" s="3147" customFormat="1" ht="14.25" customHeight="1">
      <c r="A251" s="3158" t="s">
        <v>305</v>
      </c>
      <c r="B251" s="3158" t="s">
        <v>249</v>
      </c>
      <c r="C251" s="3158"/>
      <c r="D251" s="3158"/>
      <c r="E251" s="3158"/>
      <c r="F251" s="3158">
        <v>1100</v>
      </c>
      <c r="G251" s="3158"/>
    </row>
    <row r="252" spans="1:7" s="3147" customFormat="1" ht="14.25" customHeight="1">
      <c r="A252" s="3158" t="s">
        <v>305</v>
      </c>
      <c r="B252" s="3158" t="s">
        <v>3082</v>
      </c>
      <c r="C252" s="3158">
        <v>7240</v>
      </c>
      <c r="D252" s="3158">
        <v>7200</v>
      </c>
      <c r="E252" s="3158">
        <v>9040</v>
      </c>
      <c r="F252" s="3158">
        <v>1380</v>
      </c>
      <c r="G252" s="3158">
        <v>4420</v>
      </c>
    </row>
    <row r="253" spans="1:7" s="3147" customFormat="1" ht="14.25" customHeight="1">
      <c r="A253" s="3158" t="s">
        <v>305</v>
      </c>
      <c r="B253" s="3158" t="s">
        <v>283</v>
      </c>
      <c r="C253" s="3158">
        <v>6670</v>
      </c>
      <c r="D253" s="3158">
        <v>6650</v>
      </c>
      <c r="E253" s="3158">
        <v>8350</v>
      </c>
      <c r="F253" s="3158">
        <v>1260</v>
      </c>
      <c r="G253" s="3158">
        <v>4080</v>
      </c>
    </row>
    <row r="254" spans="1:7" s="3147" customFormat="1" ht="14.25" customHeight="1">
      <c r="A254" s="3158" t="s">
        <v>305</v>
      </c>
      <c r="B254" s="3158" t="s">
        <v>286</v>
      </c>
      <c r="C254" s="3158">
        <v>7630</v>
      </c>
      <c r="D254" s="3158">
        <v>7590</v>
      </c>
      <c r="E254" s="3158">
        <v>9380</v>
      </c>
      <c r="F254" s="3158">
        <v>1320</v>
      </c>
      <c r="G254" s="3158">
        <v>4660</v>
      </c>
    </row>
    <row r="255" spans="1:7" s="3147" customFormat="1" ht="14.25" customHeight="1">
      <c r="A255" s="3158" t="s">
        <v>305</v>
      </c>
      <c r="B255" s="3158" t="s">
        <v>289</v>
      </c>
      <c r="C255" s="3158">
        <v>6940</v>
      </c>
      <c r="D255" s="3158">
        <v>6890</v>
      </c>
      <c r="E255" s="3158">
        <v>8650</v>
      </c>
      <c r="F255" s="3158">
        <v>1210</v>
      </c>
      <c r="G255" s="3158">
        <v>4230</v>
      </c>
    </row>
    <row r="256" spans="1:7" s="3147" customFormat="1" ht="14.25" customHeight="1">
      <c r="A256" s="3158" t="s">
        <v>305</v>
      </c>
      <c r="B256" s="3158" t="s">
        <v>3083</v>
      </c>
      <c r="C256" s="3158">
        <v>7520</v>
      </c>
      <c r="D256" s="3158">
        <v>7490</v>
      </c>
      <c r="E256" s="3158">
        <v>9240</v>
      </c>
      <c r="F256" s="3158">
        <v>1270</v>
      </c>
      <c r="G256" s="3158">
        <v>4590</v>
      </c>
    </row>
    <row r="257" spans="1:7" s="3147" customFormat="1" ht="14.25" customHeight="1">
      <c r="A257" s="3158" t="s">
        <v>305</v>
      </c>
      <c r="B257" s="3158" t="s">
        <v>275</v>
      </c>
      <c r="C257" s="3158">
        <v>6280</v>
      </c>
      <c r="D257" s="3158">
        <v>6230</v>
      </c>
      <c r="E257" s="3158">
        <v>7740</v>
      </c>
      <c r="F257" s="3158">
        <v>1080</v>
      </c>
      <c r="G257" s="3158">
        <v>3830</v>
      </c>
    </row>
    <row r="258" spans="1:7" s="3147" customFormat="1" ht="14.25" customHeight="1">
      <c r="A258" s="3158" t="s">
        <v>305</v>
      </c>
      <c r="B258" s="3158" t="s">
        <v>2908</v>
      </c>
      <c r="C258" s="3158">
        <v>6190</v>
      </c>
      <c r="D258" s="3158">
        <v>6160</v>
      </c>
      <c r="E258" s="3158">
        <v>7680</v>
      </c>
      <c r="F258" s="3158">
        <v>1170</v>
      </c>
      <c r="G258" s="3158">
        <v>3780</v>
      </c>
    </row>
    <row r="259" spans="1:7" s="3147" customFormat="1" ht="14.25" customHeight="1">
      <c r="A259" s="3158" t="s">
        <v>305</v>
      </c>
      <c r="B259" s="3158" t="s">
        <v>3084</v>
      </c>
      <c r="C259" s="3158">
        <v>7610</v>
      </c>
      <c r="D259" s="3158">
        <v>7570</v>
      </c>
      <c r="E259" s="3158">
        <v>9350</v>
      </c>
      <c r="F259" s="3158">
        <v>1350</v>
      </c>
      <c r="G259" s="3158">
        <v>4650</v>
      </c>
    </row>
    <row r="260" spans="1:7" s="3147" customFormat="1" ht="14.25" customHeight="1">
      <c r="A260" s="3158" t="s">
        <v>305</v>
      </c>
      <c r="B260" s="3158" t="s">
        <v>3085</v>
      </c>
      <c r="C260" s="3158">
        <v>6920</v>
      </c>
      <c r="D260" s="3158">
        <v>6880</v>
      </c>
      <c r="E260" s="3158">
        <v>8380</v>
      </c>
      <c r="F260" s="3158">
        <v>1160</v>
      </c>
      <c r="G260" s="3158">
        <v>4220</v>
      </c>
    </row>
    <row r="261" spans="1:7" s="3147" customFormat="1" ht="14.25" customHeight="1">
      <c r="A261" s="3158" t="s">
        <v>305</v>
      </c>
      <c r="B261" s="3158" t="s">
        <v>3086</v>
      </c>
      <c r="C261" s="3158">
        <v>6850</v>
      </c>
      <c r="D261" s="3158">
        <v>6810</v>
      </c>
      <c r="E261" s="3158">
        <v>8290</v>
      </c>
      <c r="F261" s="3158">
        <v>1130</v>
      </c>
      <c r="G261" s="3158">
        <v>4180</v>
      </c>
    </row>
    <row r="262" spans="1:7" s="3147" customFormat="1" ht="14.25" customHeight="1">
      <c r="A262" s="3158" t="s">
        <v>305</v>
      </c>
      <c r="B262" s="3158" t="s">
        <v>3087</v>
      </c>
      <c r="C262" s="3158">
        <v>5860</v>
      </c>
      <c r="D262" s="3158">
        <v>5820</v>
      </c>
      <c r="E262" s="3158">
        <v>7640</v>
      </c>
      <c r="F262" s="3158">
        <v>1070</v>
      </c>
      <c r="G262" s="3158">
        <v>3570</v>
      </c>
    </row>
    <row r="263" spans="1:7" s="3147" customFormat="1" ht="14.25" customHeight="1">
      <c r="A263" s="3158" t="s">
        <v>305</v>
      </c>
      <c r="B263" s="3158" t="s">
        <v>3088</v>
      </c>
      <c r="C263" s="3158">
        <v>5870</v>
      </c>
      <c r="D263" s="3158">
        <v>5840</v>
      </c>
      <c r="E263" s="3158">
        <v>7270</v>
      </c>
      <c r="F263" s="3158">
        <v>1190</v>
      </c>
      <c r="G263" s="3158">
        <v>3580</v>
      </c>
    </row>
    <row r="264" spans="1:7" s="3147" customFormat="1" ht="14.25" customHeight="1">
      <c r="A264" s="3158" t="s">
        <v>305</v>
      </c>
      <c r="B264" s="3158" t="s">
        <v>299</v>
      </c>
      <c r="C264" s="3158">
        <v>6190</v>
      </c>
      <c r="D264" s="3158">
        <v>6150</v>
      </c>
      <c r="E264" s="3158">
        <v>7660</v>
      </c>
      <c r="F264" s="3158">
        <v>1160</v>
      </c>
      <c r="G264" s="3158">
        <v>3770</v>
      </c>
    </row>
    <row r="265" spans="1:7" s="3147" customFormat="1" ht="14.25" customHeight="1">
      <c r="A265" s="3158" t="s">
        <v>305</v>
      </c>
      <c r="B265" s="3158" t="s">
        <v>3089</v>
      </c>
      <c r="C265" s="3158"/>
      <c r="D265" s="3158"/>
      <c r="E265" s="3158"/>
      <c r="F265" s="3158">
        <v>1500</v>
      </c>
      <c r="G265" s="3158"/>
    </row>
    <row r="266" spans="1:7" s="3147" customFormat="1" ht="14.25" customHeight="1">
      <c r="A266" s="3158" t="s">
        <v>305</v>
      </c>
      <c r="B266" s="3158" t="s">
        <v>3090</v>
      </c>
      <c r="C266" s="3158"/>
      <c r="D266" s="3158"/>
      <c r="E266" s="3158"/>
      <c r="F266" s="3158">
        <v>1500</v>
      </c>
      <c r="G266" s="3158"/>
    </row>
    <row r="267" spans="1:7" s="3147" customFormat="1" ht="14.25" customHeight="1">
      <c r="A267" s="3158" t="s">
        <v>305</v>
      </c>
      <c r="B267" s="3158" t="s">
        <v>3091</v>
      </c>
      <c r="C267" s="3158"/>
      <c r="D267" s="3158"/>
      <c r="E267" s="3158"/>
      <c r="F267" s="3158">
        <v>1500</v>
      </c>
      <c r="G267" s="3158"/>
    </row>
    <row r="268" spans="1:7" s="3147" customFormat="1" ht="14.25" customHeight="1">
      <c r="A268" s="3158" t="s">
        <v>305</v>
      </c>
      <c r="B268" s="3158" t="s">
        <v>3092</v>
      </c>
      <c r="C268" s="3158"/>
      <c r="D268" s="3158"/>
      <c r="E268" s="3158"/>
      <c r="F268" s="3158">
        <v>1290</v>
      </c>
      <c r="G268" s="3158"/>
    </row>
    <row r="269" spans="1:7" s="3147" customFormat="1" ht="14.25" customHeight="1">
      <c r="A269" s="3158" t="s">
        <v>305</v>
      </c>
      <c r="B269" s="3158" t="s">
        <v>3093</v>
      </c>
      <c r="C269" s="3158"/>
      <c r="D269" s="3158"/>
      <c r="E269" s="3158"/>
      <c r="F269" s="3158">
        <v>1150</v>
      </c>
      <c r="G269" s="3158"/>
    </row>
    <row r="270" spans="1:7" s="3147" customFormat="1" ht="14.25" customHeight="1">
      <c r="A270" s="3158" t="s">
        <v>305</v>
      </c>
      <c r="B270" s="3158" t="s">
        <v>3094</v>
      </c>
      <c r="C270" s="3158"/>
      <c r="D270" s="3158"/>
      <c r="E270" s="3158"/>
      <c r="F270" s="3158">
        <v>1380</v>
      </c>
      <c r="G270" s="3158"/>
    </row>
    <row r="271" spans="1:7" s="3147" customFormat="1" ht="14.25" customHeight="1">
      <c r="A271" s="3158" t="s">
        <v>305</v>
      </c>
      <c r="B271" s="3158" t="s">
        <v>3095</v>
      </c>
      <c r="C271" s="3158"/>
      <c r="D271" s="3158"/>
      <c r="E271" s="3158"/>
      <c r="F271" s="3158">
        <v>1460</v>
      </c>
      <c r="G271" s="3158"/>
    </row>
    <row r="272" spans="1:7" s="3147" customFormat="1" ht="14.25" customHeight="1">
      <c r="A272" s="3158" t="s">
        <v>305</v>
      </c>
      <c r="B272" s="3158" t="s">
        <v>3096</v>
      </c>
      <c r="C272" s="3158"/>
      <c r="D272" s="3158"/>
      <c r="E272" s="3158"/>
      <c r="F272" s="3158">
        <v>1460</v>
      </c>
      <c r="G272" s="3158"/>
    </row>
    <row r="273" spans="1:7" s="3147" customFormat="1" ht="14.25" customHeight="1">
      <c r="A273" s="3158" t="s">
        <v>305</v>
      </c>
      <c r="B273" s="3158" t="s">
        <v>2989</v>
      </c>
      <c r="C273" s="3158"/>
      <c r="D273" s="3158"/>
      <c r="E273" s="3158"/>
      <c r="F273" s="3158">
        <v>1490</v>
      </c>
      <c r="G273" s="3158"/>
    </row>
    <row r="274" spans="1:7" s="3147" customFormat="1" ht="14.25" customHeight="1">
      <c r="A274" s="3158" t="s">
        <v>305</v>
      </c>
      <c r="B274" s="3158" t="s">
        <v>3097</v>
      </c>
      <c r="C274" s="3158"/>
      <c r="D274" s="3158"/>
      <c r="E274" s="3158"/>
      <c r="F274" s="3158">
        <v>1490</v>
      </c>
      <c r="G274" s="3158"/>
    </row>
    <row r="275" spans="1:7" s="3147" customFormat="1" ht="14.25" customHeight="1">
      <c r="A275" s="3158" t="s">
        <v>305</v>
      </c>
      <c r="B275" s="3158" t="s">
        <v>3098</v>
      </c>
      <c r="C275" s="3158"/>
      <c r="D275" s="3158"/>
      <c r="E275" s="3158"/>
      <c r="F275" s="3158">
        <v>1220</v>
      </c>
      <c r="G275" s="3158"/>
    </row>
    <row r="276" spans="1:7" s="3147" customFormat="1" ht="14.25" customHeight="1" thickBot="1">
      <c r="A276" s="3166" t="s">
        <v>305</v>
      </c>
      <c r="B276" s="3168" t="s">
        <v>3099</v>
      </c>
      <c r="C276" s="3169"/>
      <c r="D276" s="3169"/>
      <c r="E276" s="3169"/>
      <c r="F276" s="3169">
        <v>1380</v>
      </c>
      <c r="G276" s="3169"/>
    </row>
    <row r="277" spans="1:7" s="3147" customFormat="1" ht="14.25" customHeight="1">
      <c r="A277" s="3163" t="s">
        <v>306</v>
      </c>
      <c r="B277" s="3154" t="s">
        <v>3100</v>
      </c>
      <c r="C277" s="3154">
        <v>5790</v>
      </c>
      <c r="D277" s="3154">
        <v>5740</v>
      </c>
      <c r="E277" s="3154">
        <v>6730</v>
      </c>
      <c r="F277" s="3154">
        <v>1110</v>
      </c>
      <c r="G277" s="3170">
        <v>3460</v>
      </c>
    </row>
    <row r="278" spans="1:7" s="3147" customFormat="1" ht="14.25" customHeight="1">
      <c r="A278" s="3158" t="s">
        <v>306</v>
      </c>
      <c r="B278" s="3158" t="s">
        <v>135</v>
      </c>
      <c r="C278" s="3158">
        <v>5740</v>
      </c>
      <c r="D278" s="3158">
        <v>5670</v>
      </c>
      <c r="E278" s="3158">
        <v>6680</v>
      </c>
      <c r="F278" s="3158">
        <v>1070</v>
      </c>
      <c r="G278" s="3171">
        <v>3420</v>
      </c>
    </row>
    <row r="279" spans="1:7" s="3147" customFormat="1" ht="14.25" customHeight="1">
      <c r="A279" s="3158" t="s">
        <v>306</v>
      </c>
      <c r="B279" s="3158" t="s">
        <v>3101</v>
      </c>
      <c r="C279" s="3158">
        <v>4760</v>
      </c>
      <c r="D279" s="3158">
        <v>4720</v>
      </c>
      <c r="E279" s="3158">
        <v>5540</v>
      </c>
      <c r="F279" s="3158">
        <v>810</v>
      </c>
      <c r="G279" s="3171">
        <v>2850</v>
      </c>
    </row>
    <row r="280" spans="1:7" s="3147" customFormat="1" ht="14.25" customHeight="1">
      <c r="A280" s="3158" t="s">
        <v>306</v>
      </c>
      <c r="B280" s="3158" t="s">
        <v>3102</v>
      </c>
      <c r="C280" s="3158">
        <v>4010</v>
      </c>
      <c r="D280" s="3158">
        <v>3950</v>
      </c>
      <c r="E280" s="3158">
        <v>4710</v>
      </c>
      <c r="F280" s="3158">
        <v>800</v>
      </c>
      <c r="G280" s="3171">
        <v>2390</v>
      </c>
    </row>
    <row r="281" spans="1:7" s="3147" customFormat="1" ht="14.25" customHeight="1">
      <c r="A281" s="3158" t="s">
        <v>306</v>
      </c>
      <c r="B281" s="3158" t="s">
        <v>3103</v>
      </c>
      <c r="C281" s="3158">
        <v>4480</v>
      </c>
      <c r="D281" s="3158">
        <v>4420</v>
      </c>
      <c r="E281" s="3158">
        <v>5230</v>
      </c>
      <c r="F281" s="3158">
        <v>870</v>
      </c>
      <c r="G281" s="3171">
        <v>2660</v>
      </c>
    </row>
    <row r="282" spans="1:7" s="3147" customFormat="1" ht="14.25" customHeight="1">
      <c r="A282" s="3158" t="s">
        <v>306</v>
      </c>
      <c r="B282" s="3158" t="s">
        <v>3104</v>
      </c>
      <c r="C282" s="3158">
        <v>5360</v>
      </c>
      <c r="D282" s="3158">
        <v>5300</v>
      </c>
      <c r="E282" s="3158">
        <v>6190</v>
      </c>
      <c r="F282" s="3158">
        <v>950</v>
      </c>
      <c r="G282" s="3171">
        <v>3190</v>
      </c>
    </row>
    <row r="283" spans="1:7" s="3147" customFormat="1" ht="14.25" customHeight="1">
      <c r="A283" s="3158" t="s">
        <v>306</v>
      </c>
      <c r="B283" s="3158" t="s">
        <v>174</v>
      </c>
      <c r="C283" s="3158">
        <v>4950</v>
      </c>
      <c r="D283" s="3158">
        <v>4900</v>
      </c>
      <c r="E283" s="3158">
        <v>5720</v>
      </c>
      <c r="F283" s="3158">
        <v>920</v>
      </c>
      <c r="G283" s="3171">
        <v>2950</v>
      </c>
    </row>
    <row r="284" spans="1:7" s="3147" customFormat="1" ht="14.25" customHeight="1">
      <c r="A284" s="3158" t="s">
        <v>306</v>
      </c>
      <c r="B284" s="3158" t="s">
        <v>182</v>
      </c>
      <c r="C284" s="3158">
        <v>5610</v>
      </c>
      <c r="D284" s="3158">
        <v>5560</v>
      </c>
      <c r="E284" s="3158">
        <v>6520</v>
      </c>
      <c r="F284" s="3158">
        <v>1030</v>
      </c>
      <c r="G284" s="3171">
        <v>3360</v>
      </c>
    </row>
    <row r="285" spans="1:7" s="3147" customFormat="1" ht="14.25" customHeight="1">
      <c r="A285" s="3158" t="s">
        <v>306</v>
      </c>
      <c r="B285" s="3158" t="s">
        <v>192</v>
      </c>
      <c r="C285" s="3158">
        <v>5340</v>
      </c>
      <c r="D285" s="3158">
        <v>5290</v>
      </c>
      <c r="E285" s="3158">
        <v>6170</v>
      </c>
      <c r="F285" s="3158">
        <v>1080</v>
      </c>
      <c r="G285" s="3171">
        <v>3180</v>
      </c>
    </row>
    <row r="286" spans="1:7" s="3147" customFormat="1" ht="14.25" customHeight="1">
      <c r="A286" s="3158" t="s">
        <v>306</v>
      </c>
      <c r="B286" s="3158" t="s">
        <v>199</v>
      </c>
      <c r="C286" s="3158">
        <v>4890</v>
      </c>
      <c r="D286" s="3158">
        <v>4840</v>
      </c>
      <c r="E286" s="3158">
        <v>5640</v>
      </c>
      <c r="F286" s="3158">
        <v>960</v>
      </c>
      <c r="G286" s="3171">
        <v>2910</v>
      </c>
    </row>
    <row r="287" spans="1:7" s="3147" customFormat="1" ht="14.25" customHeight="1">
      <c r="A287" s="3158" t="s">
        <v>306</v>
      </c>
      <c r="B287" s="3158" t="s">
        <v>3105</v>
      </c>
      <c r="C287" s="3158">
        <v>4960</v>
      </c>
      <c r="D287" s="3158">
        <v>4920</v>
      </c>
      <c r="E287" s="3158">
        <v>5730</v>
      </c>
      <c r="F287" s="3158">
        <v>930</v>
      </c>
      <c r="G287" s="3171">
        <v>2960</v>
      </c>
    </row>
    <row r="288" spans="1:7" s="3147" customFormat="1" ht="14.25" customHeight="1">
      <c r="A288" s="3158" t="s">
        <v>306</v>
      </c>
      <c r="B288" s="3158" t="s">
        <v>219</v>
      </c>
      <c r="C288" s="3158">
        <v>4350</v>
      </c>
      <c r="D288" s="3158">
        <v>4300</v>
      </c>
      <c r="E288" s="3158">
        <v>4900</v>
      </c>
      <c r="F288" s="3158">
        <v>820</v>
      </c>
      <c r="G288" s="3171">
        <v>2590</v>
      </c>
    </row>
    <row r="289" spans="1:7" s="3147" customFormat="1" ht="14.25" customHeight="1">
      <c r="A289" s="3158" t="s">
        <v>306</v>
      </c>
      <c r="B289" s="3158" t="s">
        <v>3106</v>
      </c>
      <c r="C289" s="3158">
        <v>5230</v>
      </c>
      <c r="D289" s="3158">
        <v>5170</v>
      </c>
      <c r="E289" s="3158">
        <v>6060</v>
      </c>
      <c r="F289" s="3158">
        <v>900</v>
      </c>
      <c r="G289" s="3171">
        <v>3120</v>
      </c>
    </row>
    <row r="290" spans="1:7" s="3147" customFormat="1" ht="14.25" customHeight="1">
      <c r="A290" s="3158" t="s">
        <v>306</v>
      </c>
      <c r="B290" s="3158" t="s">
        <v>242</v>
      </c>
      <c r="C290" s="3158">
        <v>5550</v>
      </c>
      <c r="D290" s="3158">
        <v>5500</v>
      </c>
      <c r="E290" s="3158">
        <v>6440</v>
      </c>
      <c r="F290" s="3158">
        <v>960</v>
      </c>
      <c r="G290" s="3171">
        <v>3320</v>
      </c>
    </row>
    <row r="291" spans="1:7" s="3147" customFormat="1" ht="14.25" customHeight="1">
      <c r="A291" s="3158" t="s">
        <v>306</v>
      </c>
      <c r="B291" s="3158" t="s">
        <v>250</v>
      </c>
      <c r="C291" s="3158">
        <v>5440</v>
      </c>
      <c r="D291" s="3158">
        <v>5400</v>
      </c>
      <c r="E291" s="3158">
        <v>6320</v>
      </c>
      <c r="F291" s="3158">
        <v>930</v>
      </c>
      <c r="G291" s="3171">
        <v>3250</v>
      </c>
    </row>
    <row r="292" spans="1:7" s="3147" customFormat="1" ht="14.25" customHeight="1">
      <c r="A292" s="3158" t="s">
        <v>306</v>
      </c>
      <c r="B292" s="3158" t="s">
        <v>256</v>
      </c>
      <c r="C292" s="3158">
        <v>5400</v>
      </c>
      <c r="D292" s="3158">
        <v>5360</v>
      </c>
      <c r="E292" s="3158">
        <v>6270</v>
      </c>
      <c r="F292" s="3158">
        <v>1040</v>
      </c>
      <c r="G292" s="3171">
        <v>3230</v>
      </c>
    </row>
    <row r="293" spans="1:7" s="3147" customFormat="1" ht="14.25" customHeight="1">
      <c r="A293" s="3158" t="s">
        <v>306</v>
      </c>
      <c r="B293" s="3158" t="s">
        <v>2881</v>
      </c>
      <c r="C293" s="3158">
        <v>5320</v>
      </c>
      <c r="D293" s="3158">
        <v>5270</v>
      </c>
      <c r="E293" s="3158">
        <v>6160</v>
      </c>
      <c r="F293" s="3158">
        <v>990</v>
      </c>
      <c r="G293" s="3171">
        <v>3170</v>
      </c>
    </row>
    <row r="294" spans="1:7" s="3147" customFormat="1" ht="14.25" customHeight="1">
      <c r="A294" s="3158" t="s">
        <v>306</v>
      </c>
      <c r="B294" s="3158" t="s">
        <v>3107</v>
      </c>
      <c r="C294" s="3158">
        <v>5260</v>
      </c>
      <c r="D294" s="3158">
        <v>5210</v>
      </c>
      <c r="E294" s="3158">
        <v>6100</v>
      </c>
      <c r="F294" s="3158">
        <v>950</v>
      </c>
      <c r="G294" s="3171">
        <v>3150</v>
      </c>
    </row>
    <row r="295" spans="1:7" s="3147" customFormat="1" ht="14.25" customHeight="1">
      <c r="A295" s="3158" t="s">
        <v>306</v>
      </c>
      <c r="B295" s="3158" t="s">
        <v>290</v>
      </c>
      <c r="C295" s="3158">
        <v>5610</v>
      </c>
      <c r="D295" s="3158">
        <v>5570</v>
      </c>
      <c r="E295" s="3158">
        <v>6530</v>
      </c>
      <c r="F295" s="3158">
        <v>960</v>
      </c>
      <c r="G295" s="3171">
        <v>3360</v>
      </c>
    </row>
    <row r="296" spans="1:7" s="3147" customFormat="1" ht="14.25" customHeight="1">
      <c r="A296" s="3158" t="s">
        <v>306</v>
      </c>
      <c r="B296" s="3158" t="s">
        <v>293</v>
      </c>
      <c r="C296" s="3158">
        <v>5540</v>
      </c>
      <c r="D296" s="3158">
        <v>5490</v>
      </c>
      <c r="E296" s="3158">
        <v>6430</v>
      </c>
      <c r="F296" s="3158">
        <v>980</v>
      </c>
      <c r="G296" s="3171">
        <v>3310</v>
      </c>
    </row>
    <row r="297" spans="1:7" s="3147" customFormat="1" ht="14.25" customHeight="1">
      <c r="A297" s="3158" t="s">
        <v>306</v>
      </c>
      <c r="B297" s="3158" t="s">
        <v>295</v>
      </c>
      <c r="C297" s="3158">
        <v>5480</v>
      </c>
      <c r="D297" s="3158">
        <v>5420</v>
      </c>
      <c r="E297" s="3158">
        <v>6370</v>
      </c>
      <c r="F297" s="3158">
        <v>990</v>
      </c>
      <c r="G297" s="3171">
        <v>3270</v>
      </c>
    </row>
    <row r="298" spans="1:7" s="3147" customFormat="1" ht="14.25" customHeight="1">
      <c r="A298" s="3158" t="s">
        <v>306</v>
      </c>
      <c r="B298" s="3158" t="s">
        <v>298</v>
      </c>
      <c r="C298" s="3158">
        <v>5090</v>
      </c>
      <c r="D298" s="3158">
        <v>5050</v>
      </c>
      <c r="E298" s="3158">
        <v>5910</v>
      </c>
      <c r="F298" s="3158">
        <v>900</v>
      </c>
      <c r="G298" s="3171">
        <v>3040</v>
      </c>
    </row>
    <row r="299" spans="1:7" s="3147" customFormat="1" ht="14.25" customHeight="1">
      <c r="A299" s="3158" t="s">
        <v>306</v>
      </c>
      <c r="B299" s="3167" t="s">
        <v>2900</v>
      </c>
      <c r="C299" s="3158">
        <v>5430</v>
      </c>
      <c r="D299" s="3158">
        <v>5380</v>
      </c>
      <c r="E299" s="3158">
        <v>6280</v>
      </c>
      <c r="F299" s="3158">
        <v>1000</v>
      </c>
      <c r="G299" s="3171">
        <v>3240</v>
      </c>
    </row>
    <row r="300" spans="1:7" s="3147" customFormat="1" ht="14.25" customHeight="1">
      <c r="A300" s="3158" t="s">
        <v>306</v>
      </c>
      <c r="B300" s="3167" t="s">
        <v>271</v>
      </c>
      <c r="C300" s="3158">
        <v>4740</v>
      </c>
      <c r="D300" s="3158">
        <v>4680</v>
      </c>
      <c r="E300" s="3158">
        <v>5450</v>
      </c>
      <c r="F300" s="3158">
        <v>900</v>
      </c>
      <c r="G300" s="3171">
        <v>2830</v>
      </c>
    </row>
    <row r="301" spans="1:7" s="3147" customFormat="1" ht="14.25" customHeight="1">
      <c r="A301" s="3158" t="s">
        <v>306</v>
      </c>
      <c r="B301" s="3167" t="s">
        <v>276</v>
      </c>
      <c r="C301" s="3158">
        <v>4870</v>
      </c>
      <c r="D301" s="3158">
        <v>4810</v>
      </c>
      <c r="E301" s="3158">
        <v>5560</v>
      </c>
      <c r="F301" s="3158">
        <v>990</v>
      </c>
      <c r="G301" s="3171">
        <v>2910</v>
      </c>
    </row>
    <row r="302" spans="1:7" s="3147" customFormat="1" ht="14.25" customHeight="1">
      <c r="A302" s="3158" t="s">
        <v>306</v>
      </c>
      <c r="B302" s="3158" t="s">
        <v>3108</v>
      </c>
      <c r="C302" s="3158">
        <v>5520</v>
      </c>
      <c r="D302" s="3158">
        <v>5470</v>
      </c>
      <c r="E302" s="3158">
        <v>6410</v>
      </c>
      <c r="F302" s="3158">
        <v>950</v>
      </c>
      <c r="G302" s="3171">
        <v>3300</v>
      </c>
    </row>
    <row r="303" spans="1:7" s="3147" customFormat="1" ht="14.25" customHeight="1">
      <c r="A303" s="3158" t="s">
        <v>306</v>
      </c>
      <c r="B303" s="3158" t="s">
        <v>2920</v>
      </c>
      <c r="C303" s="3158">
        <v>5630</v>
      </c>
      <c r="D303" s="3158">
        <v>5590</v>
      </c>
      <c r="E303" s="3158">
        <v>6550</v>
      </c>
      <c r="F303" s="3158">
        <v>1010</v>
      </c>
      <c r="G303" s="3171">
        <v>3370</v>
      </c>
    </row>
    <row r="304" spans="1:7" s="3147" customFormat="1" ht="14.25" customHeight="1">
      <c r="A304" s="3158" t="s">
        <v>306</v>
      </c>
      <c r="B304" s="3158" t="s">
        <v>2927</v>
      </c>
      <c r="C304" s="3158">
        <v>5680</v>
      </c>
      <c r="D304" s="3158">
        <v>5620</v>
      </c>
      <c r="E304" s="3158">
        <v>6620</v>
      </c>
      <c r="F304" s="3158">
        <v>1050</v>
      </c>
      <c r="G304" s="3171">
        <v>3390</v>
      </c>
    </row>
    <row r="305" spans="1:7" s="3147" customFormat="1" ht="14.25" customHeight="1">
      <c r="A305" s="3158" t="s">
        <v>306</v>
      </c>
      <c r="B305" s="3158" t="s">
        <v>2933</v>
      </c>
      <c r="C305" s="3158">
        <v>5590</v>
      </c>
      <c r="D305" s="3158">
        <v>5530</v>
      </c>
      <c r="E305" s="3158">
        <v>6460</v>
      </c>
      <c r="F305" s="3158">
        <v>900</v>
      </c>
      <c r="G305" s="3171">
        <v>3340</v>
      </c>
    </row>
    <row r="306" spans="1:7" s="3147" customFormat="1" ht="14.25" customHeight="1">
      <c r="A306" s="3158" t="s">
        <v>306</v>
      </c>
      <c r="B306" s="3158" t="s">
        <v>3109</v>
      </c>
      <c r="C306" s="3158">
        <v>5560</v>
      </c>
      <c r="D306" s="3158">
        <v>5510</v>
      </c>
      <c r="E306" s="3158">
        <v>6440</v>
      </c>
      <c r="F306" s="3158">
        <v>900</v>
      </c>
      <c r="G306" s="3171">
        <v>3320</v>
      </c>
    </row>
    <row r="307" spans="1:7" s="3147" customFormat="1" ht="14.25" customHeight="1">
      <c r="A307" s="3158" t="s">
        <v>306</v>
      </c>
      <c r="B307" s="3158" t="s">
        <v>2945</v>
      </c>
      <c r="C307" s="3158">
        <v>5650</v>
      </c>
      <c r="D307" s="3158">
        <v>5600</v>
      </c>
      <c r="E307" s="3158">
        <v>6590</v>
      </c>
      <c r="F307" s="3158">
        <v>930</v>
      </c>
      <c r="G307" s="3171">
        <v>3380</v>
      </c>
    </row>
    <row r="308" spans="1:7" s="3147" customFormat="1" ht="14.25" customHeight="1">
      <c r="A308" s="3158" t="s">
        <v>306</v>
      </c>
      <c r="B308" s="3158" t="s">
        <v>3110</v>
      </c>
      <c r="C308" s="3158">
        <v>5620</v>
      </c>
      <c r="D308" s="3158">
        <v>5580</v>
      </c>
      <c r="E308" s="3158">
        <v>6540</v>
      </c>
      <c r="F308" s="3158">
        <v>910</v>
      </c>
      <c r="G308" s="3171">
        <v>3370</v>
      </c>
    </row>
    <row r="309" spans="1:7" s="3147" customFormat="1" ht="14.25" customHeight="1">
      <c r="A309" s="3158" t="s">
        <v>306</v>
      </c>
      <c r="B309" s="3158" t="s">
        <v>3111</v>
      </c>
      <c r="C309" s="3158">
        <v>5060</v>
      </c>
      <c r="D309" s="3158">
        <v>5020</v>
      </c>
      <c r="E309" s="3158">
        <v>6370</v>
      </c>
      <c r="F309" s="3158">
        <v>800</v>
      </c>
      <c r="G309" s="3171">
        <v>3020</v>
      </c>
    </row>
    <row r="310" spans="1:7" s="3147" customFormat="1" ht="14.25" customHeight="1">
      <c r="A310" s="3158" t="s">
        <v>306</v>
      </c>
      <c r="B310" s="3158" t="s">
        <v>2960</v>
      </c>
      <c r="C310" s="3158">
        <v>5150</v>
      </c>
      <c r="D310" s="3158">
        <v>5110</v>
      </c>
      <c r="E310" s="3158">
        <v>6500</v>
      </c>
      <c r="F310" s="3158">
        <v>880</v>
      </c>
      <c r="G310" s="3171">
        <v>3080</v>
      </c>
    </row>
    <row r="311" spans="1:7" s="3147" customFormat="1" ht="14.25" customHeight="1">
      <c r="A311" s="3158" t="s">
        <v>306</v>
      </c>
      <c r="B311" s="3158" t="s">
        <v>3112</v>
      </c>
      <c r="C311" s="3158">
        <v>4750</v>
      </c>
      <c r="D311" s="3158">
        <v>4710</v>
      </c>
      <c r="E311" s="3158">
        <v>5510</v>
      </c>
      <c r="F311" s="3158">
        <v>880</v>
      </c>
      <c r="G311" s="3171">
        <v>2840</v>
      </c>
    </row>
    <row r="312" spans="1:7" s="3147" customFormat="1" ht="14.25" customHeight="1">
      <c r="A312" s="3158" t="s">
        <v>306</v>
      </c>
      <c r="B312" s="3158" t="s">
        <v>2970</v>
      </c>
      <c r="C312" s="3158">
        <v>4690</v>
      </c>
      <c r="D312" s="3158">
        <v>4640</v>
      </c>
      <c r="E312" s="3158">
        <v>5420</v>
      </c>
      <c r="F312" s="3158">
        <v>800</v>
      </c>
      <c r="G312" s="3171">
        <v>2800</v>
      </c>
    </row>
    <row r="313" spans="1:7" s="3147" customFormat="1" ht="14.25" customHeight="1">
      <c r="A313" s="3158" t="s">
        <v>306</v>
      </c>
      <c r="B313" s="3158" t="s">
        <v>2975</v>
      </c>
      <c r="C313" s="3158">
        <v>4810</v>
      </c>
      <c r="D313" s="3158">
        <v>4760</v>
      </c>
      <c r="E313" s="3158">
        <v>5550</v>
      </c>
      <c r="F313" s="3158">
        <v>920</v>
      </c>
      <c r="G313" s="3171">
        <v>2870</v>
      </c>
    </row>
    <row r="314" spans="1:7" s="3147" customFormat="1" ht="14.25" customHeight="1">
      <c r="A314" s="3158" t="s">
        <v>306</v>
      </c>
      <c r="B314" s="3158" t="s">
        <v>3113</v>
      </c>
      <c r="C314" s="3158"/>
      <c r="D314" s="3158"/>
      <c r="E314" s="3158"/>
      <c r="F314" s="3158">
        <v>1020</v>
      </c>
      <c r="G314" s="3171"/>
    </row>
    <row r="315" spans="1:7" s="3147" customFormat="1" ht="14.25" customHeight="1">
      <c r="A315" s="3158" t="s">
        <v>306</v>
      </c>
      <c r="B315" s="3158" t="s">
        <v>3114</v>
      </c>
      <c r="C315" s="3158"/>
      <c r="D315" s="3158"/>
      <c r="E315" s="3158"/>
      <c r="F315" s="3158">
        <v>1050</v>
      </c>
      <c r="G315" s="3171"/>
    </row>
    <row r="316" spans="1:7" s="3147" customFormat="1" ht="14.25" customHeight="1">
      <c r="A316" s="3158" t="s">
        <v>306</v>
      </c>
      <c r="B316" s="3158" t="s">
        <v>2990</v>
      </c>
      <c r="C316" s="3158"/>
      <c r="D316" s="3158"/>
      <c r="E316" s="3158"/>
      <c r="F316" s="3158">
        <v>900</v>
      </c>
      <c r="G316" s="3171"/>
    </row>
    <row r="317" spans="1:7" s="3147" customFormat="1" ht="14.25" customHeight="1">
      <c r="A317" s="3158" t="s">
        <v>306</v>
      </c>
      <c r="B317" s="3158" t="s">
        <v>3115</v>
      </c>
      <c r="C317" s="3158"/>
      <c r="D317" s="3158"/>
      <c r="E317" s="3158"/>
      <c r="F317" s="3158">
        <v>920</v>
      </c>
      <c r="G317" s="3171"/>
    </row>
    <row r="318" spans="1:7" s="3147" customFormat="1" ht="14.25" customHeight="1">
      <c r="A318" s="3158" t="s">
        <v>306</v>
      </c>
      <c r="B318" s="3158" t="s">
        <v>3116</v>
      </c>
      <c r="C318" s="3158"/>
      <c r="D318" s="3158"/>
      <c r="E318" s="3158"/>
      <c r="F318" s="3158">
        <v>1080</v>
      </c>
      <c r="G318" s="3171"/>
    </row>
    <row r="319" spans="1:7" s="3147" customFormat="1" ht="14.25" customHeight="1">
      <c r="A319" s="3158" t="s">
        <v>306</v>
      </c>
      <c r="B319" s="3158" t="s">
        <v>3003</v>
      </c>
      <c r="C319" s="3158"/>
      <c r="D319" s="3158"/>
      <c r="E319" s="3158"/>
      <c r="F319" s="3158">
        <v>1020</v>
      </c>
      <c r="G319" s="3171"/>
    </row>
    <row r="320" spans="1:7" s="3147" customFormat="1" ht="14.25" customHeight="1">
      <c r="A320" s="3158" t="s">
        <v>306</v>
      </c>
      <c r="B320" s="3158" t="s">
        <v>3006</v>
      </c>
      <c r="C320" s="3158"/>
      <c r="D320" s="3158"/>
      <c r="E320" s="3158"/>
      <c r="F320" s="3158">
        <v>1050</v>
      </c>
      <c r="G320" s="3171"/>
    </row>
    <row r="321" spans="1:7" s="3147" customFormat="1" ht="14.25" customHeight="1">
      <c r="A321" s="3158" t="s">
        <v>306</v>
      </c>
      <c r="B321" s="3158" t="s">
        <v>3008</v>
      </c>
      <c r="C321" s="3158"/>
      <c r="D321" s="3158"/>
      <c r="E321" s="3158"/>
      <c r="F321" s="3158">
        <v>960</v>
      </c>
      <c r="G321" s="3171"/>
    </row>
    <row r="322" spans="1:7" s="3147" customFormat="1" ht="14.25" customHeight="1">
      <c r="A322" s="3158" t="s">
        <v>306</v>
      </c>
      <c r="B322" s="3158" t="s">
        <v>3010</v>
      </c>
      <c r="C322" s="3158"/>
      <c r="D322" s="3158"/>
      <c r="E322" s="3158"/>
      <c r="F322" s="3158">
        <v>960</v>
      </c>
      <c r="G322" s="3171"/>
    </row>
    <row r="323" spans="1:7" s="3147" customFormat="1" ht="14.25" customHeight="1">
      <c r="A323" s="3158" t="s">
        <v>306</v>
      </c>
      <c r="B323" s="3158" t="s">
        <v>3012</v>
      </c>
      <c r="C323" s="3158"/>
      <c r="D323" s="3158"/>
      <c r="E323" s="3158"/>
      <c r="F323" s="3158">
        <v>880</v>
      </c>
      <c r="G323" s="3171"/>
    </row>
    <row r="324" spans="1:7" s="3147" customFormat="1" ht="14.25" customHeight="1">
      <c r="A324" s="3158" t="s">
        <v>306</v>
      </c>
      <c r="B324" s="3158" t="s">
        <v>3014</v>
      </c>
      <c r="C324" s="3158"/>
      <c r="D324" s="3158"/>
      <c r="E324" s="3158"/>
      <c r="F324" s="3158">
        <v>930</v>
      </c>
      <c r="G324" s="3171"/>
    </row>
    <row r="325" spans="1:7" s="3147" customFormat="1" ht="14.25" customHeight="1">
      <c r="A325" s="3158" t="s">
        <v>306</v>
      </c>
      <c r="B325" s="3159" t="s">
        <v>3016</v>
      </c>
      <c r="C325" s="3158"/>
      <c r="D325" s="3158"/>
      <c r="E325" s="3158"/>
      <c r="F325" s="3158">
        <v>900</v>
      </c>
      <c r="G325" s="3171"/>
    </row>
    <row r="326" spans="1:7" s="3147" customFormat="1" ht="14.25" customHeight="1" thickBot="1">
      <c r="A326" s="3172" t="s">
        <v>306</v>
      </c>
      <c r="B326" s="3165" t="s">
        <v>3018</v>
      </c>
      <c r="C326" s="3165"/>
      <c r="D326" s="3165"/>
      <c r="E326" s="3165"/>
      <c r="F326" s="3165">
        <v>790</v>
      </c>
      <c r="G326" s="3173"/>
    </row>
    <row r="327" spans="1:7" s="3147" customFormat="1" ht="14.25" customHeight="1">
      <c r="A327" s="3163" t="s">
        <v>307</v>
      </c>
      <c r="B327" s="3154" t="s">
        <v>3117</v>
      </c>
      <c r="C327" s="3158">
        <v>3750</v>
      </c>
      <c r="D327" s="3158">
        <v>3710</v>
      </c>
      <c r="E327" s="3158">
        <v>4080</v>
      </c>
      <c r="F327" s="3158">
        <v>860</v>
      </c>
      <c r="G327" s="3158">
        <v>2210</v>
      </c>
    </row>
    <row r="328" spans="1:7" s="3147" customFormat="1" ht="14.25" customHeight="1">
      <c r="A328" s="3158" t="s">
        <v>307</v>
      </c>
      <c r="B328" s="3158" t="s">
        <v>136</v>
      </c>
      <c r="C328" s="3158">
        <v>3330</v>
      </c>
      <c r="D328" s="3158">
        <v>3290</v>
      </c>
      <c r="E328" s="3158">
        <v>3610</v>
      </c>
      <c r="F328" s="3158">
        <v>850</v>
      </c>
      <c r="G328" s="3158">
        <v>1960</v>
      </c>
    </row>
    <row r="329" spans="1:7" s="3147" customFormat="1" ht="14.25" customHeight="1">
      <c r="A329" s="3158" t="s">
        <v>307</v>
      </c>
      <c r="B329" s="3158" t="s">
        <v>3118</v>
      </c>
      <c r="C329" s="3158">
        <v>2730</v>
      </c>
      <c r="D329" s="3158">
        <v>2690</v>
      </c>
      <c r="E329" s="3158">
        <v>3100</v>
      </c>
      <c r="F329" s="3158">
        <v>660</v>
      </c>
      <c r="G329" s="3158">
        <v>1610</v>
      </c>
    </row>
    <row r="330" spans="1:7" s="3147" customFormat="1" ht="14.25" customHeight="1">
      <c r="A330" s="3158" t="s">
        <v>307</v>
      </c>
      <c r="B330" s="3158" t="s">
        <v>3119</v>
      </c>
      <c r="C330" s="3158">
        <v>3270</v>
      </c>
      <c r="D330" s="3158">
        <v>3240</v>
      </c>
      <c r="E330" s="3158">
        <v>3560</v>
      </c>
      <c r="F330" s="3158">
        <v>680</v>
      </c>
      <c r="G330" s="3158">
        <v>1940</v>
      </c>
    </row>
    <row r="331" spans="1:7" s="3147" customFormat="1" ht="14.25" customHeight="1">
      <c r="A331" s="3158" t="s">
        <v>307</v>
      </c>
      <c r="B331" s="3158" t="s">
        <v>161</v>
      </c>
      <c r="C331" s="3158">
        <v>3770</v>
      </c>
      <c r="D331" s="3158">
        <v>3740</v>
      </c>
      <c r="E331" s="3158">
        <v>4110</v>
      </c>
      <c r="F331" s="3158">
        <v>730</v>
      </c>
      <c r="G331" s="3158">
        <v>2230</v>
      </c>
    </row>
    <row r="332" spans="1:7" s="3147" customFormat="1" ht="14.25" customHeight="1">
      <c r="A332" s="3158" t="s">
        <v>307</v>
      </c>
      <c r="B332" s="3158" t="s">
        <v>2852</v>
      </c>
      <c r="C332" s="3158">
        <v>3520</v>
      </c>
      <c r="D332" s="3158">
        <v>3480</v>
      </c>
      <c r="E332" s="3158">
        <v>3830</v>
      </c>
      <c r="F332" s="3158">
        <v>720</v>
      </c>
      <c r="G332" s="3158">
        <v>2090</v>
      </c>
    </row>
    <row r="333" spans="1:7" s="3147" customFormat="1" ht="14.25" customHeight="1">
      <c r="A333" s="3158" t="s">
        <v>307</v>
      </c>
      <c r="B333" s="3158" t="s">
        <v>3120</v>
      </c>
      <c r="C333" s="3158">
        <v>3840</v>
      </c>
      <c r="D333" s="3158">
        <v>3800</v>
      </c>
      <c r="E333" s="3158">
        <v>4200</v>
      </c>
      <c r="F333" s="3158">
        <v>760</v>
      </c>
      <c r="G333" s="3158">
        <v>2270</v>
      </c>
    </row>
    <row r="334" spans="1:7" s="3147" customFormat="1" ht="14.25" customHeight="1">
      <c r="A334" s="3158" t="s">
        <v>307</v>
      </c>
      <c r="B334" s="3158" t="s">
        <v>183</v>
      </c>
      <c r="C334" s="3158">
        <v>3960</v>
      </c>
      <c r="D334" s="3158">
        <v>3910</v>
      </c>
      <c r="E334" s="3158">
        <v>4340</v>
      </c>
      <c r="F334" s="3158">
        <v>780</v>
      </c>
      <c r="G334" s="3158">
        <v>2340</v>
      </c>
    </row>
    <row r="335" spans="1:7" s="3147" customFormat="1" ht="14.25" customHeight="1">
      <c r="A335" s="3158" t="s">
        <v>307</v>
      </c>
      <c r="B335" s="3158" t="s">
        <v>193</v>
      </c>
      <c r="C335" s="3158">
        <v>3710</v>
      </c>
      <c r="D335" s="3158">
        <v>3670</v>
      </c>
      <c r="E335" s="3158">
        <v>4030</v>
      </c>
      <c r="F335" s="3158">
        <v>750</v>
      </c>
      <c r="G335" s="3158">
        <v>2200</v>
      </c>
    </row>
    <row r="336" spans="1:7" s="3147" customFormat="1" ht="14.25" customHeight="1">
      <c r="A336" s="3158" t="s">
        <v>307</v>
      </c>
      <c r="B336" s="3158" t="s">
        <v>2862</v>
      </c>
      <c r="C336" s="3158">
        <v>3570</v>
      </c>
      <c r="D336" s="3158">
        <v>3530</v>
      </c>
      <c r="E336" s="3158">
        <v>3880</v>
      </c>
      <c r="F336" s="3158">
        <v>770</v>
      </c>
      <c r="G336" s="3158">
        <v>2110</v>
      </c>
    </row>
    <row r="337" spans="1:10" s="3147" customFormat="1" ht="14.25" customHeight="1">
      <c r="A337" s="3158" t="s">
        <v>307</v>
      </c>
      <c r="B337" s="3158" t="s">
        <v>3121</v>
      </c>
      <c r="C337" s="3158">
        <v>3780</v>
      </c>
      <c r="D337" s="3158">
        <v>3750</v>
      </c>
      <c r="E337" s="3158">
        <v>4130</v>
      </c>
      <c r="F337" s="3158">
        <v>750</v>
      </c>
      <c r="G337" s="3158">
        <v>2240</v>
      </c>
    </row>
    <row r="338" spans="1:10" s="3147" customFormat="1" ht="14.25" customHeight="1">
      <c r="A338" s="3158" t="s">
        <v>307</v>
      </c>
      <c r="B338" s="3158" t="s">
        <v>220</v>
      </c>
      <c r="C338" s="3158">
        <v>3600</v>
      </c>
      <c r="D338" s="3158">
        <v>3570</v>
      </c>
      <c r="E338" s="3158">
        <v>3920</v>
      </c>
      <c r="F338" s="3158">
        <v>790</v>
      </c>
      <c r="G338" s="3158">
        <v>2140</v>
      </c>
    </row>
    <row r="339" spans="1:10" s="3147" customFormat="1" ht="14.25" customHeight="1">
      <c r="A339" s="3158" t="s">
        <v>307</v>
      </c>
      <c r="B339" s="3158" t="s">
        <v>228</v>
      </c>
      <c r="C339" s="3158">
        <v>3540</v>
      </c>
      <c r="D339" s="3158">
        <v>3500</v>
      </c>
      <c r="E339" s="3158">
        <v>3850</v>
      </c>
      <c r="F339" s="3158">
        <v>780</v>
      </c>
      <c r="G339" s="3158">
        <v>2100</v>
      </c>
    </row>
    <row r="340" spans="1:10" s="3147" customFormat="1" ht="14.25" customHeight="1">
      <c r="A340" s="3158" t="s">
        <v>307</v>
      </c>
      <c r="B340" s="3158" t="s">
        <v>3122</v>
      </c>
      <c r="C340" s="3158">
        <v>3850</v>
      </c>
      <c r="D340" s="3158">
        <v>3810</v>
      </c>
      <c r="E340" s="3158">
        <v>4210</v>
      </c>
      <c r="F340" s="3158">
        <v>750</v>
      </c>
      <c r="G340" s="3158">
        <v>2280</v>
      </c>
    </row>
    <row r="341" spans="1:10" s="3147" customFormat="1" ht="14.25" customHeight="1">
      <c r="A341" s="3158" t="s">
        <v>307</v>
      </c>
      <c r="B341" s="3158" t="s">
        <v>207</v>
      </c>
      <c r="C341" s="3158">
        <v>3780</v>
      </c>
      <c r="D341" s="3158">
        <v>3750</v>
      </c>
      <c r="E341" s="3158">
        <v>4140</v>
      </c>
      <c r="F341" s="3158">
        <v>720</v>
      </c>
      <c r="G341" s="3158">
        <v>2240</v>
      </c>
    </row>
    <row r="342" spans="1:10" s="3147" customFormat="1" ht="14.25" customHeight="1">
      <c r="A342" s="3158" t="s">
        <v>307</v>
      </c>
      <c r="B342" s="3158" t="s">
        <v>3123</v>
      </c>
      <c r="C342" s="3158">
        <v>3670</v>
      </c>
      <c r="D342" s="3158">
        <v>3620</v>
      </c>
      <c r="E342" s="3158">
        <v>3990</v>
      </c>
      <c r="F342" s="3158">
        <v>760</v>
      </c>
      <c r="G342" s="3158">
        <v>2170</v>
      </c>
    </row>
    <row r="343" spans="1:10" s="3147" customFormat="1" ht="14.25" customHeight="1">
      <c r="A343" s="3158" t="s">
        <v>307</v>
      </c>
      <c r="B343" s="3158" t="s">
        <v>257</v>
      </c>
      <c r="C343" s="3158">
        <v>3760</v>
      </c>
      <c r="D343" s="3158">
        <v>3720</v>
      </c>
      <c r="E343" s="3158">
        <v>4090</v>
      </c>
      <c r="F343" s="3158">
        <v>780</v>
      </c>
      <c r="G343" s="3158">
        <v>2220</v>
      </c>
    </row>
    <row r="344" spans="1:10" s="3147" customFormat="1" ht="14.25" customHeight="1">
      <c r="A344" s="3158" t="s">
        <v>307</v>
      </c>
      <c r="B344" s="3158" t="s">
        <v>265</v>
      </c>
      <c r="C344" s="3158">
        <v>3680</v>
      </c>
      <c r="D344" s="3158">
        <v>3640</v>
      </c>
      <c r="E344" s="3158">
        <v>4010</v>
      </c>
      <c r="F344" s="3158">
        <v>750</v>
      </c>
      <c r="G344" s="3158">
        <v>2180</v>
      </c>
    </row>
    <row r="345" spans="1:10">
      <c r="A345" s="3158" t="s">
        <v>307</v>
      </c>
      <c r="B345" s="3158" t="s">
        <v>2887</v>
      </c>
      <c r="C345" s="3158">
        <v>3190</v>
      </c>
      <c r="D345" s="3158">
        <v>3140</v>
      </c>
      <c r="E345" s="3158">
        <v>3450</v>
      </c>
      <c r="F345" s="3158">
        <v>720</v>
      </c>
      <c r="G345" s="3158">
        <v>1880</v>
      </c>
      <c r="J345" s="3147"/>
    </row>
    <row r="346" spans="1:10">
      <c r="A346" s="3158" t="s">
        <v>307</v>
      </c>
      <c r="B346" s="3158" t="s">
        <v>3124</v>
      </c>
      <c r="C346" s="3158">
        <v>3630</v>
      </c>
      <c r="D346" s="3158">
        <v>3590</v>
      </c>
      <c r="E346" s="3158">
        <v>3940</v>
      </c>
      <c r="F346" s="3158">
        <v>730</v>
      </c>
      <c r="G346" s="3158">
        <v>2150</v>
      </c>
      <c r="J346" s="3147"/>
    </row>
    <row r="347" spans="1:10">
      <c r="A347" s="3158" t="s">
        <v>307</v>
      </c>
      <c r="B347" s="3158" t="s">
        <v>243</v>
      </c>
      <c r="C347" s="3158">
        <v>3860</v>
      </c>
      <c r="D347" s="3158">
        <v>3820</v>
      </c>
      <c r="E347" s="3158">
        <v>4220</v>
      </c>
      <c r="F347" s="3158">
        <v>750</v>
      </c>
      <c r="G347" s="3158">
        <v>2280</v>
      </c>
      <c r="J347" s="3147"/>
    </row>
    <row r="348" spans="1:10">
      <c r="A348" s="3158" t="s">
        <v>307</v>
      </c>
      <c r="B348" s="3158" t="s">
        <v>2896</v>
      </c>
      <c r="C348" s="3158">
        <v>4000</v>
      </c>
      <c r="D348" s="3158">
        <v>3950</v>
      </c>
      <c r="E348" s="3158">
        <v>4430</v>
      </c>
      <c r="F348" s="3158">
        <v>760</v>
      </c>
      <c r="G348" s="3158">
        <v>2360</v>
      </c>
      <c r="J348" s="3147"/>
    </row>
    <row r="349" spans="1:10">
      <c r="A349" s="3158" t="s">
        <v>307</v>
      </c>
      <c r="B349" s="3158" t="s">
        <v>2901</v>
      </c>
      <c r="C349" s="3158">
        <v>3820</v>
      </c>
      <c r="D349" s="3158">
        <v>3780</v>
      </c>
      <c r="E349" s="3158">
        <v>4170</v>
      </c>
      <c r="F349" s="3158">
        <v>710</v>
      </c>
      <c r="G349" s="3158">
        <v>2260</v>
      </c>
      <c r="J349" s="3147"/>
    </row>
    <row r="350" spans="1:10">
      <c r="A350" s="3158" t="s">
        <v>307</v>
      </c>
      <c r="B350" s="3158" t="s">
        <v>3125</v>
      </c>
      <c r="C350" s="3158">
        <v>3760</v>
      </c>
      <c r="D350" s="3158">
        <v>3730</v>
      </c>
      <c r="E350" s="3158">
        <v>4100</v>
      </c>
      <c r="F350" s="3158">
        <v>800</v>
      </c>
      <c r="G350" s="3158">
        <v>2230</v>
      </c>
      <c r="J350" s="3147"/>
    </row>
    <row r="351" spans="1:10">
      <c r="A351" s="3158" t="s">
        <v>307</v>
      </c>
      <c r="B351" s="3158" t="s">
        <v>2909</v>
      </c>
      <c r="C351" s="3158">
        <v>3610</v>
      </c>
      <c r="D351" s="3158">
        <v>3580</v>
      </c>
      <c r="E351" s="3158">
        <v>3930</v>
      </c>
      <c r="F351" s="3158">
        <v>700</v>
      </c>
      <c r="G351" s="3158">
        <v>2140</v>
      </c>
      <c r="J351" s="3147"/>
    </row>
    <row r="352" spans="1:10">
      <c r="A352" s="3158" t="s">
        <v>307</v>
      </c>
      <c r="B352" s="3158" t="s">
        <v>2914</v>
      </c>
      <c r="C352" s="3158">
        <v>3670</v>
      </c>
      <c r="D352" s="3158">
        <v>3630</v>
      </c>
      <c r="E352" s="3158">
        <v>4000</v>
      </c>
      <c r="F352" s="3158">
        <v>750</v>
      </c>
      <c r="G352" s="3158">
        <v>2180</v>
      </c>
    </row>
    <row r="353" spans="1:7" s="3151" customFormat="1">
      <c r="A353" s="3158" t="s">
        <v>307</v>
      </c>
      <c r="B353" s="3158" t="s">
        <v>3126</v>
      </c>
      <c r="C353" s="3158">
        <v>3190</v>
      </c>
      <c r="D353" s="3158">
        <v>3150</v>
      </c>
      <c r="E353" s="3158">
        <v>3640</v>
      </c>
      <c r="F353" s="3158">
        <v>630</v>
      </c>
      <c r="G353" s="3158">
        <v>1890</v>
      </c>
    </row>
    <row r="354" spans="1:7" s="3151" customFormat="1">
      <c r="A354" s="3158" t="s">
        <v>307</v>
      </c>
      <c r="B354" s="3158" t="s">
        <v>280</v>
      </c>
      <c r="C354" s="3158">
        <v>3450</v>
      </c>
      <c r="D354" s="3158">
        <v>3420</v>
      </c>
      <c r="E354" s="3158">
        <v>3960</v>
      </c>
      <c r="F354" s="3158">
        <v>660</v>
      </c>
      <c r="G354" s="3158">
        <v>2050</v>
      </c>
    </row>
    <row r="355" spans="1:7" s="3151" customFormat="1">
      <c r="A355" s="3158" t="s">
        <v>307</v>
      </c>
      <c r="B355" s="3158" t="s">
        <v>2934</v>
      </c>
      <c r="C355" s="3158">
        <v>3650</v>
      </c>
      <c r="D355" s="3158">
        <v>3610</v>
      </c>
      <c r="E355" s="3158">
        <v>4200</v>
      </c>
      <c r="F355" s="3158">
        <v>640</v>
      </c>
      <c r="G355" s="3158">
        <v>2160</v>
      </c>
    </row>
    <row r="356" spans="1:7" s="3151" customFormat="1">
      <c r="A356" s="3158" t="s">
        <v>307</v>
      </c>
      <c r="B356" s="3158" t="s">
        <v>2941</v>
      </c>
      <c r="C356" s="3158">
        <v>3260</v>
      </c>
      <c r="D356" s="3158">
        <v>3230</v>
      </c>
      <c r="E356" s="3158">
        <v>3740</v>
      </c>
      <c r="F356" s="3158">
        <v>600</v>
      </c>
      <c r="G356" s="3158">
        <v>1930</v>
      </c>
    </row>
    <row r="357" spans="1:7" s="3151" customFormat="1" ht="12" thickBot="1">
      <c r="A357" s="3166" t="s">
        <v>307</v>
      </c>
      <c r="B357" s="3169" t="s">
        <v>3127</v>
      </c>
      <c r="C357" s="3169">
        <v>3690</v>
      </c>
      <c r="D357" s="3169">
        <v>3650</v>
      </c>
      <c r="E357" s="3169">
        <v>4020</v>
      </c>
      <c r="F357" s="3169">
        <v>700</v>
      </c>
      <c r="G357" s="3169">
        <v>2190</v>
      </c>
    </row>
    <row r="358" spans="1:7" s="3151" customFormat="1">
      <c r="A358" s="3163" t="s">
        <v>3128</v>
      </c>
      <c r="B358" s="3154" t="s">
        <v>3129</v>
      </c>
      <c r="C358" s="3154">
        <v>2080</v>
      </c>
      <c r="D358" s="3154">
        <v>2040</v>
      </c>
      <c r="E358" s="3154">
        <v>2010</v>
      </c>
      <c r="F358" s="3154">
        <v>530</v>
      </c>
      <c r="G358" s="3170">
        <v>1230</v>
      </c>
    </row>
    <row r="359" spans="1:7" s="3151" customFormat="1">
      <c r="A359" s="3158" t="s">
        <v>3128</v>
      </c>
      <c r="B359" s="3158" t="s">
        <v>3130</v>
      </c>
      <c r="C359" s="3158">
        <v>1850</v>
      </c>
      <c r="D359" s="3158">
        <v>1820</v>
      </c>
      <c r="E359" s="3158">
        <v>1780</v>
      </c>
      <c r="F359" s="3158">
        <v>520</v>
      </c>
      <c r="G359" s="3171">
        <v>1100</v>
      </c>
    </row>
    <row r="360" spans="1:7" s="3151" customFormat="1">
      <c r="A360" s="3158" t="s">
        <v>3128</v>
      </c>
      <c r="B360" s="3158" t="s">
        <v>3131</v>
      </c>
      <c r="C360" s="3158">
        <v>2020</v>
      </c>
      <c r="D360" s="3158">
        <v>1990</v>
      </c>
      <c r="E360" s="3158">
        <v>1950</v>
      </c>
      <c r="F360" s="3158">
        <v>500</v>
      </c>
      <c r="G360" s="3171">
        <v>1200</v>
      </c>
    </row>
    <row r="361" spans="1:7" s="3151" customFormat="1">
      <c r="A361" s="3158" t="s">
        <v>3128</v>
      </c>
      <c r="B361" s="3158" t="s">
        <v>153</v>
      </c>
      <c r="C361" s="3158">
        <v>2260</v>
      </c>
      <c r="D361" s="3158">
        <v>2220</v>
      </c>
      <c r="E361" s="3158">
        <v>2180</v>
      </c>
      <c r="F361" s="3158">
        <v>580</v>
      </c>
      <c r="G361" s="3171">
        <v>1340</v>
      </c>
    </row>
    <row r="362" spans="1:7" s="3151" customFormat="1">
      <c r="A362" s="3158" t="s">
        <v>3128</v>
      </c>
      <c r="B362" s="3158" t="s">
        <v>3132</v>
      </c>
      <c r="C362" s="3158">
        <v>2650</v>
      </c>
      <c r="D362" s="3158">
        <v>2610</v>
      </c>
      <c r="E362" s="3158">
        <v>2570</v>
      </c>
      <c r="F362" s="3158">
        <v>630</v>
      </c>
      <c r="G362" s="3171">
        <v>1570</v>
      </c>
    </row>
    <row r="363" spans="1:7" s="3151" customFormat="1">
      <c r="A363" s="3158" t="s">
        <v>3128</v>
      </c>
      <c r="B363" s="3158" t="s">
        <v>2853</v>
      </c>
      <c r="C363" s="3158">
        <v>2390</v>
      </c>
      <c r="D363" s="3158">
        <v>2360</v>
      </c>
      <c r="E363" s="3158">
        <v>2320</v>
      </c>
      <c r="F363" s="3158">
        <v>600</v>
      </c>
      <c r="G363" s="3171">
        <v>1420</v>
      </c>
    </row>
    <row r="364" spans="1:7" s="3151" customFormat="1">
      <c r="A364" s="3158" t="s">
        <v>3128</v>
      </c>
      <c r="B364" s="3158" t="s">
        <v>3133</v>
      </c>
      <c r="C364" s="3158">
        <v>2050</v>
      </c>
      <c r="D364" s="3158">
        <v>2030</v>
      </c>
      <c r="E364" s="3158">
        <v>1990</v>
      </c>
      <c r="F364" s="3158">
        <v>550</v>
      </c>
      <c r="G364" s="3171">
        <v>1220</v>
      </c>
    </row>
    <row r="365" spans="1:7" s="3151" customFormat="1">
      <c r="A365" s="3158" t="s">
        <v>3128</v>
      </c>
      <c r="B365" s="3158" t="s">
        <v>200</v>
      </c>
      <c r="C365" s="3158">
        <v>2140</v>
      </c>
      <c r="D365" s="3158">
        <v>2100</v>
      </c>
      <c r="E365" s="3158">
        <v>2060</v>
      </c>
      <c r="F365" s="3158">
        <v>540</v>
      </c>
      <c r="G365" s="3171">
        <v>1270</v>
      </c>
    </row>
    <row r="366" spans="1:7" s="3151" customFormat="1">
      <c r="A366" s="3158" t="s">
        <v>3128</v>
      </c>
      <c r="B366" s="3158" t="s">
        <v>2860</v>
      </c>
      <c r="C366" s="3158">
        <v>2410</v>
      </c>
      <c r="D366" s="3158">
        <v>2370</v>
      </c>
      <c r="E366" s="3158">
        <v>2330</v>
      </c>
      <c r="F366" s="3158">
        <v>570</v>
      </c>
      <c r="G366" s="3171">
        <v>1440</v>
      </c>
    </row>
    <row r="367" spans="1:7" s="3151" customFormat="1">
      <c r="A367" s="3158" t="s">
        <v>3128</v>
      </c>
      <c r="B367" s="3158" t="s">
        <v>3134</v>
      </c>
      <c r="C367" s="3158">
        <v>2300</v>
      </c>
      <c r="D367" s="3158">
        <v>2260</v>
      </c>
      <c r="E367" s="3158">
        <v>2220</v>
      </c>
      <c r="F367" s="3158">
        <v>560</v>
      </c>
      <c r="G367" s="3171">
        <v>1370</v>
      </c>
    </row>
    <row r="368" spans="1:7" s="3151" customFormat="1">
      <c r="A368" s="3158" t="s">
        <v>3128</v>
      </c>
      <c r="B368" s="3158" t="s">
        <v>3135</v>
      </c>
      <c r="C368" s="3158">
        <v>2430</v>
      </c>
      <c r="D368" s="3158">
        <v>2390</v>
      </c>
      <c r="E368" s="3158">
        <v>2350</v>
      </c>
      <c r="F368" s="3158">
        <v>570</v>
      </c>
      <c r="G368" s="3171">
        <v>1450</v>
      </c>
    </row>
    <row r="369" spans="1:7" s="3151" customFormat="1">
      <c r="A369" s="3158" t="s">
        <v>3128</v>
      </c>
      <c r="B369" s="3158" t="s">
        <v>214</v>
      </c>
      <c r="C369" s="3158">
        <v>2320</v>
      </c>
      <c r="D369" s="3158">
        <v>2290</v>
      </c>
      <c r="E369" s="3158">
        <v>2250</v>
      </c>
      <c r="F369" s="3158">
        <v>550</v>
      </c>
      <c r="G369" s="3171">
        <v>1380</v>
      </c>
    </row>
    <row r="370" spans="1:7" s="3151" customFormat="1">
      <c r="A370" s="3158" t="s">
        <v>3128</v>
      </c>
      <c r="B370" s="3158" t="s">
        <v>221</v>
      </c>
      <c r="C370" s="3158">
        <v>2190</v>
      </c>
      <c r="D370" s="3158">
        <v>2170</v>
      </c>
      <c r="E370" s="3158">
        <v>2130</v>
      </c>
      <c r="F370" s="3158">
        <v>530</v>
      </c>
      <c r="G370" s="3171">
        <v>1310</v>
      </c>
    </row>
    <row r="371" spans="1:7" s="3151" customFormat="1">
      <c r="A371" s="3158" t="s">
        <v>3128</v>
      </c>
      <c r="B371" s="3158" t="s">
        <v>229</v>
      </c>
      <c r="C371" s="3158">
        <v>2460</v>
      </c>
      <c r="D371" s="3158">
        <v>2420</v>
      </c>
      <c r="E371" s="3158">
        <v>2370</v>
      </c>
      <c r="F371" s="3158">
        <v>560</v>
      </c>
      <c r="G371" s="3171">
        <v>1470</v>
      </c>
    </row>
    <row r="372" spans="1:7" s="3151" customFormat="1">
      <c r="A372" s="3158" t="s">
        <v>3128</v>
      </c>
      <c r="B372" s="3158" t="s">
        <v>3136</v>
      </c>
      <c r="C372" s="3158">
        <v>2250</v>
      </c>
      <c r="D372" s="3158">
        <v>2210</v>
      </c>
      <c r="E372" s="3158">
        <v>2180</v>
      </c>
      <c r="F372" s="3158">
        <v>550</v>
      </c>
      <c r="G372" s="3171">
        <v>1340</v>
      </c>
    </row>
    <row r="373" spans="1:7" s="3151" customFormat="1">
      <c r="A373" s="3158" t="s">
        <v>3128</v>
      </c>
      <c r="B373" s="3158" t="s">
        <v>258</v>
      </c>
      <c r="C373" s="3158">
        <v>2210</v>
      </c>
      <c r="D373" s="3158">
        <v>2190</v>
      </c>
      <c r="E373" s="3158">
        <v>2150</v>
      </c>
      <c r="F373" s="3158">
        <v>530</v>
      </c>
      <c r="G373" s="3171">
        <v>1320</v>
      </c>
    </row>
    <row r="374" spans="1:7" s="3151" customFormat="1">
      <c r="A374" s="3158" t="s">
        <v>3128</v>
      </c>
      <c r="B374" s="3158" t="s">
        <v>266</v>
      </c>
      <c r="C374" s="3158">
        <v>2320</v>
      </c>
      <c r="D374" s="3158">
        <v>2280</v>
      </c>
      <c r="E374" s="3158">
        <v>2230</v>
      </c>
      <c r="F374" s="3158">
        <v>580</v>
      </c>
      <c r="G374" s="3171">
        <v>1380</v>
      </c>
    </row>
    <row r="375" spans="1:7" s="3151" customFormat="1">
      <c r="A375" s="3158" t="s">
        <v>3128</v>
      </c>
      <c r="B375" s="3158" t="s">
        <v>3137</v>
      </c>
      <c r="C375" s="3158">
        <v>2090</v>
      </c>
      <c r="D375" s="3158">
        <v>2050</v>
      </c>
      <c r="E375" s="3158">
        <v>2020</v>
      </c>
      <c r="F375" s="3158">
        <v>520</v>
      </c>
      <c r="G375" s="3171">
        <v>1240</v>
      </c>
    </row>
    <row r="376" spans="1:7" s="3151" customFormat="1">
      <c r="A376" s="3158" t="s">
        <v>3128</v>
      </c>
      <c r="B376" s="3158" t="s">
        <v>277</v>
      </c>
      <c r="C376" s="3158">
        <v>2010</v>
      </c>
      <c r="D376" s="3158">
        <v>1980</v>
      </c>
      <c r="E376" s="3158">
        <v>1940</v>
      </c>
      <c r="F376" s="3158">
        <v>540</v>
      </c>
      <c r="G376" s="3171">
        <v>1190</v>
      </c>
    </row>
    <row r="377" spans="1:7" s="3151" customFormat="1" ht="12" thickBot="1">
      <c r="A377" s="3166" t="s">
        <v>3128</v>
      </c>
      <c r="B377" s="3169" t="s">
        <v>2890</v>
      </c>
      <c r="C377" s="3169">
        <v>1930</v>
      </c>
      <c r="D377" s="3169">
        <v>1890</v>
      </c>
      <c r="E377" s="3169">
        <v>1860</v>
      </c>
      <c r="F377" s="3169">
        <v>530</v>
      </c>
      <c r="G377" s="3174">
        <v>1150</v>
      </c>
    </row>
    <row r="378" spans="1:7" s="3151" customFormat="1">
      <c r="A378" s="3175" t="s">
        <v>3138</v>
      </c>
      <c r="B378" s="3154" t="s">
        <v>3139</v>
      </c>
      <c r="C378" s="3154">
        <v>1520</v>
      </c>
      <c r="D378" s="3154">
        <v>1490</v>
      </c>
      <c r="E378" s="3154">
        <v>1460</v>
      </c>
      <c r="F378" s="3154">
        <v>460</v>
      </c>
      <c r="G378" s="3170">
        <v>940</v>
      </c>
    </row>
    <row r="379" spans="1:7" s="3151" customFormat="1">
      <c r="A379" s="3176" t="s">
        <v>3138</v>
      </c>
      <c r="B379" s="3158" t="s">
        <v>3140</v>
      </c>
      <c r="C379" s="3158">
        <v>1500</v>
      </c>
      <c r="D379" s="3158">
        <v>1470</v>
      </c>
      <c r="E379" s="3158">
        <v>1430</v>
      </c>
      <c r="F379" s="3158">
        <v>460</v>
      </c>
      <c r="G379" s="3171">
        <v>920</v>
      </c>
    </row>
    <row r="380" spans="1:7" s="3151" customFormat="1">
      <c r="A380" s="3176" t="s">
        <v>3138</v>
      </c>
      <c r="B380" s="3158" t="s">
        <v>3141</v>
      </c>
      <c r="C380" s="3158">
        <v>1620</v>
      </c>
      <c r="D380" s="3158">
        <v>1590</v>
      </c>
      <c r="E380" s="3158">
        <v>1560</v>
      </c>
      <c r="F380" s="3158">
        <v>480</v>
      </c>
      <c r="G380" s="3171">
        <v>1000</v>
      </c>
    </row>
    <row r="381" spans="1:7" s="3151" customFormat="1">
      <c r="A381" s="3176" t="s">
        <v>3138</v>
      </c>
      <c r="B381" s="3158" t="s">
        <v>3142</v>
      </c>
      <c r="C381" s="3158">
        <v>1460</v>
      </c>
      <c r="D381" s="3158">
        <v>1430</v>
      </c>
      <c r="E381" s="3158">
        <v>1390</v>
      </c>
      <c r="F381" s="3158">
        <v>450</v>
      </c>
      <c r="G381" s="3171">
        <v>900</v>
      </c>
    </row>
    <row r="382" spans="1:7" s="3151" customFormat="1">
      <c r="A382" s="3176" t="s">
        <v>3138</v>
      </c>
      <c r="B382" s="3158" t="s">
        <v>3143</v>
      </c>
      <c r="C382" s="3158">
        <v>1310</v>
      </c>
      <c r="D382" s="3158">
        <v>1280</v>
      </c>
      <c r="E382" s="3158">
        <v>1250</v>
      </c>
      <c r="F382" s="3158">
        <v>440</v>
      </c>
      <c r="G382" s="3171">
        <v>800</v>
      </c>
    </row>
    <row r="383" spans="1:7" s="3151" customFormat="1">
      <c r="A383" s="3176" t="s">
        <v>3138</v>
      </c>
      <c r="B383" s="3158" t="s">
        <v>3144</v>
      </c>
      <c r="C383" s="3158">
        <v>1260</v>
      </c>
      <c r="D383" s="3158">
        <v>1230</v>
      </c>
      <c r="E383" s="3158">
        <v>1200</v>
      </c>
      <c r="F383" s="3158">
        <v>420</v>
      </c>
      <c r="G383" s="3171">
        <v>770</v>
      </c>
    </row>
    <row r="384" spans="1:7" s="3151" customFormat="1" ht="12" thickBot="1">
      <c r="A384" s="3177" t="s">
        <v>3138</v>
      </c>
      <c r="B384" s="3165" t="s">
        <v>3145</v>
      </c>
      <c r="C384" s="3165">
        <v>1170</v>
      </c>
      <c r="D384" s="3165">
        <v>1140</v>
      </c>
      <c r="E384" s="3165">
        <v>1120</v>
      </c>
      <c r="F384" s="3165">
        <v>400</v>
      </c>
      <c r="G384" s="317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14" customWidth="1"/>
    <col min="2" max="2" width="20" style="3214" customWidth="1"/>
    <col min="3" max="7" width="8.875" style="3178"/>
    <col min="8" max="16384" width="8.875" style="3179"/>
  </cols>
  <sheetData>
    <row r="1" spans="1:7">
      <c r="A1" s="4176" t="s">
        <v>3146</v>
      </c>
      <c r="B1" s="4176"/>
    </row>
    <row r="2" spans="1:7" ht="14.25" thickBot="1">
      <c r="A2" s="3180"/>
      <c r="B2" s="3180"/>
    </row>
    <row r="3" spans="1:7" ht="14.25" thickBot="1">
      <c r="A3" s="3180"/>
      <c r="B3" s="3180"/>
      <c r="C3" s="3181" t="s">
        <v>2798</v>
      </c>
      <c r="D3" s="3181" t="s">
        <v>2832</v>
      </c>
      <c r="E3" s="3181" t="s">
        <v>2800</v>
      </c>
      <c r="F3" s="3181" t="s">
        <v>2833</v>
      </c>
      <c r="G3" s="3181" t="s">
        <v>2618</v>
      </c>
    </row>
    <row r="4" spans="1:7" ht="14.25" thickBot="1">
      <c r="A4" s="3182" t="s">
        <v>2831</v>
      </c>
      <c r="B4" s="3183" t="s">
        <v>2837</v>
      </c>
      <c r="C4" s="3181"/>
      <c r="D4" s="3181"/>
      <c r="E4" s="3181"/>
      <c r="F4" s="3181"/>
      <c r="G4" s="3181"/>
    </row>
    <row r="5" spans="1:7">
      <c r="A5" s="3184" t="s">
        <v>2805</v>
      </c>
      <c r="B5" s="3185" t="s">
        <v>2819</v>
      </c>
      <c r="C5" s="3186">
        <v>9.8000000000000004E-2</v>
      </c>
      <c r="D5" s="3186">
        <v>8.6999999999999994E-2</v>
      </c>
      <c r="E5" s="3186">
        <v>8.6999999999999994E-2</v>
      </c>
      <c r="F5" s="3186">
        <v>9.8000000000000004E-2</v>
      </c>
      <c r="G5" s="3187">
        <v>9.5000000000000001E-2</v>
      </c>
    </row>
    <row r="6" spans="1:7">
      <c r="A6" s="3188" t="s">
        <v>144</v>
      </c>
      <c r="B6" s="3189" t="s">
        <v>2834</v>
      </c>
      <c r="C6" s="3190">
        <v>9.8000000000000004E-2</v>
      </c>
      <c r="D6" s="3190">
        <v>9.8000000000000004E-2</v>
      </c>
      <c r="E6" s="3190">
        <v>9.8000000000000004E-2</v>
      </c>
      <c r="F6" s="3190">
        <v>0.1</v>
      </c>
      <c r="G6" s="3191">
        <v>9.9000000000000005E-2</v>
      </c>
    </row>
    <row r="7" spans="1:7">
      <c r="A7" s="3188" t="s">
        <v>144</v>
      </c>
      <c r="B7" s="3189" t="s">
        <v>137</v>
      </c>
      <c r="C7" s="3190">
        <v>9.7000000000000003E-2</v>
      </c>
      <c r="D7" s="3190">
        <v>9.7000000000000003E-2</v>
      </c>
      <c r="E7" s="3190">
        <v>9.6000000000000002E-2</v>
      </c>
      <c r="F7" s="3190">
        <v>0.1</v>
      </c>
      <c r="G7" s="3191">
        <v>9.8000000000000004E-2</v>
      </c>
    </row>
    <row r="8" spans="1:7">
      <c r="A8" s="3188" t="s">
        <v>144</v>
      </c>
      <c r="B8" s="3189" t="s">
        <v>145</v>
      </c>
      <c r="C8" s="3190">
        <v>8.1000000000000003E-2</v>
      </c>
      <c r="D8" s="3190">
        <v>8.2000000000000003E-2</v>
      </c>
      <c r="E8" s="3190">
        <v>7.0000000000000007E-2</v>
      </c>
      <c r="F8" s="3190">
        <v>9.6000000000000002E-2</v>
      </c>
      <c r="G8" s="3191">
        <v>8.8999999999999996E-2</v>
      </c>
    </row>
    <row r="9" spans="1:7" ht="14.25" thickBot="1">
      <c r="A9" s="3192" t="s">
        <v>144</v>
      </c>
      <c r="B9" s="3193" t="s">
        <v>154</v>
      </c>
      <c r="C9" s="3194">
        <v>0.1</v>
      </c>
      <c r="D9" s="3194">
        <v>0.1</v>
      </c>
      <c r="E9" s="3194">
        <v>0.1</v>
      </c>
      <c r="F9" s="3195"/>
      <c r="G9" s="3196">
        <v>0.1</v>
      </c>
    </row>
    <row r="10" spans="1:7">
      <c r="A10" s="3184" t="s">
        <v>184</v>
      </c>
      <c r="B10" s="3185" t="s">
        <v>2820</v>
      </c>
      <c r="C10" s="3186">
        <v>6.7000000000000004E-2</v>
      </c>
      <c r="D10" s="3186">
        <v>7.9000000000000001E-2</v>
      </c>
      <c r="E10" s="3186">
        <v>7.9000000000000001E-2</v>
      </c>
      <c r="F10" s="3186">
        <v>0.1</v>
      </c>
      <c r="G10" s="3187">
        <v>9.0999999999999998E-2</v>
      </c>
    </row>
    <row r="11" spans="1:7">
      <c r="A11" s="3188" t="s">
        <v>184</v>
      </c>
      <c r="B11" s="3189" t="s">
        <v>128</v>
      </c>
      <c r="C11" s="3190">
        <v>0.05</v>
      </c>
      <c r="D11" s="3190">
        <v>5.2999999999999999E-2</v>
      </c>
      <c r="E11" s="3190">
        <v>6.3E-2</v>
      </c>
      <c r="F11" s="3190">
        <v>0.1</v>
      </c>
      <c r="G11" s="3191">
        <v>7.1999999999999995E-2</v>
      </c>
    </row>
    <row r="12" spans="1:7">
      <c r="A12" s="3188" t="s">
        <v>184</v>
      </c>
      <c r="B12" s="3189" t="s">
        <v>111</v>
      </c>
      <c r="C12" s="3190">
        <v>5.2999999999999999E-2</v>
      </c>
      <c r="D12" s="3190">
        <v>0.09</v>
      </c>
      <c r="E12" s="3190">
        <v>7.1999999999999995E-2</v>
      </c>
      <c r="F12" s="3190">
        <v>0.1</v>
      </c>
      <c r="G12" s="3191">
        <v>9.7000000000000003E-2</v>
      </c>
    </row>
    <row r="13" spans="1:7">
      <c r="A13" s="3188" t="s">
        <v>184</v>
      </c>
      <c r="B13" s="3189" t="s">
        <v>146</v>
      </c>
      <c r="C13" s="3190">
        <v>9.7000000000000003E-2</v>
      </c>
      <c r="D13" s="3190">
        <v>9.1999999999999998E-2</v>
      </c>
      <c r="E13" s="3190">
        <v>9.5000000000000001E-2</v>
      </c>
      <c r="F13" s="3190">
        <v>0.1</v>
      </c>
      <c r="G13" s="3191">
        <v>9.7000000000000003E-2</v>
      </c>
    </row>
    <row r="14" spans="1:7">
      <c r="A14" s="3188" t="s">
        <v>184</v>
      </c>
      <c r="B14" s="3189" t="s">
        <v>155</v>
      </c>
      <c r="C14" s="3190">
        <v>9.7000000000000003E-2</v>
      </c>
      <c r="D14" s="3190">
        <v>9.7000000000000003E-2</v>
      </c>
      <c r="E14" s="3190">
        <v>9.7000000000000003E-2</v>
      </c>
      <c r="F14" s="3190">
        <v>0.1</v>
      </c>
      <c r="G14" s="3191">
        <v>9.8000000000000004E-2</v>
      </c>
    </row>
    <row r="15" spans="1:7">
      <c r="A15" s="3188" t="s">
        <v>184</v>
      </c>
      <c r="B15" s="3189" t="s">
        <v>162</v>
      </c>
      <c r="C15" s="3190">
        <v>9.8000000000000004E-2</v>
      </c>
      <c r="D15" s="3190">
        <v>9.0999999999999998E-2</v>
      </c>
      <c r="E15" s="3190">
        <v>0.06</v>
      </c>
      <c r="F15" s="3190">
        <v>0.1</v>
      </c>
      <c r="G15" s="3191">
        <v>9.7000000000000003E-2</v>
      </c>
    </row>
    <row r="16" spans="1:7">
      <c r="A16" s="3188" t="s">
        <v>184</v>
      </c>
      <c r="B16" s="3189" t="s">
        <v>168</v>
      </c>
      <c r="C16" s="3190">
        <v>9.8000000000000004E-2</v>
      </c>
      <c r="D16" s="3190">
        <v>9.7000000000000003E-2</v>
      </c>
      <c r="E16" s="3190">
        <v>9.5000000000000001E-2</v>
      </c>
      <c r="F16" s="3190">
        <v>0.1</v>
      </c>
      <c r="G16" s="3191">
        <v>9.9000000000000005E-2</v>
      </c>
    </row>
    <row r="17" spans="1:7">
      <c r="A17" s="3188" t="s">
        <v>184</v>
      </c>
      <c r="B17" s="3189" t="s">
        <v>175</v>
      </c>
      <c r="C17" s="3190">
        <v>8.8999999999999996E-2</v>
      </c>
      <c r="D17" s="3190">
        <v>9.1999999999999998E-2</v>
      </c>
      <c r="E17" s="3190">
        <v>6.0999999999999999E-2</v>
      </c>
      <c r="F17" s="3190">
        <v>0.1</v>
      </c>
      <c r="G17" s="3191">
        <v>9.7000000000000003E-2</v>
      </c>
    </row>
    <row r="18" spans="1:7">
      <c r="A18" s="3188" t="s">
        <v>184</v>
      </c>
      <c r="B18" s="3189" t="s">
        <v>185</v>
      </c>
      <c r="C18" s="3190">
        <v>9.8000000000000004E-2</v>
      </c>
      <c r="D18" s="3190">
        <v>9.8000000000000004E-2</v>
      </c>
      <c r="E18" s="3190">
        <v>9.8000000000000004E-2</v>
      </c>
      <c r="F18" s="3197"/>
      <c r="G18" s="3191">
        <v>9.9000000000000005E-2</v>
      </c>
    </row>
    <row r="19" spans="1:7">
      <c r="A19" s="3188" t="s">
        <v>184</v>
      </c>
      <c r="B19" s="3189" t="s">
        <v>194</v>
      </c>
      <c r="C19" s="3190">
        <v>9.9000000000000005E-2</v>
      </c>
      <c r="D19" s="3190">
        <v>7.3999999999999996E-2</v>
      </c>
      <c r="E19" s="3190">
        <v>8.1000000000000003E-2</v>
      </c>
      <c r="F19" s="3197"/>
      <c r="G19" s="3191">
        <v>9.2999999999999999E-2</v>
      </c>
    </row>
    <row r="20" spans="1:7">
      <c r="A20" s="3188" t="s">
        <v>184</v>
      </c>
      <c r="B20" s="3189" t="s">
        <v>201</v>
      </c>
      <c r="C20" s="3190">
        <v>0.1</v>
      </c>
      <c r="D20" s="3190">
        <v>8.8999999999999996E-2</v>
      </c>
      <c r="E20" s="3190">
        <v>8.8999999999999996E-2</v>
      </c>
      <c r="F20" s="3197"/>
      <c r="G20" s="3191">
        <v>9.5000000000000001E-2</v>
      </c>
    </row>
    <row r="21" spans="1:7">
      <c r="A21" s="3188" t="s">
        <v>184</v>
      </c>
      <c r="B21" s="3189" t="s">
        <v>208</v>
      </c>
      <c r="C21" s="3190">
        <v>0.1</v>
      </c>
      <c r="D21" s="3190">
        <v>9.0999999999999998E-2</v>
      </c>
      <c r="E21" s="3190">
        <v>8.2000000000000003E-2</v>
      </c>
      <c r="F21" s="3197"/>
      <c r="G21" s="3191">
        <v>9.7000000000000003E-2</v>
      </c>
    </row>
    <row r="22" spans="1:7">
      <c r="A22" s="3188" t="s">
        <v>184</v>
      </c>
      <c r="B22" s="3189" t="s">
        <v>2870</v>
      </c>
      <c r="C22" s="3190">
        <v>9.5000000000000001E-2</v>
      </c>
      <c r="D22" s="3190">
        <v>9.9000000000000005E-2</v>
      </c>
      <c r="E22" s="3190">
        <v>9.8000000000000004E-2</v>
      </c>
      <c r="F22" s="3197"/>
      <c r="G22" s="3191">
        <v>0.1</v>
      </c>
    </row>
    <row r="23" spans="1:7">
      <c r="A23" s="3188" t="s">
        <v>184</v>
      </c>
      <c r="B23" s="3189" t="s">
        <v>222</v>
      </c>
      <c r="C23" s="3190">
        <v>9.9000000000000005E-2</v>
      </c>
      <c r="D23" s="3190">
        <v>0.1</v>
      </c>
      <c r="E23" s="3190">
        <v>0.1</v>
      </c>
      <c r="F23" s="3197"/>
      <c r="G23" s="3191">
        <v>0.1</v>
      </c>
    </row>
    <row r="24" spans="1:7">
      <c r="A24" s="3188" t="s">
        <v>184</v>
      </c>
      <c r="B24" s="3189" t="s">
        <v>230</v>
      </c>
      <c r="C24" s="3190">
        <v>9.5000000000000001E-2</v>
      </c>
      <c r="D24" s="3190">
        <v>0.1</v>
      </c>
      <c r="E24" s="3190">
        <v>9.8000000000000004E-2</v>
      </c>
      <c r="F24" s="3197"/>
      <c r="G24" s="3191">
        <v>0.1</v>
      </c>
    </row>
    <row r="25" spans="1:7">
      <c r="A25" s="3188" t="s">
        <v>184</v>
      </c>
      <c r="B25" s="3189" t="s">
        <v>235</v>
      </c>
      <c r="C25" s="3190">
        <v>0.05</v>
      </c>
      <c r="D25" s="3190">
        <v>9.6000000000000002E-2</v>
      </c>
      <c r="E25" s="3190">
        <v>9.6000000000000002E-2</v>
      </c>
      <c r="F25" s="3197"/>
      <c r="G25" s="3191">
        <v>9.6000000000000002E-2</v>
      </c>
    </row>
    <row r="26" spans="1:7">
      <c r="A26" s="3188" t="s">
        <v>184</v>
      </c>
      <c r="B26" s="3189" t="s">
        <v>244</v>
      </c>
      <c r="C26" s="3190">
        <v>6.3E-2</v>
      </c>
      <c r="D26" s="3190">
        <v>9.9000000000000005E-2</v>
      </c>
      <c r="E26" s="3190">
        <v>9.8000000000000004E-2</v>
      </c>
      <c r="F26" s="3197"/>
      <c r="G26" s="3191">
        <v>0.1</v>
      </c>
    </row>
    <row r="27" spans="1:7">
      <c r="A27" s="3188" t="s">
        <v>184</v>
      </c>
      <c r="B27" s="3189" t="s">
        <v>251</v>
      </c>
      <c r="C27" s="3190">
        <v>5.1999999999999998E-2</v>
      </c>
      <c r="D27" s="3190">
        <v>9.5000000000000001E-2</v>
      </c>
      <c r="E27" s="3190">
        <v>6.4000000000000001E-2</v>
      </c>
      <c r="F27" s="3197"/>
      <c r="G27" s="3191">
        <v>9.7000000000000003E-2</v>
      </c>
    </row>
    <row r="28" spans="1:7">
      <c r="A28" s="3188" t="s">
        <v>184</v>
      </c>
      <c r="B28" s="3189" t="s">
        <v>259</v>
      </c>
      <c r="C28" s="3197"/>
      <c r="D28" s="3190">
        <v>6.3E-2</v>
      </c>
      <c r="E28" s="3190">
        <v>5.1999999999999998E-2</v>
      </c>
      <c r="F28" s="3197"/>
      <c r="G28" s="3191">
        <v>6.3E-2</v>
      </c>
    </row>
    <row r="29" spans="1:7" ht="14.25" thickBot="1">
      <c r="A29" s="3192" t="s">
        <v>184</v>
      </c>
      <c r="B29" s="3193" t="s">
        <v>2888</v>
      </c>
      <c r="C29" s="3198"/>
      <c r="D29" s="3194">
        <v>5.1999999999999998E-2</v>
      </c>
      <c r="E29" s="3194">
        <v>7.0000000000000007E-2</v>
      </c>
      <c r="F29" s="3198"/>
      <c r="G29" s="3196">
        <v>7.0999999999999994E-2</v>
      </c>
    </row>
    <row r="30" spans="1:7">
      <c r="A30" s="3199" t="s">
        <v>296</v>
      </c>
      <c r="B30" s="3185" t="s">
        <v>2821</v>
      </c>
      <c r="C30" s="3186">
        <v>6.6000000000000003E-2</v>
      </c>
      <c r="D30" s="3186">
        <v>6.6000000000000003E-2</v>
      </c>
      <c r="E30" s="3186">
        <v>5.7000000000000002E-2</v>
      </c>
      <c r="F30" s="3186">
        <v>0.1</v>
      </c>
      <c r="G30" s="3187">
        <v>6.8000000000000005E-2</v>
      </c>
    </row>
    <row r="31" spans="1:7">
      <c r="A31" s="3200" t="s">
        <v>296</v>
      </c>
      <c r="B31" s="3189" t="s">
        <v>129</v>
      </c>
      <c r="C31" s="3190">
        <v>5.5E-2</v>
      </c>
      <c r="D31" s="3190">
        <v>8.2000000000000003E-2</v>
      </c>
      <c r="E31" s="3190">
        <v>6.4000000000000001E-2</v>
      </c>
      <c r="F31" s="3190">
        <v>0.1</v>
      </c>
      <c r="G31" s="3191">
        <v>9.5000000000000001E-2</v>
      </c>
    </row>
    <row r="32" spans="1:7">
      <c r="A32" s="3200" t="s">
        <v>296</v>
      </c>
      <c r="B32" s="3189" t="s">
        <v>138</v>
      </c>
      <c r="C32" s="3190">
        <v>8.2000000000000003E-2</v>
      </c>
      <c r="D32" s="3190">
        <v>8.6999999999999994E-2</v>
      </c>
      <c r="E32" s="3190">
        <v>9.5000000000000001E-2</v>
      </c>
      <c r="F32" s="3190">
        <v>0.1</v>
      </c>
      <c r="G32" s="3191">
        <v>9.6000000000000002E-2</v>
      </c>
    </row>
    <row r="33" spans="1:7">
      <c r="A33" s="3200" t="s">
        <v>296</v>
      </c>
      <c r="B33" s="3189" t="s">
        <v>147</v>
      </c>
      <c r="C33" s="3190">
        <v>9.9000000000000005E-2</v>
      </c>
      <c r="D33" s="3190">
        <v>9.1999999999999998E-2</v>
      </c>
      <c r="E33" s="3190">
        <v>8.6999999999999994E-2</v>
      </c>
      <c r="F33" s="3190">
        <v>0.1</v>
      </c>
      <c r="G33" s="3191">
        <v>9.7000000000000003E-2</v>
      </c>
    </row>
    <row r="34" spans="1:7">
      <c r="A34" s="3200" t="s">
        <v>296</v>
      </c>
      <c r="B34" s="3189" t="s">
        <v>156</v>
      </c>
      <c r="C34" s="3190">
        <v>8.4000000000000005E-2</v>
      </c>
      <c r="D34" s="3190">
        <v>9.7000000000000003E-2</v>
      </c>
      <c r="E34" s="3190">
        <v>7.0999999999999994E-2</v>
      </c>
      <c r="F34" s="3190">
        <v>0.1</v>
      </c>
      <c r="G34" s="3191">
        <v>9.8000000000000004E-2</v>
      </c>
    </row>
    <row r="35" spans="1:7">
      <c r="A35" s="3200" t="s">
        <v>296</v>
      </c>
      <c r="B35" s="3189" t="s">
        <v>163</v>
      </c>
      <c r="C35" s="3190">
        <v>8.3000000000000004E-2</v>
      </c>
      <c r="D35" s="3190">
        <v>9.7000000000000003E-2</v>
      </c>
      <c r="E35" s="3190">
        <v>6.0999999999999999E-2</v>
      </c>
      <c r="F35" s="3190">
        <v>0.1</v>
      </c>
      <c r="G35" s="3191">
        <v>9.9000000000000005E-2</v>
      </c>
    </row>
    <row r="36" spans="1:7">
      <c r="A36" s="3200" t="s">
        <v>296</v>
      </c>
      <c r="B36" s="3189" t="s">
        <v>169</v>
      </c>
      <c r="C36" s="3190">
        <v>9.7000000000000003E-2</v>
      </c>
      <c r="D36" s="3190">
        <v>9.7000000000000003E-2</v>
      </c>
      <c r="E36" s="3190">
        <v>7.8E-2</v>
      </c>
      <c r="F36" s="3190">
        <v>0.1</v>
      </c>
      <c r="G36" s="3191">
        <v>9.9000000000000005E-2</v>
      </c>
    </row>
    <row r="37" spans="1:7">
      <c r="A37" s="3200" t="s">
        <v>296</v>
      </c>
      <c r="B37" s="3189" t="s">
        <v>176</v>
      </c>
      <c r="C37" s="3190">
        <v>9.7000000000000003E-2</v>
      </c>
      <c r="D37" s="3190">
        <v>9.5000000000000001E-2</v>
      </c>
      <c r="E37" s="3190">
        <v>7.8E-2</v>
      </c>
      <c r="F37" s="3190">
        <v>0.1</v>
      </c>
      <c r="G37" s="3191">
        <v>9.7000000000000003E-2</v>
      </c>
    </row>
    <row r="38" spans="1:7">
      <c r="A38" s="3200" t="s">
        <v>296</v>
      </c>
      <c r="B38" s="3189" t="s">
        <v>186</v>
      </c>
      <c r="C38" s="3190">
        <v>9.7000000000000003E-2</v>
      </c>
      <c r="D38" s="3190">
        <v>7.6999999999999999E-2</v>
      </c>
      <c r="E38" s="3190">
        <v>7.0000000000000007E-2</v>
      </c>
      <c r="F38" s="3190">
        <v>0.1</v>
      </c>
      <c r="G38" s="3191">
        <v>7.6999999999999999E-2</v>
      </c>
    </row>
    <row r="39" spans="1:7">
      <c r="A39" s="3200" t="s">
        <v>296</v>
      </c>
      <c r="B39" s="3189" t="s">
        <v>195</v>
      </c>
      <c r="C39" s="3190">
        <v>9.5000000000000001E-2</v>
      </c>
      <c r="D39" s="3190">
        <v>7.6999999999999999E-2</v>
      </c>
      <c r="E39" s="3190">
        <v>6.6000000000000003E-2</v>
      </c>
      <c r="F39" s="3190">
        <v>0.1</v>
      </c>
      <c r="G39" s="3191">
        <v>8.5999999999999993E-2</v>
      </c>
    </row>
    <row r="40" spans="1:7">
      <c r="A40" s="3200" t="s">
        <v>296</v>
      </c>
      <c r="B40" s="3189" t="s">
        <v>202</v>
      </c>
      <c r="C40" s="3190">
        <v>7.6999999999999999E-2</v>
      </c>
      <c r="D40" s="3190">
        <v>7.8E-2</v>
      </c>
      <c r="E40" s="3190">
        <v>8.2000000000000003E-2</v>
      </c>
      <c r="F40" s="3201"/>
      <c r="G40" s="3191">
        <v>7.8E-2</v>
      </c>
    </row>
    <row r="41" spans="1:7">
      <c r="A41" s="3200" t="s">
        <v>296</v>
      </c>
      <c r="B41" s="3189" t="s">
        <v>209</v>
      </c>
      <c r="C41" s="3190">
        <v>7.8E-2</v>
      </c>
      <c r="D41" s="3190">
        <v>7.8E-2</v>
      </c>
      <c r="E41" s="3190">
        <v>8.2000000000000003E-2</v>
      </c>
      <c r="F41" s="3201"/>
      <c r="G41" s="3191">
        <v>8.5999999999999993E-2</v>
      </c>
    </row>
    <row r="42" spans="1:7">
      <c r="A42" s="3200" t="s">
        <v>296</v>
      </c>
      <c r="B42" s="3189" t="s">
        <v>215</v>
      </c>
      <c r="C42" s="3190">
        <v>7.8E-2</v>
      </c>
      <c r="D42" s="3190">
        <v>9.6000000000000002E-2</v>
      </c>
      <c r="E42" s="3190">
        <v>7.1999999999999995E-2</v>
      </c>
      <c r="F42" s="3201"/>
      <c r="G42" s="3191">
        <v>9.8000000000000004E-2</v>
      </c>
    </row>
    <row r="43" spans="1:7">
      <c r="A43" s="3200" t="s">
        <v>2807</v>
      </c>
      <c r="B43" s="3189" t="s">
        <v>223</v>
      </c>
      <c r="C43" s="3190">
        <v>7.8E-2</v>
      </c>
      <c r="D43" s="3190">
        <v>9.9000000000000005E-2</v>
      </c>
      <c r="E43" s="3190">
        <v>9.6000000000000002E-2</v>
      </c>
      <c r="F43" s="3201"/>
      <c r="G43" s="3191">
        <v>0.1</v>
      </c>
    </row>
    <row r="44" spans="1:7">
      <c r="A44" s="3200" t="s">
        <v>296</v>
      </c>
      <c r="B44" s="3189" t="s">
        <v>231</v>
      </c>
      <c r="C44" s="3190">
        <v>9.6000000000000002E-2</v>
      </c>
      <c r="D44" s="3190">
        <v>0.1</v>
      </c>
      <c r="E44" s="3190">
        <v>9.8000000000000004E-2</v>
      </c>
      <c r="F44" s="3201"/>
      <c r="G44" s="3191">
        <v>0.1</v>
      </c>
    </row>
    <row r="45" spans="1:7">
      <c r="A45" s="3200" t="s">
        <v>296</v>
      </c>
      <c r="B45" s="3189" t="s">
        <v>236</v>
      </c>
      <c r="C45" s="3190">
        <v>9.9000000000000005E-2</v>
      </c>
      <c r="D45" s="3190">
        <v>9.8000000000000004E-2</v>
      </c>
      <c r="E45" s="3190">
        <v>9.5000000000000001E-2</v>
      </c>
      <c r="F45" s="3201"/>
      <c r="G45" s="3191">
        <v>9.8000000000000004E-2</v>
      </c>
    </row>
    <row r="46" spans="1:7">
      <c r="A46" s="3200" t="s">
        <v>296</v>
      </c>
      <c r="B46" s="3189" t="s">
        <v>245</v>
      </c>
      <c r="C46" s="3190">
        <v>0.1</v>
      </c>
      <c r="D46" s="3190">
        <v>9.9000000000000005E-2</v>
      </c>
      <c r="E46" s="3190">
        <v>9.6000000000000002E-2</v>
      </c>
      <c r="F46" s="3201"/>
      <c r="G46" s="3191">
        <v>0.1</v>
      </c>
    </row>
    <row r="47" spans="1:7">
      <c r="A47" s="3200" t="s">
        <v>296</v>
      </c>
      <c r="B47" s="3189" t="s">
        <v>252</v>
      </c>
      <c r="C47" s="3190">
        <v>9.8000000000000004E-2</v>
      </c>
      <c r="D47" s="3190">
        <v>8.6999999999999994E-2</v>
      </c>
      <c r="E47" s="3190">
        <v>5.8999999999999997E-2</v>
      </c>
      <c r="F47" s="3201"/>
      <c r="G47" s="3191">
        <v>9.6000000000000002E-2</v>
      </c>
    </row>
    <row r="48" spans="1:7">
      <c r="A48" s="3200" t="s">
        <v>296</v>
      </c>
      <c r="B48" s="3189" t="s">
        <v>260</v>
      </c>
      <c r="C48" s="3190">
        <v>9.9000000000000005E-2</v>
      </c>
      <c r="D48" s="3190">
        <v>9.8000000000000004E-2</v>
      </c>
      <c r="E48" s="3190">
        <v>9.5000000000000001E-2</v>
      </c>
      <c r="F48" s="3201"/>
      <c r="G48" s="3191">
        <v>9.8000000000000004E-2</v>
      </c>
    </row>
    <row r="49" spans="1:7">
      <c r="A49" s="3200" t="s">
        <v>296</v>
      </c>
      <c r="B49" s="3189" t="s">
        <v>267</v>
      </c>
      <c r="C49" s="3190">
        <v>8.7999999999999995E-2</v>
      </c>
      <c r="D49" s="3190">
        <v>9.9000000000000005E-2</v>
      </c>
      <c r="E49" s="3190">
        <v>7.0000000000000007E-2</v>
      </c>
      <c r="F49" s="3201"/>
      <c r="G49" s="3191">
        <v>0.1</v>
      </c>
    </row>
    <row r="50" spans="1:7">
      <c r="A50" s="3200" t="s">
        <v>296</v>
      </c>
      <c r="B50" s="3189" t="s">
        <v>2891</v>
      </c>
      <c r="C50" s="3190">
        <v>9.8000000000000004E-2</v>
      </c>
      <c r="D50" s="3190">
        <v>7.2999999999999995E-2</v>
      </c>
      <c r="E50" s="3190">
        <v>7.0999999999999994E-2</v>
      </c>
      <c r="F50" s="3201"/>
      <c r="G50" s="3191">
        <v>7.2999999999999995E-2</v>
      </c>
    </row>
    <row r="51" spans="1:7">
      <c r="A51" s="3200" t="s">
        <v>296</v>
      </c>
      <c r="B51" s="3189" t="s">
        <v>2893</v>
      </c>
      <c r="C51" s="3190">
        <v>9.9000000000000005E-2</v>
      </c>
      <c r="D51" s="3190">
        <v>8.5000000000000006E-2</v>
      </c>
      <c r="E51" s="3190">
        <v>6.3E-2</v>
      </c>
      <c r="F51" s="3201"/>
      <c r="G51" s="3191">
        <v>9.6000000000000002E-2</v>
      </c>
    </row>
    <row r="52" spans="1:7">
      <c r="A52" s="3200" t="s">
        <v>296</v>
      </c>
      <c r="B52" s="3189" t="s">
        <v>2897</v>
      </c>
      <c r="C52" s="3190">
        <v>7.3999999999999996E-2</v>
      </c>
      <c r="D52" s="3190">
        <v>9.6000000000000002E-2</v>
      </c>
      <c r="E52" s="3190">
        <v>0.05</v>
      </c>
      <c r="F52" s="3201"/>
      <c r="G52" s="3191">
        <v>9.8000000000000004E-2</v>
      </c>
    </row>
    <row r="53" spans="1:7">
      <c r="A53" s="3200" t="s">
        <v>296</v>
      </c>
      <c r="B53" s="3189" t="s">
        <v>2902</v>
      </c>
      <c r="C53" s="3190">
        <v>8.5999999999999993E-2</v>
      </c>
      <c r="D53" s="3201"/>
      <c r="E53" s="3190">
        <v>9.1999999999999998E-2</v>
      </c>
      <c r="F53" s="3201"/>
      <c r="G53" s="3202"/>
    </row>
    <row r="54" spans="1:7" ht="14.25" thickBot="1">
      <c r="A54" s="3203" t="s">
        <v>296</v>
      </c>
      <c r="B54" s="3193" t="s">
        <v>2905</v>
      </c>
      <c r="C54" s="3194">
        <v>9.6000000000000002E-2</v>
      </c>
      <c r="D54" s="3195"/>
      <c r="E54" s="3204"/>
      <c r="F54" s="3195"/>
      <c r="G54" s="3205"/>
    </row>
    <row r="55" spans="1:7">
      <c r="A55" s="3199" t="s">
        <v>110</v>
      </c>
      <c r="B55" s="3185" t="s">
        <v>2822</v>
      </c>
      <c r="C55" s="3186">
        <v>9.6000000000000002E-2</v>
      </c>
      <c r="D55" s="3186">
        <v>8.4000000000000005E-2</v>
      </c>
      <c r="E55" s="3186">
        <v>9.1999999999999998E-2</v>
      </c>
      <c r="F55" s="3186">
        <v>0.1</v>
      </c>
      <c r="G55" s="3187">
        <v>9.5000000000000001E-2</v>
      </c>
    </row>
    <row r="56" spans="1:7">
      <c r="A56" s="3200" t="s">
        <v>110</v>
      </c>
      <c r="B56" s="3189" t="s">
        <v>130</v>
      </c>
      <c r="C56" s="3190">
        <v>8.4000000000000005E-2</v>
      </c>
      <c r="D56" s="3190">
        <v>9.1999999999999998E-2</v>
      </c>
      <c r="E56" s="3190">
        <v>9.5000000000000001E-2</v>
      </c>
      <c r="F56" s="3190">
        <v>9.1999999999999998E-2</v>
      </c>
      <c r="G56" s="3191">
        <v>9.6000000000000002E-2</v>
      </c>
    </row>
    <row r="57" spans="1:7">
      <c r="A57" s="3200" t="s">
        <v>110</v>
      </c>
      <c r="B57" s="3189" t="s">
        <v>139</v>
      </c>
      <c r="C57" s="3190">
        <v>9.9000000000000005E-2</v>
      </c>
      <c r="D57" s="3190">
        <v>9.6000000000000002E-2</v>
      </c>
      <c r="E57" s="3190">
        <v>9.1999999999999998E-2</v>
      </c>
      <c r="F57" s="3190">
        <v>0.1</v>
      </c>
      <c r="G57" s="3191">
        <v>9.8000000000000004E-2</v>
      </c>
    </row>
    <row r="58" spans="1:7">
      <c r="A58" s="3200" t="s">
        <v>110</v>
      </c>
      <c r="B58" s="3189" t="s">
        <v>148</v>
      </c>
      <c r="C58" s="3190">
        <v>9.8000000000000004E-2</v>
      </c>
      <c r="D58" s="3190">
        <v>9.5000000000000001E-2</v>
      </c>
      <c r="E58" s="3190">
        <v>5.7000000000000002E-2</v>
      </c>
      <c r="F58" s="3190">
        <v>0.1</v>
      </c>
      <c r="G58" s="3191">
        <v>9.6000000000000002E-2</v>
      </c>
    </row>
    <row r="59" spans="1:7">
      <c r="A59" s="3200" t="s">
        <v>110</v>
      </c>
      <c r="B59" s="3189" t="s">
        <v>157</v>
      </c>
      <c r="C59" s="3190">
        <v>9.5000000000000001E-2</v>
      </c>
      <c r="D59" s="3190">
        <v>0.1</v>
      </c>
      <c r="E59" s="3190">
        <v>7.4999999999999997E-2</v>
      </c>
      <c r="F59" s="3190">
        <v>0.1</v>
      </c>
      <c r="G59" s="3191">
        <v>0.1</v>
      </c>
    </row>
    <row r="60" spans="1:7">
      <c r="A60" s="3200" t="s">
        <v>110</v>
      </c>
      <c r="B60" s="3189" t="s">
        <v>164</v>
      </c>
      <c r="C60" s="3190">
        <v>0.1</v>
      </c>
      <c r="D60" s="3190">
        <v>9.7000000000000003E-2</v>
      </c>
      <c r="E60" s="3190">
        <v>0.1</v>
      </c>
      <c r="F60" s="3190">
        <v>0.1</v>
      </c>
      <c r="G60" s="3191">
        <v>9.7000000000000003E-2</v>
      </c>
    </row>
    <row r="61" spans="1:7">
      <c r="A61" s="3200" t="s">
        <v>110</v>
      </c>
      <c r="B61" s="3189" t="s">
        <v>170</v>
      </c>
      <c r="C61" s="3190">
        <v>9.7000000000000003E-2</v>
      </c>
      <c r="D61" s="3190">
        <v>0.1</v>
      </c>
      <c r="E61" s="3190">
        <v>9.2999999999999999E-2</v>
      </c>
      <c r="F61" s="3190">
        <v>0.1</v>
      </c>
      <c r="G61" s="3191">
        <v>0.1</v>
      </c>
    </row>
    <row r="62" spans="1:7">
      <c r="A62" s="3200" t="s">
        <v>110</v>
      </c>
      <c r="B62" s="3189" t="s">
        <v>177</v>
      </c>
      <c r="C62" s="3190">
        <v>0.1</v>
      </c>
      <c r="D62" s="3190">
        <v>9.7000000000000003E-2</v>
      </c>
      <c r="E62" s="3190">
        <v>8.8999999999999996E-2</v>
      </c>
      <c r="F62" s="3190">
        <v>0.1</v>
      </c>
      <c r="G62" s="3191">
        <v>9.8000000000000004E-2</v>
      </c>
    </row>
    <row r="63" spans="1:7">
      <c r="A63" s="3200" t="s">
        <v>110</v>
      </c>
      <c r="B63" s="3189" t="s">
        <v>187</v>
      </c>
      <c r="C63" s="3190">
        <v>9.7000000000000003E-2</v>
      </c>
      <c r="D63" s="3190">
        <v>9.7000000000000003E-2</v>
      </c>
      <c r="E63" s="3190">
        <v>9.9000000000000005E-2</v>
      </c>
      <c r="F63" s="3190">
        <v>0.1</v>
      </c>
      <c r="G63" s="3191">
        <v>9.7000000000000003E-2</v>
      </c>
    </row>
    <row r="64" spans="1:7">
      <c r="A64" s="3200" t="s">
        <v>110</v>
      </c>
      <c r="B64" s="3189" t="s">
        <v>196</v>
      </c>
      <c r="C64" s="3190">
        <v>9.7000000000000003E-2</v>
      </c>
      <c r="D64" s="3190">
        <v>7.3999999999999996E-2</v>
      </c>
      <c r="E64" s="3190">
        <v>7.8E-2</v>
      </c>
      <c r="F64" s="3190">
        <v>0.1</v>
      </c>
      <c r="G64" s="3191">
        <v>8.8999999999999996E-2</v>
      </c>
    </row>
    <row r="65" spans="1:7">
      <c r="A65" s="3200" t="s">
        <v>110</v>
      </c>
      <c r="B65" s="3189" t="s">
        <v>203</v>
      </c>
      <c r="C65" s="3190">
        <v>7.2999999999999995E-2</v>
      </c>
      <c r="D65" s="3190">
        <v>9.8000000000000004E-2</v>
      </c>
      <c r="E65" s="3190">
        <v>9.5000000000000001E-2</v>
      </c>
      <c r="F65" s="3190">
        <v>0.1</v>
      </c>
      <c r="G65" s="3191">
        <v>9.9000000000000005E-2</v>
      </c>
    </row>
    <row r="66" spans="1:7">
      <c r="A66" s="3200" t="s">
        <v>110</v>
      </c>
      <c r="B66" s="3189" t="s">
        <v>210</v>
      </c>
      <c r="C66" s="3190">
        <v>9.8000000000000004E-2</v>
      </c>
      <c r="D66" s="3190">
        <v>9.5000000000000001E-2</v>
      </c>
      <c r="E66" s="3190">
        <v>0.05</v>
      </c>
      <c r="F66" s="3190">
        <v>0.1</v>
      </c>
      <c r="G66" s="3191">
        <v>9.7000000000000003E-2</v>
      </c>
    </row>
    <row r="67" spans="1:7">
      <c r="A67" s="3200" t="s">
        <v>110</v>
      </c>
      <c r="B67" s="3189" t="s">
        <v>216</v>
      </c>
      <c r="C67" s="3190">
        <v>9.5000000000000001E-2</v>
      </c>
      <c r="D67" s="3190">
        <v>9.7000000000000003E-2</v>
      </c>
      <c r="E67" s="3190">
        <v>9.7000000000000003E-2</v>
      </c>
      <c r="F67" s="3190">
        <v>0.1</v>
      </c>
      <c r="G67" s="3191">
        <v>9.9000000000000005E-2</v>
      </c>
    </row>
    <row r="68" spans="1:7">
      <c r="A68" s="3200" t="s">
        <v>110</v>
      </c>
      <c r="B68" s="3189" t="s">
        <v>224</v>
      </c>
      <c r="C68" s="3190">
        <v>9.7000000000000003E-2</v>
      </c>
      <c r="D68" s="3190">
        <v>6.8000000000000005E-2</v>
      </c>
      <c r="E68" s="3190">
        <v>6.6000000000000003E-2</v>
      </c>
      <c r="F68" s="3190">
        <v>0.1</v>
      </c>
      <c r="G68" s="3191">
        <v>8.4000000000000005E-2</v>
      </c>
    </row>
    <row r="69" spans="1:7">
      <c r="A69" s="3200" t="s">
        <v>110</v>
      </c>
      <c r="B69" s="3189" t="s">
        <v>232</v>
      </c>
      <c r="C69" s="3190">
        <v>6.8000000000000005E-2</v>
      </c>
      <c r="D69" s="3190">
        <v>9.8000000000000004E-2</v>
      </c>
      <c r="E69" s="3190">
        <v>9.5000000000000001E-2</v>
      </c>
      <c r="F69" s="3190">
        <v>0.1</v>
      </c>
      <c r="G69" s="3191">
        <v>0.1</v>
      </c>
    </row>
    <row r="70" spans="1:7">
      <c r="A70" s="3200" t="s">
        <v>110</v>
      </c>
      <c r="B70" s="3189" t="s">
        <v>237</v>
      </c>
      <c r="C70" s="3190">
        <v>9.8000000000000004E-2</v>
      </c>
      <c r="D70" s="3190">
        <v>8.8999999999999996E-2</v>
      </c>
      <c r="E70" s="3190">
        <v>5.8999999999999997E-2</v>
      </c>
      <c r="F70" s="3190">
        <v>0.1</v>
      </c>
      <c r="G70" s="3191">
        <v>9.6000000000000002E-2</v>
      </c>
    </row>
    <row r="71" spans="1:7">
      <c r="A71" s="3200" t="s">
        <v>110</v>
      </c>
      <c r="B71" s="3189" t="s">
        <v>246</v>
      </c>
      <c r="C71" s="3190">
        <v>8.8999999999999996E-2</v>
      </c>
      <c r="D71" s="3190">
        <v>9.9000000000000005E-2</v>
      </c>
      <c r="E71" s="3190">
        <v>9.6000000000000002E-2</v>
      </c>
      <c r="F71" s="3190">
        <v>0.1</v>
      </c>
      <c r="G71" s="3191">
        <v>0.1</v>
      </c>
    </row>
    <row r="72" spans="1:7">
      <c r="A72" s="3200" t="s">
        <v>110</v>
      </c>
      <c r="B72" s="3189" t="s">
        <v>253</v>
      </c>
      <c r="C72" s="3190">
        <v>9.9000000000000005E-2</v>
      </c>
      <c r="D72" s="3190">
        <v>0.1</v>
      </c>
      <c r="E72" s="3190">
        <v>7.0000000000000007E-2</v>
      </c>
      <c r="F72" s="3201"/>
      <c r="G72" s="3191">
        <v>0.1</v>
      </c>
    </row>
    <row r="73" spans="1:7">
      <c r="A73" s="3200" t="s">
        <v>110</v>
      </c>
      <c r="B73" s="3189" t="s">
        <v>261</v>
      </c>
      <c r="C73" s="3190">
        <v>0.1</v>
      </c>
      <c r="D73" s="3190">
        <v>0.1</v>
      </c>
      <c r="E73" s="3190">
        <v>9.6000000000000002E-2</v>
      </c>
      <c r="F73" s="3201"/>
      <c r="G73" s="3191">
        <v>0.1</v>
      </c>
    </row>
    <row r="74" spans="1:7">
      <c r="A74" s="3200" t="s">
        <v>110</v>
      </c>
      <c r="B74" s="3189" t="s">
        <v>268</v>
      </c>
      <c r="C74" s="3190">
        <v>0.1</v>
      </c>
      <c r="D74" s="3190">
        <v>0.1</v>
      </c>
      <c r="E74" s="3190">
        <v>9.8000000000000004E-2</v>
      </c>
      <c r="F74" s="3201"/>
      <c r="G74" s="3191">
        <v>0.1</v>
      </c>
    </row>
    <row r="75" spans="1:7">
      <c r="A75" s="3200" t="s">
        <v>110</v>
      </c>
      <c r="B75" s="3189" t="s">
        <v>272</v>
      </c>
      <c r="C75" s="3190">
        <v>0.1</v>
      </c>
      <c r="D75" s="3190">
        <v>9.9000000000000005E-2</v>
      </c>
      <c r="E75" s="3190">
        <v>9.8000000000000004E-2</v>
      </c>
      <c r="F75" s="3201"/>
      <c r="G75" s="3191">
        <v>0.1</v>
      </c>
    </row>
    <row r="76" spans="1:7">
      <c r="A76" s="3200" t="s">
        <v>110</v>
      </c>
      <c r="B76" s="3189" t="s">
        <v>278</v>
      </c>
      <c r="C76" s="3190">
        <v>9.9000000000000005E-2</v>
      </c>
      <c r="D76" s="3190">
        <v>0.1</v>
      </c>
      <c r="E76" s="3190">
        <v>9.7000000000000003E-2</v>
      </c>
      <c r="F76" s="3201"/>
      <c r="G76" s="3191">
        <v>0.1</v>
      </c>
    </row>
    <row r="77" spans="1:7">
      <c r="A77" s="3200" t="s">
        <v>110</v>
      </c>
      <c r="B77" s="3189" t="s">
        <v>281</v>
      </c>
      <c r="C77" s="3190">
        <v>0.1</v>
      </c>
      <c r="D77" s="3190">
        <v>0.1</v>
      </c>
      <c r="E77" s="3190">
        <v>9.6000000000000002E-2</v>
      </c>
      <c r="F77" s="3201"/>
      <c r="G77" s="3191">
        <v>0.1</v>
      </c>
    </row>
    <row r="78" spans="1:7">
      <c r="A78" s="3200" t="s">
        <v>110</v>
      </c>
      <c r="B78" s="3189" t="s">
        <v>2903</v>
      </c>
      <c r="C78" s="3190">
        <v>0.1</v>
      </c>
      <c r="D78" s="3190">
        <v>8.5000000000000006E-2</v>
      </c>
      <c r="E78" s="3190">
        <v>9.6000000000000002E-2</v>
      </c>
      <c r="F78" s="3201"/>
      <c r="G78" s="3191">
        <v>9.6000000000000002E-2</v>
      </c>
    </row>
    <row r="79" spans="1:7">
      <c r="A79" s="3200" t="s">
        <v>110</v>
      </c>
      <c r="B79" s="3189" t="s">
        <v>2906</v>
      </c>
      <c r="C79" s="3190">
        <v>0.05</v>
      </c>
      <c r="D79" s="3190">
        <v>9.6000000000000002E-2</v>
      </c>
      <c r="E79" s="3190">
        <v>9.5000000000000001E-2</v>
      </c>
      <c r="F79" s="3201"/>
      <c r="G79" s="3191">
        <v>9.8000000000000004E-2</v>
      </c>
    </row>
    <row r="80" spans="1:7">
      <c r="A80" s="3200" t="s">
        <v>110</v>
      </c>
      <c r="B80" s="3189" t="s">
        <v>2910</v>
      </c>
      <c r="C80" s="3190">
        <v>8.5999999999999993E-2</v>
      </c>
      <c r="D80" s="3206"/>
      <c r="E80" s="3190">
        <v>0.1</v>
      </c>
      <c r="F80" s="3201"/>
      <c r="G80" s="3202"/>
    </row>
    <row r="81" spans="1:7">
      <c r="A81" s="3200" t="s">
        <v>110</v>
      </c>
      <c r="B81" s="3189" t="s">
        <v>2915</v>
      </c>
      <c r="C81" s="3190">
        <v>9.6000000000000002E-2</v>
      </c>
      <c r="D81" s="3201"/>
      <c r="E81" s="3190">
        <v>9.8000000000000004E-2</v>
      </c>
      <c r="F81" s="3201"/>
      <c r="G81" s="3202"/>
    </row>
    <row r="82" spans="1:7">
      <c r="A82" s="3200" t="s">
        <v>110</v>
      </c>
      <c r="B82" s="3189" t="s">
        <v>2922</v>
      </c>
      <c r="C82" s="3206"/>
      <c r="D82" s="3201"/>
      <c r="E82" s="3190">
        <v>7.6999999999999999E-2</v>
      </c>
      <c r="F82" s="3201"/>
      <c r="G82" s="3202"/>
    </row>
    <row r="83" spans="1:7">
      <c r="A83" s="3200" t="s">
        <v>110</v>
      </c>
      <c r="B83" s="3189" t="s">
        <v>2928</v>
      </c>
      <c r="C83" s="3201"/>
      <c r="D83" s="3201"/>
      <c r="E83" s="3201"/>
      <c r="F83" s="3190">
        <v>0.1</v>
      </c>
      <c r="G83" s="3207"/>
    </row>
    <row r="84" spans="1:7">
      <c r="A84" s="3200" t="s">
        <v>110</v>
      </c>
      <c r="B84" s="3189" t="s">
        <v>2935</v>
      </c>
      <c r="C84" s="3201"/>
      <c r="D84" s="3201"/>
      <c r="E84" s="3201"/>
      <c r="F84" s="3190">
        <v>0.1</v>
      </c>
      <c r="G84" s="3207"/>
    </row>
    <row r="85" spans="1:7">
      <c r="A85" s="3200" t="s">
        <v>110</v>
      </c>
      <c r="B85" s="3189" t="s">
        <v>2942</v>
      </c>
      <c r="C85" s="3201"/>
      <c r="D85" s="3201"/>
      <c r="E85" s="3201"/>
      <c r="F85" s="3190">
        <v>0.1</v>
      </c>
      <c r="G85" s="3207"/>
    </row>
    <row r="86" spans="1:7" ht="14.25" thickBot="1">
      <c r="A86" s="3203" t="s">
        <v>110</v>
      </c>
      <c r="B86" s="3193" t="s">
        <v>2947</v>
      </c>
      <c r="C86" s="3194">
        <v>9.8000000000000004E-2</v>
      </c>
      <c r="D86" s="3194">
        <v>9.8000000000000004E-2</v>
      </c>
      <c r="E86" s="3194">
        <v>9.6000000000000002E-2</v>
      </c>
      <c r="F86" s="3204"/>
      <c r="G86" s="3196">
        <v>0.1</v>
      </c>
    </row>
    <row r="87" spans="1:7">
      <c r="A87" s="3199" t="s">
        <v>303</v>
      </c>
      <c r="B87" s="3185" t="s">
        <v>2823</v>
      </c>
      <c r="C87" s="3186">
        <v>0.1</v>
      </c>
      <c r="D87" s="3186">
        <v>0.1</v>
      </c>
      <c r="E87" s="3186">
        <v>9.8000000000000004E-2</v>
      </c>
      <c r="F87" s="3186">
        <v>0.1</v>
      </c>
      <c r="G87" s="3187">
        <v>0.1</v>
      </c>
    </row>
    <row r="88" spans="1:7">
      <c r="A88" s="3200" t="s">
        <v>303</v>
      </c>
      <c r="B88" s="3189" t="s">
        <v>131</v>
      </c>
      <c r="C88" s="3190">
        <v>9.0999999999999998E-2</v>
      </c>
      <c r="D88" s="3190">
        <v>9.1999999999999998E-2</v>
      </c>
      <c r="E88" s="3190">
        <v>0.1</v>
      </c>
      <c r="F88" s="3190">
        <v>0.1</v>
      </c>
      <c r="G88" s="3191">
        <v>9.6000000000000002E-2</v>
      </c>
    </row>
    <row r="89" spans="1:7">
      <c r="A89" s="3200" t="s">
        <v>303</v>
      </c>
      <c r="B89" s="3189" t="s">
        <v>140</v>
      </c>
      <c r="C89" s="3190">
        <v>0.1</v>
      </c>
      <c r="D89" s="3190">
        <v>0.1</v>
      </c>
      <c r="E89" s="3190">
        <v>6.7000000000000004E-2</v>
      </c>
      <c r="F89" s="3190">
        <v>9.2999999999999999E-2</v>
      </c>
      <c r="G89" s="3191">
        <v>0.1</v>
      </c>
    </row>
    <row r="90" spans="1:7">
      <c r="A90" s="3200" t="s">
        <v>303</v>
      </c>
      <c r="B90" s="3189" t="s">
        <v>149</v>
      </c>
      <c r="C90" s="3190">
        <v>9.6000000000000002E-2</v>
      </c>
      <c r="D90" s="3190">
        <v>9.6000000000000002E-2</v>
      </c>
      <c r="E90" s="3190">
        <v>0.1</v>
      </c>
      <c r="F90" s="3190">
        <v>0.1</v>
      </c>
      <c r="G90" s="3191">
        <v>9.8000000000000004E-2</v>
      </c>
    </row>
    <row r="91" spans="1:7">
      <c r="A91" s="3200" t="s">
        <v>303</v>
      </c>
      <c r="B91" s="3189" t="s">
        <v>158</v>
      </c>
      <c r="C91" s="3190">
        <v>7.6999999999999999E-2</v>
      </c>
      <c r="D91" s="3190">
        <v>7.6999999999999999E-2</v>
      </c>
      <c r="E91" s="3190">
        <v>9.6000000000000002E-2</v>
      </c>
      <c r="F91" s="3190">
        <v>0.1</v>
      </c>
      <c r="G91" s="3191">
        <v>7.6999999999999999E-2</v>
      </c>
    </row>
    <row r="92" spans="1:7">
      <c r="A92" s="3200" t="s">
        <v>303</v>
      </c>
      <c r="B92" s="3189" t="s">
        <v>165</v>
      </c>
      <c r="C92" s="3190">
        <v>0.1</v>
      </c>
      <c r="D92" s="3190">
        <v>0.1</v>
      </c>
      <c r="E92" s="3190">
        <v>9.1999999999999998E-2</v>
      </c>
      <c r="F92" s="3190">
        <v>0.1</v>
      </c>
      <c r="G92" s="3191">
        <v>0.1</v>
      </c>
    </row>
    <row r="93" spans="1:7">
      <c r="A93" s="3200" t="s">
        <v>303</v>
      </c>
      <c r="B93" s="3189" t="s">
        <v>171</v>
      </c>
      <c r="C93" s="3190">
        <v>9.8000000000000004E-2</v>
      </c>
      <c r="D93" s="3190">
        <v>9.8000000000000004E-2</v>
      </c>
      <c r="E93" s="3190">
        <v>9.6000000000000002E-2</v>
      </c>
      <c r="F93" s="3190">
        <v>0.1</v>
      </c>
      <c r="G93" s="3191">
        <v>9.9000000000000005E-2</v>
      </c>
    </row>
    <row r="94" spans="1:7">
      <c r="A94" s="3200" t="s">
        <v>303</v>
      </c>
      <c r="B94" s="3189" t="s">
        <v>178</v>
      </c>
      <c r="C94" s="3190">
        <v>8.7999999999999995E-2</v>
      </c>
      <c r="D94" s="3190">
        <v>8.7999999999999995E-2</v>
      </c>
      <c r="E94" s="3190">
        <v>9.6000000000000002E-2</v>
      </c>
      <c r="F94" s="3190">
        <v>0.1</v>
      </c>
      <c r="G94" s="3191">
        <v>8.7999999999999995E-2</v>
      </c>
    </row>
    <row r="95" spans="1:7">
      <c r="A95" s="3200" t="s">
        <v>303</v>
      </c>
      <c r="B95" s="3189" t="s">
        <v>188</v>
      </c>
      <c r="C95" s="3190">
        <v>9.6000000000000002E-2</v>
      </c>
      <c r="D95" s="3190">
        <v>9.6000000000000002E-2</v>
      </c>
      <c r="E95" s="3190">
        <v>0.1</v>
      </c>
      <c r="F95" s="3190">
        <v>0.1</v>
      </c>
      <c r="G95" s="3191">
        <v>9.8000000000000004E-2</v>
      </c>
    </row>
    <row r="96" spans="1:7">
      <c r="A96" s="3200" t="s">
        <v>303</v>
      </c>
      <c r="B96" s="3189" t="s">
        <v>197</v>
      </c>
      <c r="C96" s="3190">
        <v>9.7000000000000003E-2</v>
      </c>
      <c r="D96" s="3190">
        <v>9.7000000000000003E-2</v>
      </c>
      <c r="E96" s="3190">
        <v>0.1</v>
      </c>
      <c r="F96" s="3190">
        <v>0.1</v>
      </c>
      <c r="G96" s="3191">
        <v>9.8000000000000004E-2</v>
      </c>
    </row>
    <row r="97" spans="1:7">
      <c r="A97" s="3200" t="s">
        <v>303</v>
      </c>
      <c r="B97" s="3189" t="s">
        <v>204</v>
      </c>
      <c r="C97" s="3190">
        <v>9.6000000000000002E-2</v>
      </c>
      <c r="D97" s="3190">
        <v>9.6000000000000002E-2</v>
      </c>
      <c r="E97" s="3190">
        <v>9.9000000000000005E-2</v>
      </c>
      <c r="F97" s="3190">
        <v>0.1</v>
      </c>
      <c r="G97" s="3191">
        <v>9.8000000000000004E-2</v>
      </c>
    </row>
    <row r="98" spans="1:7">
      <c r="A98" s="3200" t="s">
        <v>303</v>
      </c>
      <c r="B98" s="3189" t="s">
        <v>211</v>
      </c>
      <c r="C98" s="3190">
        <v>9.8000000000000004E-2</v>
      </c>
      <c r="D98" s="3190">
        <v>9.8000000000000004E-2</v>
      </c>
      <c r="E98" s="3190">
        <v>0.1</v>
      </c>
      <c r="F98" s="3190">
        <v>0.1</v>
      </c>
      <c r="G98" s="3191">
        <v>9.9000000000000005E-2</v>
      </c>
    </row>
    <row r="99" spans="1:7">
      <c r="A99" s="3200" t="s">
        <v>303</v>
      </c>
      <c r="B99" s="3189" t="s">
        <v>217</v>
      </c>
      <c r="C99" s="3190">
        <v>9.6000000000000002E-2</v>
      </c>
      <c r="D99" s="3190">
        <v>9.6000000000000002E-2</v>
      </c>
      <c r="E99" s="3190">
        <v>0.1</v>
      </c>
      <c r="F99" s="3190">
        <v>0.1</v>
      </c>
      <c r="G99" s="3191">
        <v>9.7000000000000003E-2</v>
      </c>
    </row>
    <row r="100" spans="1:7">
      <c r="A100" s="3200" t="s">
        <v>303</v>
      </c>
      <c r="B100" s="3189" t="s">
        <v>225</v>
      </c>
      <c r="C100" s="3190">
        <v>0.1</v>
      </c>
      <c r="D100" s="3190">
        <v>0.1</v>
      </c>
      <c r="E100" s="3190">
        <v>9.7000000000000003E-2</v>
      </c>
      <c r="F100" s="3190">
        <v>9.8000000000000004E-2</v>
      </c>
      <c r="G100" s="3191">
        <v>0.1</v>
      </c>
    </row>
    <row r="101" spans="1:7">
      <c r="A101" s="3200" t="s">
        <v>303</v>
      </c>
      <c r="B101" s="3189" t="s">
        <v>233</v>
      </c>
      <c r="C101" s="3190">
        <v>0.1</v>
      </c>
      <c r="D101" s="3190">
        <v>0.1</v>
      </c>
      <c r="E101" s="3190">
        <v>9.5000000000000001E-2</v>
      </c>
      <c r="F101" s="3190">
        <v>0.1</v>
      </c>
      <c r="G101" s="3191">
        <v>0.1</v>
      </c>
    </row>
    <row r="102" spans="1:7">
      <c r="A102" s="3200" t="s">
        <v>303</v>
      </c>
      <c r="B102" s="3189" t="s">
        <v>238</v>
      </c>
      <c r="C102" s="3190">
        <v>0.1</v>
      </c>
      <c r="D102" s="3190">
        <v>0.1</v>
      </c>
      <c r="E102" s="3190">
        <v>9.9000000000000005E-2</v>
      </c>
      <c r="F102" s="3190">
        <v>9.7000000000000003E-2</v>
      </c>
      <c r="G102" s="3191">
        <v>0.1</v>
      </c>
    </row>
    <row r="103" spans="1:7">
      <c r="A103" s="3200" t="s">
        <v>303</v>
      </c>
      <c r="B103" s="3189" t="s">
        <v>247</v>
      </c>
      <c r="C103" s="3190">
        <v>0.1</v>
      </c>
      <c r="D103" s="3190">
        <v>0.1</v>
      </c>
      <c r="E103" s="3190">
        <v>9.8000000000000004E-2</v>
      </c>
      <c r="F103" s="3190">
        <v>0.1</v>
      </c>
      <c r="G103" s="3191">
        <v>0.1</v>
      </c>
    </row>
    <row r="104" spans="1:7">
      <c r="A104" s="3200" t="s">
        <v>303</v>
      </c>
      <c r="B104" s="3189" t="s">
        <v>254</v>
      </c>
      <c r="C104" s="3190">
        <v>0.1</v>
      </c>
      <c r="D104" s="3190">
        <v>0.1</v>
      </c>
      <c r="E104" s="3190">
        <v>9.8000000000000004E-2</v>
      </c>
      <c r="F104" s="3190">
        <v>0.1</v>
      </c>
      <c r="G104" s="3191">
        <v>0.1</v>
      </c>
    </row>
    <row r="105" spans="1:7">
      <c r="A105" s="3200" t="s">
        <v>303</v>
      </c>
      <c r="B105" s="3189" t="s">
        <v>262</v>
      </c>
      <c r="C105" s="3190">
        <v>9.8000000000000004E-2</v>
      </c>
      <c r="D105" s="3190">
        <v>9.8000000000000004E-2</v>
      </c>
      <c r="E105" s="3190">
        <v>9.8000000000000004E-2</v>
      </c>
      <c r="F105" s="3190">
        <v>0.1</v>
      </c>
      <c r="G105" s="3191">
        <v>9.9000000000000005E-2</v>
      </c>
    </row>
    <row r="106" spans="1:7">
      <c r="A106" s="3200" t="s">
        <v>303</v>
      </c>
      <c r="B106" s="3189" t="s">
        <v>269</v>
      </c>
      <c r="C106" s="3190">
        <v>9.7000000000000003E-2</v>
      </c>
      <c r="D106" s="3190">
        <v>9.7000000000000003E-2</v>
      </c>
      <c r="E106" s="3190">
        <v>9.7000000000000003E-2</v>
      </c>
      <c r="F106" s="3190">
        <v>0.1</v>
      </c>
      <c r="G106" s="3191">
        <v>9.9000000000000005E-2</v>
      </c>
    </row>
    <row r="107" spans="1:7">
      <c r="A107" s="3200" t="s">
        <v>303</v>
      </c>
      <c r="B107" s="3189" t="s">
        <v>273</v>
      </c>
      <c r="C107" s="3190">
        <v>0.1</v>
      </c>
      <c r="D107" s="3190">
        <v>0.1</v>
      </c>
      <c r="E107" s="3190">
        <v>8.5999999999999993E-2</v>
      </c>
      <c r="F107" s="3190">
        <v>0.09</v>
      </c>
      <c r="G107" s="3191">
        <v>0.1</v>
      </c>
    </row>
    <row r="108" spans="1:7">
      <c r="A108" s="3200" t="s">
        <v>303</v>
      </c>
      <c r="B108" s="3189" t="s">
        <v>279</v>
      </c>
      <c r="C108" s="3190">
        <v>0.1</v>
      </c>
      <c r="D108" s="3190">
        <v>0.1</v>
      </c>
      <c r="E108" s="3190">
        <v>9.6000000000000002E-2</v>
      </c>
      <c r="F108" s="3201"/>
      <c r="G108" s="3191">
        <v>0.1</v>
      </c>
    </row>
    <row r="109" spans="1:7">
      <c r="A109" s="3200" t="s">
        <v>303</v>
      </c>
      <c r="B109" s="3189" t="s">
        <v>282</v>
      </c>
      <c r="C109" s="3190">
        <v>0.1</v>
      </c>
      <c r="D109" s="3190">
        <v>0.1</v>
      </c>
      <c r="E109" s="3190">
        <v>0.1</v>
      </c>
      <c r="F109" s="3201"/>
      <c r="G109" s="3191">
        <v>0.1</v>
      </c>
    </row>
    <row r="110" spans="1:7">
      <c r="A110" s="3200" t="s">
        <v>303</v>
      </c>
      <c r="B110" s="3189" t="s">
        <v>284</v>
      </c>
      <c r="C110" s="3190">
        <v>0.1</v>
      </c>
      <c r="D110" s="3190">
        <v>0.1</v>
      </c>
      <c r="E110" s="3190">
        <v>0.1</v>
      </c>
      <c r="F110" s="3201"/>
      <c r="G110" s="3191">
        <v>0.1</v>
      </c>
    </row>
    <row r="111" spans="1:7">
      <c r="A111" s="3200" t="s">
        <v>303</v>
      </c>
      <c r="B111" s="3189" t="s">
        <v>287</v>
      </c>
      <c r="C111" s="3190">
        <v>0.1</v>
      </c>
      <c r="D111" s="3190">
        <v>0.1</v>
      </c>
      <c r="E111" s="3190">
        <v>9.5000000000000001E-2</v>
      </c>
      <c r="F111" s="3201"/>
      <c r="G111" s="3191">
        <v>0.1</v>
      </c>
    </row>
    <row r="112" spans="1:7">
      <c r="A112" s="3200" t="s">
        <v>303</v>
      </c>
      <c r="B112" s="3189" t="s">
        <v>291</v>
      </c>
      <c r="C112" s="3190">
        <v>9.7000000000000003E-2</v>
      </c>
      <c r="D112" s="3190">
        <v>9.7000000000000003E-2</v>
      </c>
      <c r="E112" s="3190">
        <v>0.05</v>
      </c>
      <c r="F112" s="3201"/>
      <c r="G112" s="3191">
        <v>9.8000000000000004E-2</v>
      </c>
    </row>
    <row r="113" spans="1:7">
      <c r="A113" s="3200" t="s">
        <v>303</v>
      </c>
      <c r="B113" s="3189" t="s">
        <v>2916</v>
      </c>
      <c r="C113" s="3190">
        <v>0.1</v>
      </c>
      <c r="D113" s="3190">
        <v>0.1</v>
      </c>
      <c r="E113" s="3201"/>
      <c r="F113" s="3201"/>
      <c r="G113" s="3191">
        <v>0.1</v>
      </c>
    </row>
    <row r="114" spans="1:7">
      <c r="A114" s="3200" t="s">
        <v>303</v>
      </c>
      <c r="B114" s="3189" t="s">
        <v>2923</v>
      </c>
      <c r="C114" s="3190">
        <v>9.7000000000000003E-2</v>
      </c>
      <c r="D114" s="3190">
        <v>9.7000000000000003E-2</v>
      </c>
      <c r="E114" s="3201"/>
      <c r="F114" s="3201"/>
      <c r="G114" s="3191">
        <v>9.9000000000000005E-2</v>
      </c>
    </row>
    <row r="115" spans="1:7">
      <c r="A115" s="3200" t="s">
        <v>303</v>
      </c>
      <c r="B115" s="3189" t="s">
        <v>2929</v>
      </c>
      <c r="C115" s="3190">
        <v>0.1</v>
      </c>
      <c r="D115" s="3190">
        <v>0.1</v>
      </c>
      <c r="E115" s="3201"/>
      <c r="F115" s="3201"/>
      <c r="G115" s="3191">
        <v>0.1</v>
      </c>
    </row>
    <row r="116" spans="1:7">
      <c r="A116" s="3200" t="s">
        <v>303</v>
      </c>
      <c r="B116" s="3189" t="s">
        <v>2936</v>
      </c>
      <c r="C116" s="3190">
        <v>0.1</v>
      </c>
      <c r="D116" s="3190">
        <v>0.1</v>
      </c>
      <c r="E116" s="3201"/>
      <c r="F116" s="3201"/>
      <c r="G116" s="3191">
        <v>0.1</v>
      </c>
    </row>
    <row r="117" spans="1:7">
      <c r="A117" s="3200" t="s">
        <v>303</v>
      </c>
      <c r="B117" s="3189" t="s">
        <v>2943</v>
      </c>
      <c r="C117" s="3190">
        <v>9.7000000000000003E-2</v>
      </c>
      <c r="D117" s="3190">
        <v>9.7000000000000003E-2</v>
      </c>
      <c r="E117" s="3201"/>
      <c r="F117" s="3201"/>
      <c r="G117" s="3191">
        <v>9.7000000000000003E-2</v>
      </c>
    </row>
    <row r="118" spans="1:7">
      <c r="A118" s="3200" t="s">
        <v>303</v>
      </c>
      <c r="B118" s="3189" t="s">
        <v>2948</v>
      </c>
      <c r="C118" s="3190">
        <v>0.1</v>
      </c>
      <c r="D118" s="3190">
        <v>0.1</v>
      </c>
      <c r="E118" s="3201"/>
      <c r="F118" s="3201"/>
      <c r="G118" s="3191">
        <v>0.1</v>
      </c>
    </row>
    <row r="119" spans="1:7">
      <c r="A119" s="3200" t="s">
        <v>303</v>
      </c>
      <c r="B119" s="3189" t="s">
        <v>2952</v>
      </c>
      <c r="C119" s="3190">
        <v>5.0999999999999997E-2</v>
      </c>
      <c r="D119" s="3190">
        <v>5.1999999999999998E-2</v>
      </c>
      <c r="E119" s="3201"/>
      <c r="F119" s="3206"/>
      <c r="G119" s="3191">
        <v>0.06</v>
      </c>
    </row>
    <row r="120" spans="1:7">
      <c r="A120" s="3200" t="s">
        <v>303</v>
      </c>
      <c r="B120" s="3189" t="s">
        <v>2956</v>
      </c>
      <c r="C120" s="3201"/>
      <c r="D120" s="3201"/>
      <c r="E120" s="3201"/>
      <c r="F120" s="3190">
        <v>0.1</v>
      </c>
      <c r="G120" s="3207"/>
    </row>
    <row r="121" spans="1:7">
      <c r="A121" s="3200" t="s">
        <v>303</v>
      </c>
      <c r="B121" s="3189" t="s">
        <v>2961</v>
      </c>
      <c r="C121" s="3201"/>
      <c r="D121" s="3201"/>
      <c r="E121" s="3201"/>
      <c r="F121" s="3190">
        <v>0.1</v>
      </c>
      <c r="G121" s="3207"/>
    </row>
    <row r="122" spans="1:7">
      <c r="A122" s="3200" t="s">
        <v>303</v>
      </c>
      <c r="B122" s="3189" t="s">
        <v>2966</v>
      </c>
      <c r="C122" s="3190">
        <v>0.1</v>
      </c>
      <c r="D122" s="3190">
        <v>0.1</v>
      </c>
      <c r="E122" s="3190">
        <v>9.8000000000000004E-2</v>
      </c>
      <c r="F122" s="3190">
        <v>0.1</v>
      </c>
      <c r="G122" s="3191">
        <v>0.1</v>
      </c>
    </row>
    <row r="123" spans="1:7">
      <c r="A123" s="3200" t="s">
        <v>303</v>
      </c>
      <c r="B123" s="3189" t="s">
        <v>2971</v>
      </c>
      <c r="C123" s="3190">
        <v>0.1</v>
      </c>
      <c r="D123" s="3190">
        <v>0.1</v>
      </c>
      <c r="E123" s="3190">
        <v>9.8000000000000004E-2</v>
      </c>
      <c r="F123" s="3190">
        <v>0.1</v>
      </c>
      <c r="G123" s="3191">
        <v>0.1</v>
      </c>
    </row>
    <row r="124" spans="1:7">
      <c r="A124" s="3200" t="s">
        <v>303</v>
      </c>
      <c r="B124" s="3189" t="s">
        <v>2976</v>
      </c>
      <c r="C124" s="3190">
        <v>0.1</v>
      </c>
      <c r="D124" s="3190">
        <v>0.1</v>
      </c>
      <c r="E124" s="3190">
        <v>9.8000000000000004E-2</v>
      </c>
      <c r="F124" s="3206"/>
      <c r="G124" s="3191">
        <v>0.1</v>
      </c>
    </row>
    <row r="125" spans="1:7">
      <c r="A125" s="3200" t="s">
        <v>303</v>
      </c>
      <c r="B125" s="3189" t="s">
        <v>2981</v>
      </c>
      <c r="C125" s="3190">
        <v>9.8000000000000004E-2</v>
      </c>
      <c r="D125" s="3190">
        <v>9.8000000000000004E-2</v>
      </c>
      <c r="E125" s="3190">
        <v>9.6000000000000002E-2</v>
      </c>
      <c r="F125" s="3206"/>
      <c r="G125" s="3191">
        <v>0.1</v>
      </c>
    </row>
    <row r="126" spans="1:7" ht="14.25" thickBot="1">
      <c r="A126" s="3203" t="s">
        <v>303</v>
      </c>
      <c r="B126" s="3193" t="s">
        <v>3147</v>
      </c>
      <c r="C126" s="3194">
        <v>0.1</v>
      </c>
      <c r="D126" s="3194">
        <v>0.1</v>
      </c>
      <c r="E126" s="3194">
        <v>9.8000000000000004E-2</v>
      </c>
      <c r="F126" s="3194">
        <v>0.1</v>
      </c>
      <c r="G126" s="3196">
        <v>0.1</v>
      </c>
    </row>
    <row r="127" spans="1:7">
      <c r="A127" s="3199" t="s">
        <v>29</v>
      </c>
      <c r="B127" s="3185" t="s">
        <v>2824</v>
      </c>
      <c r="C127" s="3186">
        <v>0.121</v>
      </c>
      <c r="D127" s="3186">
        <v>0.121</v>
      </c>
      <c r="E127" s="3186">
        <v>0.107</v>
      </c>
      <c r="F127" s="3186">
        <v>0.13</v>
      </c>
      <c r="G127" s="3187">
        <v>0.122</v>
      </c>
    </row>
    <row r="128" spans="1:7">
      <c r="A128" s="3200" t="s">
        <v>29</v>
      </c>
      <c r="B128" s="3189" t="s">
        <v>132</v>
      </c>
      <c r="C128" s="3190">
        <v>0.11600000000000001</v>
      </c>
      <c r="D128" s="3190">
        <v>0.11700000000000001</v>
      </c>
      <c r="E128" s="3190">
        <v>0.104</v>
      </c>
      <c r="F128" s="3190">
        <v>0.13</v>
      </c>
      <c r="G128" s="3191">
        <v>0.11700000000000001</v>
      </c>
    </row>
    <row r="129" spans="1:7">
      <c r="A129" s="3200" t="s">
        <v>29</v>
      </c>
      <c r="B129" s="3189" t="s">
        <v>141</v>
      </c>
      <c r="C129" s="3190">
        <v>0.107</v>
      </c>
      <c r="D129" s="3190">
        <v>0.108</v>
      </c>
      <c r="E129" s="3190">
        <v>0.1</v>
      </c>
      <c r="F129" s="3190">
        <v>0.13</v>
      </c>
      <c r="G129" s="3191">
        <v>0.11700000000000001</v>
      </c>
    </row>
    <row r="130" spans="1:7">
      <c r="A130" s="3200" t="s">
        <v>29</v>
      </c>
      <c r="B130" s="3189" t="s">
        <v>150</v>
      </c>
      <c r="C130" s="3190">
        <v>0.13</v>
      </c>
      <c r="D130" s="3190">
        <v>0.13</v>
      </c>
      <c r="E130" s="3190">
        <v>0.126</v>
      </c>
      <c r="F130" s="3190">
        <v>0.13</v>
      </c>
      <c r="G130" s="3191">
        <v>0.13</v>
      </c>
    </row>
    <row r="131" spans="1:7">
      <c r="A131" s="3200" t="s">
        <v>29</v>
      </c>
      <c r="B131" s="3189" t="s">
        <v>159</v>
      </c>
      <c r="C131" s="3190">
        <v>0.13</v>
      </c>
      <c r="D131" s="3190">
        <v>0.13</v>
      </c>
      <c r="E131" s="3190">
        <v>0.13</v>
      </c>
      <c r="F131" s="3190">
        <v>0.13</v>
      </c>
      <c r="G131" s="3191">
        <v>0.13</v>
      </c>
    </row>
    <row r="132" spans="1:7">
      <c r="A132" s="3200" t="s">
        <v>29</v>
      </c>
      <c r="B132" s="3189" t="s">
        <v>166</v>
      </c>
      <c r="C132" s="3190">
        <v>0.13</v>
      </c>
      <c r="D132" s="3190">
        <v>0.13</v>
      </c>
      <c r="E132" s="3190">
        <v>0.126</v>
      </c>
      <c r="F132" s="3190">
        <v>0.13</v>
      </c>
      <c r="G132" s="3191">
        <v>0.13</v>
      </c>
    </row>
    <row r="133" spans="1:7">
      <c r="A133" s="3200" t="s">
        <v>29</v>
      </c>
      <c r="B133" s="3189" t="s">
        <v>172</v>
      </c>
      <c r="C133" s="3190">
        <v>0.111</v>
      </c>
      <c r="D133" s="3190">
        <v>0.111</v>
      </c>
      <c r="E133" s="3190">
        <v>0.10199999999999999</v>
      </c>
      <c r="F133" s="3190">
        <v>0.13</v>
      </c>
      <c r="G133" s="3191">
        <v>0.121</v>
      </c>
    </row>
    <row r="134" spans="1:7">
      <c r="A134" s="3200" t="s">
        <v>29</v>
      </c>
      <c r="B134" s="3189" t="s">
        <v>179</v>
      </c>
      <c r="C134" s="3190">
        <v>0.121</v>
      </c>
      <c r="D134" s="3190">
        <v>0.121</v>
      </c>
      <c r="E134" s="3190">
        <v>0.1</v>
      </c>
      <c r="F134" s="3190">
        <v>0.13</v>
      </c>
      <c r="G134" s="3191">
        <v>0.123</v>
      </c>
    </row>
    <row r="135" spans="1:7">
      <c r="A135" s="3200" t="s">
        <v>29</v>
      </c>
      <c r="B135" s="3189" t="s">
        <v>189</v>
      </c>
      <c r="C135" s="3190">
        <v>0.105</v>
      </c>
      <c r="D135" s="3190">
        <v>0.106</v>
      </c>
      <c r="E135" s="3190">
        <v>0.1</v>
      </c>
      <c r="F135" s="3190">
        <v>0.13</v>
      </c>
      <c r="G135" s="3191">
        <v>0.115</v>
      </c>
    </row>
    <row r="136" spans="1:7">
      <c r="A136" s="3200" t="s">
        <v>29</v>
      </c>
      <c r="B136" s="3189" t="s">
        <v>198</v>
      </c>
      <c r="C136" s="3190">
        <v>0.127</v>
      </c>
      <c r="D136" s="3190">
        <v>0.127</v>
      </c>
      <c r="E136" s="3190">
        <v>0.121</v>
      </c>
      <c r="F136" s="3190">
        <v>0.123</v>
      </c>
      <c r="G136" s="3191">
        <v>0.129</v>
      </c>
    </row>
    <row r="137" spans="1:7">
      <c r="A137" s="3200" t="s">
        <v>29</v>
      </c>
      <c r="B137" s="3189" t="s">
        <v>205</v>
      </c>
      <c r="C137" s="3190">
        <v>0.13</v>
      </c>
      <c r="D137" s="3190">
        <v>0.13</v>
      </c>
      <c r="E137" s="3190">
        <v>0.129</v>
      </c>
      <c r="F137" s="3190">
        <v>0.13</v>
      </c>
      <c r="G137" s="3191">
        <v>0.13</v>
      </c>
    </row>
    <row r="138" spans="1:7">
      <c r="A138" s="3200" t="s">
        <v>29</v>
      </c>
      <c r="B138" s="3189" t="s">
        <v>212</v>
      </c>
      <c r="C138" s="3190">
        <v>0.13</v>
      </c>
      <c r="D138" s="3190">
        <v>0.13</v>
      </c>
      <c r="E138" s="3190">
        <v>0.125</v>
      </c>
      <c r="F138" s="3190">
        <v>0.13</v>
      </c>
      <c r="G138" s="3191">
        <v>0.13</v>
      </c>
    </row>
    <row r="139" spans="1:7">
      <c r="A139" s="3200" t="s">
        <v>29</v>
      </c>
      <c r="B139" s="3189" t="s">
        <v>218</v>
      </c>
      <c r="C139" s="3190">
        <v>0.13</v>
      </c>
      <c r="D139" s="3190">
        <v>0.13</v>
      </c>
      <c r="E139" s="3190">
        <v>0.126</v>
      </c>
      <c r="F139" s="3190">
        <v>0.13</v>
      </c>
      <c r="G139" s="3191">
        <v>0.13</v>
      </c>
    </row>
    <row r="140" spans="1:7">
      <c r="A140" s="3200" t="s">
        <v>29</v>
      </c>
      <c r="B140" s="3189" t="s">
        <v>226</v>
      </c>
      <c r="C140" s="3190">
        <v>0.1</v>
      </c>
      <c r="D140" s="3190">
        <v>0.1</v>
      </c>
      <c r="E140" s="3190">
        <v>0.1</v>
      </c>
      <c r="F140" s="3190">
        <v>0.123</v>
      </c>
      <c r="G140" s="3191">
        <v>0.107</v>
      </c>
    </row>
    <row r="141" spans="1:7">
      <c r="A141" s="3200" t="s">
        <v>29</v>
      </c>
      <c r="B141" s="3189" t="s">
        <v>234</v>
      </c>
      <c r="C141" s="3190">
        <v>0.127</v>
      </c>
      <c r="D141" s="3190">
        <v>0.127</v>
      </c>
      <c r="E141" s="3190">
        <v>0.122</v>
      </c>
      <c r="F141" s="3190">
        <v>0.1</v>
      </c>
      <c r="G141" s="3191">
        <v>0.129</v>
      </c>
    </row>
    <row r="142" spans="1:7">
      <c r="A142" s="3200" t="s">
        <v>29</v>
      </c>
      <c r="B142" s="3189" t="s">
        <v>239</v>
      </c>
      <c r="C142" s="3190">
        <v>0.121</v>
      </c>
      <c r="D142" s="3190">
        <v>0.122</v>
      </c>
      <c r="E142" s="3190">
        <v>0.1</v>
      </c>
      <c r="F142" s="3190">
        <v>0.123</v>
      </c>
      <c r="G142" s="3191">
        <v>0.123</v>
      </c>
    </row>
    <row r="143" spans="1:7">
      <c r="A143" s="3200" t="s">
        <v>29</v>
      </c>
      <c r="B143" s="3189" t="s">
        <v>248</v>
      </c>
      <c r="C143" s="3190">
        <v>0.1</v>
      </c>
      <c r="D143" s="3190">
        <v>0.1</v>
      </c>
      <c r="E143" s="3190">
        <v>0.1</v>
      </c>
      <c r="F143" s="3190">
        <v>0.13</v>
      </c>
      <c r="G143" s="3191">
        <v>0.1</v>
      </c>
    </row>
    <row r="144" spans="1:7">
      <c r="A144" s="3200" t="s">
        <v>29</v>
      </c>
      <c r="B144" s="3189" t="s">
        <v>255</v>
      </c>
      <c r="C144" s="3190">
        <v>0.106</v>
      </c>
      <c r="D144" s="3190">
        <v>0.105</v>
      </c>
      <c r="E144" s="3190">
        <v>0.1</v>
      </c>
      <c r="F144" s="3190">
        <v>0.13</v>
      </c>
      <c r="G144" s="3191">
        <v>0.11799999999999999</v>
      </c>
    </row>
    <row r="145" spans="1:7">
      <c r="A145" s="3200" t="s">
        <v>29</v>
      </c>
      <c r="B145" s="3189" t="s">
        <v>263</v>
      </c>
      <c r="C145" s="3190">
        <v>0.123</v>
      </c>
      <c r="D145" s="3190">
        <v>0.123</v>
      </c>
      <c r="E145" s="3190">
        <v>0.11700000000000001</v>
      </c>
      <c r="F145" s="3190">
        <v>0.13</v>
      </c>
      <c r="G145" s="3191">
        <v>0.126</v>
      </c>
    </row>
    <row r="146" spans="1:7">
      <c r="A146" s="3200" t="s">
        <v>29</v>
      </c>
      <c r="B146" s="3189" t="s">
        <v>270</v>
      </c>
      <c r="C146" s="3190">
        <v>0.127</v>
      </c>
      <c r="D146" s="3190">
        <v>0.127</v>
      </c>
      <c r="E146" s="3190">
        <v>0.12</v>
      </c>
      <c r="F146" s="3201"/>
      <c r="G146" s="3191">
        <v>0.129</v>
      </c>
    </row>
    <row r="147" spans="1:7">
      <c r="A147" s="3200" t="s">
        <v>29</v>
      </c>
      <c r="B147" s="3189" t="s">
        <v>274</v>
      </c>
      <c r="C147" s="3190">
        <v>0.13</v>
      </c>
      <c r="D147" s="3190">
        <v>0.13</v>
      </c>
      <c r="E147" s="3190">
        <v>0.126</v>
      </c>
      <c r="F147" s="3201"/>
      <c r="G147" s="3191">
        <v>0.13</v>
      </c>
    </row>
    <row r="148" spans="1:7">
      <c r="A148" s="3200" t="s">
        <v>29</v>
      </c>
      <c r="B148" s="3189" t="s">
        <v>2894</v>
      </c>
      <c r="C148" s="3190">
        <v>0.13</v>
      </c>
      <c r="D148" s="3190">
        <v>0.13</v>
      </c>
      <c r="E148" s="3190">
        <v>0.13</v>
      </c>
      <c r="F148" s="3201"/>
      <c r="G148" s="3191">
        <v>0.13</v>
      </c>
    </row>
    <row r="149" spans="1:7">
      <c r="A149" s="3200" t="s">
        <v>29</v>
      </c>
      <c r="B149" s="3189" t="s">
        <v>2898</v>
      </c>
      <c r="C149" s="3190">
        <v>0.13</v>
      </c>
      <c r="D149" s="3190">
        <v>0.13</v>
      </c>
      <c r="E149" s="3190">
        <v>0.13</v>
      </c>
      <c r="F149" s="3190">
        <v>0.13</v>
      </c>
      <c r="G149" s="3191">
        <v>0.13</v>
      </c>
    </row>
    <row r="150" spans="1:7">
      <c r="A150" s="3200" t="s">
        <v>29</v>
      </c>
      <c r="B150" s="3189" t="s">
        <v>292</v>
      </c>
      <c r="C150" s="3190">
        <v>0.13</v>
      </c>
      <c r="D150" s="3190">
        <v>0.13</v>
      </c>
      <c r="E150" s="3190">
        <v>0.127</v>
      </c>
      <c r="F150" s="3190">
        <v>0.13</v>
      </c>
      <c r="G150" s="3191">
        <v>0.13</v>
      </c>
    </row>
    <row r="151" spans="1:7">
      <c r="A151" s="3200" t="s">
        <v>29</v>
      </c>
      <c r="B151" s="3189" t="s">
        <v>294</v>
      </c>
      <c r="C151" s="3190">
        <v>0.13</v>
      </c>
      <c r="D151" s="3190">
        <v>0.13</v>
      </c>
      <c r="E151" s="3190">
        <v>0.13</v>
      </c>
      <c r="F151" s="3190">
        <v>0.13</v>
      </c>
      <c r="G151" s="3191">
        <v>0.13</v>
      </c>
    </row>
    <row r="152" spans="1:7">
      <c r="A152" s="3200" t="s">
        <v>29</v>
      </c>
      <c r="B152" s="3189" t="s">
        <v>297</v>
      </c>
      <c r="C152" s="3190">
        <v>0.13</v>
      </c>
      <c r="D152" s="3190">
        <v>0.13</v>
      </c>
      <c r="E152" s="3190">
        <v>0.13</v>
      </c>
      <c r="F152" s="3190">
        <v>0.13</v>
      </c>
      <c r="G152" s="3191">
        <v>0.13</v>
      </c>
    </row>
    <row r="153" spans="1:7">
      <c r="A153" s="3200" t="s">
        <v>29</v>
      </c>
      <c r="B153" s="3189" t="s">
        <v>2917</v>
      </c>
      <c r="C153" s="3190">
        <v>0.13</v>
      </c>
      <c r="D153" s="3190">
        <v>0.13</v>
      </c>
      <c r="E153" s="3190">
        <v>0.13</v>
      </c>
      <c r="F153" s="3190">
        <v>0.13</v>
      </c>
      <c r="G153" s="3191">
        <v>0.13</v>
      </c>
    </row>
    <row r="154" spans="1:7">
      <c r="A154" s="3200" t="s">
        <v>29</v>
      </c>
      <c r="B154" s="3189" t="s">
        <v>2924</v>
      </c>
      <c r="C154" s="3190">
        <v>0.121</v>
      </c>
      <c r="D154" s="3190">
        <v>0.121</v>
      </c>
      <c r="E154" s="3190">
        <v>0.105</v>
      </c>
      <c r="F154" s="3190">
        <v>0.121</v>
      </c>
      <c r="G154" s="3191">
        <v>0.123</v>
      </c>
    </row>
    <row r="155" spans="1:7">
      <c r="A155" s="3200" t="s">
        <v>29</v>
      </c>
      <c r="B155" s="3189" t="s">
        <v>2930</v>
      </c>
      <c r="C155" s="3190">
        <v>0.1</v>
      </c>
      <c r="D155" s="3190">
        <v>0.1</v>
      </c>
      <c r="E155" s="3190">
        <v>0.1</v>
      </c>
      <c r="F155" s="3190">
        <v>0.1</v>
      </c>
      <c r="G155" s="3191">
        <v>0.1</v>
      </c>
    </row>
    <row r="156" spans="1:7">
      <c r="A156" s="3200" t="s">
        <v>29</v>
      </c>
      <c r="B156" s="3189" t="s">
        <v>2937</v>
      </c>
      <c r="C156" s="3190">
        <v>0.13</v>
      </c>
      <c r="D156" s="3190">
        <v>0.13</v>
      </c>
      <c r="E156" s="3190">
        <v>0.13</v>
      </c>
      <c r="F156" s="3190">
        <v>0.13</v>
      </c>
      <c r="G156" s="3191">
        <v>0.13</v>
      </c>
    </row>
    <row r="157" spans="1:7">
      <c r="A157" s="3200" t="s">
        <v>29</v>
      </c>
      <c r="B157" s="3189" t="s">
        <v>300</v>
      </c>
      <c r="C157" s="3190">
        <v>0.13</v>
      </c>
      <c r="D157" s="3190">
        <v>0.13</v>
      </c>
      <c r="E157" s="3190">
        <v>0.125</v>
      </c>
      <c r="F157" s="3190">
        <v>0.13</v>
      </c>
      <c r="G157" s="3191">
        <v>0.13</v>
      </c>
    </row>
    <row r="158" spans="1:7">
      <c r="A158" s="3200" t="s">
        <v>29</v>
      </c>
      <c r="B158" s="3189" t="s">
        <v>301</v>
      </c>
      <c r="C158" s="3190">
        <v>0.124</v>
      </c>
      <c r="D158" s="3190">
        <v>0.124</v>
      </c>
      <c r="E158" s="3190">
        <v>0.11700000000000001</v>
      </c>
      <c r="F158" s="3190">
        <v>0.121</v>
      </c>
      <c r="G158" s="3191">
        <v>0.124</v>
      </c>
    </row>
    <row r="159" spans="1:7">
      <c r="A159" s="3200" t="s">
        <v>29</v>
      </c>
      <c r="B159" s="3189" t="s">
        <v>302</v>
      </c>
      <c r="C159" s="3190">
        <v>0.127</v>
      </c>
      <c r="D159" s="3190">
        <v>0.127</v>
      </c>
      <c r="E159" s="3190">
        <v>0.122</v>
      </c>
      <c r="F159" s="3190">
        <v>0.13</v>
      </c>
      <c r="G159" s="3191">
        <v>0.129</v>
      </c>
    </row>
    <row r="160" spans="1:7">
      <c r="A160" s="3200" t="s">
        <v>29</v>
      </c>
      <c r="B160" s="3189" t="s">
        <v>2957</v>
      </c>
      <c r="C160" s="3190">
        <v>0.13</v>
      </c>
      <c r="D160" s="3190">
        <v>0.13</v>
      </c>
      <c r="E160" s="3190">
        <v>0.124</v>
      </c>
      <c r="F160" s="3190">
        <v>0.126</v>
      </c>
      <c r="G160" s="3191">
        <v>0.13</v>
      </c>
    </row>
    <row r="161" spans="1:7">
      <c r="A161" s="3200" t="s">
        <v>29</v>
      </c>
      <c r="B161" s="3189" t="s">
        <v>2962</v>
      </c>
      <c r="C161" s="3190">
        <v>0.13</v>
      </c>
      <c r="D161" s="3190">
        <v>0.13</v>
      </c>
      <c r="E161" s="3190">
        <v>0.124</v>
      </c>
      <c r="F161" s="3190">
        <v>0.127</v>
      </c>
      <c r="G161" s="3191">
        <v>0.13</v>
      </c>
    </row>
    <row r="162" spans="1:7">
      <c r="A162" s="3200" t="s">
        <v>29</v>
      </c>
      <c r="B162" s="3189" t="s">
        <v>2967</v>
      </c>
      <c r="C162" s="3190">
        <v>0.1</v>
      </c>
      <c r="D162" s="3190">
        <v>0.1</v>
      </c>
      <c r="E162" s="3190">
        <v>0.1</v>
      </c>
      <c r="F162" s="3190">
        <v>0.121</v>
      </c>
      <c r="G162" s="3191">
        <v>0.105</v>
      </c>
    </row>
    <row r="163" spans="1:7">
      <c r="A163" s="3200" t="s">
        <v>29</v>
      </c>
      <c r="B163" s="3189" t="s">
        <v>2972</v>
      </c>
      <c r="C163" s="3190">
        <v>0.1</v>
      </c>
      <c r="D163" s="3190">
        <v>0.1</v>
      </c>
      <c r="E163" s="3190">
        <v>0.1</v>
      </c>
      <c r="F163" s="3190">
        <v>0.1</v>
      </c>
      <c r="G163" s="3191">
        <v>0.1</v>
      </c>
    </row>
    <row r="164" spans="1:7">
      <c r="A164" s="3200" t="s">
        <v>29</v>
      </c>
      <c r="B164" s="3189" t="s">
        <v>2977</v>
      </c>
      <c r="C164" s="3206"/>
      <c r="D164" s="3206"/>
      <c r="E164" s="3206"/>
      <c r="F164" s="3190">
        <v>0.1</v>
      </c>
      <c r="G164" s="3202"/>
    </row>
    <row r="165" spans="1:7">
      <c r="A165" s="3200" t="s">
        <v>29</v>
      </c>
      <c r="B165" s="3189" t="s">
        <v>3148</v>
      </c>
      <c r="C165" s="3190">
        <v>0.126</v>
      </c>
      <c r="D165" s="3190">
        <v>0.126</v>
      </c>
      <c r="E165" s="3190">
        <v>0.11899999999999999</v>
      </c>
      <c r="F165" s="3190">
        <v>0.13</v>
      </c>
      <c r="G165" s="3191">
        <v>0.128</v>
      </c>
    </row>
    <row r="166" spans="1:7">
      <c r="A166" s="3200" t="s">
        <v>29</v>
      </c>
      <c r="B166" s="3189" t="s">
        <v>2987</v>
      </c>
      <c r="C166" s="3190">
        <v>0.129</v>
      </c>
      <c r="D166" s="3190">
        <v>0.129</v>
      </c>
      <c r="E166" s="3190">
        <v>0.123</v>
      </c>
      <c r="F166" s="3190">
        <v>0.128</v>
      </c>
      <c r="G166" s="3191">
        <v>0.13</v>
      </c>
    </row>
    <row r="167" spans="1:7">
      <c r="A167" s="3200" t="s">
        <v>29</v>
      </c>
      <c r="B167" s="3189" t="s">
        <v>2991</v>
      </c>
      <c r="C167" s="3190">
        <v>0.125</v>
      </c>
      <c r="D167" s="3190">
        <v>0.125</v>
      </c>
      <c r="E167" s="3190">
        <v>0.11700000000000001</v>
      </c>
      <c r="F167" s="3190">
        <v>0.13</v>
      </c>
      <c r="G167" s="3191">
        <v>0.126</v>
      </c>
    </row>
    <row r="168" spans="1:7">
      <c r="A168" s="3200" t="s">
        <v>29</v>
      </c>
      <c r="B168" s="3189" t="s">
        <v>2996</v>
      </c>
      <c r="C168" s="3190">
        <v>0.128</v>
      </c>
      <c r="D168" s="3190">
        <v>0.128</v>
      </c>
      <c r="E168" s="3190">
        <v>0.123</v>
      </c>
      <c r="F168" s="3201"/>
      <c r="G168" s="3191">
        <v>0.13</v>
      </c>
    </row>
    <row r="169" spans="1:7">
      <c r="A169" s="3200" t="s">
        <v>29</v>
      </c>
      <c r="B169" s="3189" t="s">
        <v>3149</v>
      </c>
      <c r="C169" s="3206"/>
      <c r="D169" s="3206"/>
      <c r="E169" s="3206"/>
      <c r="F169" s="3190">
        <v>0.05</v>
      </c>
      <c r="G169" s="3202"/>
    </row>
    <row r="170" spans="1:7">
      <c r="A170" s="3200" t="s">
        <v>29</v>
      </c>
      <c r="B170" s="3189" t="s">
        <v>3150</v>
      </c>
      <c r="C170" s="3206"/>
      <c r="D170" s="3206"/>
      <c r="E170" s="3206"/>
      <c r="F170" s="3190">
        <v>0.05</v>
      </c>
      <c r="G170" s="3202"/>
    </row>
    <row r="171" spans="1:7">
      <c r="A171" s="3200" t="s">
        <v>29</v>
      </c>
      <c r="B171" s="3189" t="s">
        <v>3151</v>
      </c>
      <c r="C171" s="3206"/>
      <c r="D171" s="3206"/>
      <c r="E171" s="3206"/>
      <c r="F171" s="3190">
        <v>0.05</v>
      </c>
      <c r="G171" s="3207"/>
    </row>
    <row r="172" spans="1:7">
      <c r="A172" s="3200" t="s">
        <v>29</v>
      </c>
      <c r="B172" s="3189" t="s">
        <v>3152</v>
      </c>
      <c r="C172" s="3206"/>
      <c r="D172" s="3206"/>
      <c r="E172" s="3206"/>
      <c r="F172" s="3190">
        <v>0.05</v>
      </c>
      <c r="G172" s="3207"/>
    </row>
    <row r="173" spans="1:7">
      <c r="A173" s="3200" t="s">
        <v>29</v>
      </c>
      <c r="B173" s="3189" t="s">
        <v>3153</v>
      </c>
      <c r="C173" s="3206"/>
      <c r="D173" s="3206"/>
      <c r="E173" s="3206"/>
      <c r="F173" s="3190">
        <v>0.05</v>
      </c>
      <c r="G173" s="3202"/>
    </row>
    <row r="174" spans="1:7">
      <c r="A174" s="3200" t="s">
        <v>29</v>
      </c>
      <c r="B174" s="3189" t="s">
        <v>3154</v>
      </c>
      <c r="C174" s="3206"/>
      <c r="D174" s="3206"/>
      <c r="E174" s="3206"/>
      <c r="F174" s="3190">
        <v>0.05</v>
      </c>
      <c r="G174" s="3202"/>
    </row>
    <row r="175" spans="1:7">
      <c r="A175" s="3200" t="s">
        <v>29</v>
      </c>
      <c r="B175" s="3189" t="s">
        <v>3155</v>
      </c>
      <c r="C175" s="3206"/>
      <c r="D175" s="3206"/>
      <c r="E175" s="3206"/>
      <c r="F175" s="3190">
        <v>0.05</v>
      </c>
      <c r="G175" s="3202"/>
    </row>
    <row r="176" spans="1:7">
      <c r="A176" s="3200" t="s">
        <v>29</v>
      </c>
      <c r="B176" s="3189" t="s">
        <v>3156</v>
      </c>
      <c r="C176" s="3206"/>
      <c r="D176" s="3206"/>
      <c r="E176" s="3206"/>
      <c r="F176" s="3190">
        <v>0.05</v>
      </c>
      <c r="G176" s="3202"/>
    </row>
    <row r="177" spans="1:7">
      <c r="A177" s="3200" t="s">
        <v>29</v>
      </c>
      <c r="B177" s="3189" t="s">
        <v>3157</v>
      </c>
      <c r="C177" s="3201"/>
      <c r="D177" s="3201"/>
      <c r="E177" s="3201"/>
      <c r="F177" s="3190">
        <v>0.05</v>
      </c>
      <c r="G177" s="3207"/>
    </row>
    <row r="178" spans="1:7">
      <c r="A178" s="3200" t="s">
        <v>29</v>
      </c>
      <c r="B178" s="3189" t="s">
        <v>3158</v>
      </c>
      <c r="C178" s="3201"/>
      <c r="D178" s="3201"/>
      <c r="E178" s="3201"/>
      <c r="F178" s="3190">
        <v>0.05</v>
      </c>
      <c r="G178" s="3207"/>
    </row>
    <row r="179" spans="1:7">
      <c r="A179" s="3200" t="s">
        <v>29</v>
      </c>
      <c r="B179" s="3189" t="s">
        <v>3159</v>
      </c>
      <c r="C179" s="3201"/>
      <c r="D179" s="3201"/>
      <c r="E179" s="3201"/>
      <c r="F179" s="3190">
        <v>0.05</v>
      </c>
      <c r="G179" s="3207"/>
    </row>
    <row r="180" spans="1:7">
      <c r="A180" s="3200" t="s">
        <v>29</v>
      </c>
      <c r="B180" s="3189" t="s">
        <v>3160</v>
      </c>
      <c r="C180" s="3201"/>
      <c r="D180" s="3201"/>
      <c r="E180" s="3201"/>
      <c r="F180" s="3190">
        <v>0.05</v>
      </c>
      <c r="G180" s="3207"/>
    </row>
    <row r="181" spans="1:7">
      <c r="A181" s="3200" t="s">
        <v>29</v>
      </c>
      <c r="B181" s="3189" t="s">
        <v>3161</v>
      </c>
      <c r="C181" s="3201"/>
      <c r="D181" s="3201"/>
      <c r="E181" s="3201"/>
      <c r="F181" s="3190">
        <v>0.05</v>
      </c>
      <c r="G181" s="3207"/>
    </row>
    <row r="182" spans="1:7">
      <c r="A182" s="3200" t="s">
        <v>29</v>
      </c>
      <c r="B182" s="3189" t="s">
        <v>3162</v>
      </c>
      <c r="C182" s="3201"/>
      <c r="D182" s="3201"/>
      <c r="E182" s="3201"/>
      <c r="F182" s="3190">
        <v>0.05</v>
      </c>
      <c r="G182" s="3207"/>
    </row>
    <row r="183" spans="1:7">
      <c r="A183" s="3200" t="s">
        <v>29</v>
      </c>
      <c r="B183" s="3189" t="s">
        <v>3163</v>
      </c>
      <c r="C183" s="3201"/>
      <c r="D183" s="3201"/>
      <c r="E183" s="3201"/>
      <c r="F183" s="3190">
        <v>0.05</v>
      </c>
      <c r="G183" s="3207"/>
    </row>
    <row r="184" spans="1:7">
      <c r="A184" s="3200" t="s">
        <v>29</v>
      </c>
      <c r="B184" s="3189" t="s">
        <v>3164</v>
      </c>
      <c r="C184" s="3201"/>
      <c r="D184" s="3201"/>
      <c r="E184" s="3201"/>
      <c r="F184" s="3190">
        <v>0.05</v>
      </c>
      <c r="G184" s="3207"/>
    </row>
    <row r="185" spans="1:7">
      <c r="A185" s="3200" t="s">
        <v>29</v>
      </c>
      <c r="B185" s="3189" t="s">
        <v>3165</v>
      </c>
      <c r="C185" s="3201"/>
      <c r="D185" s="3201"/>
      <c r="E185" s="3201"/>
      <c r="F185" s="3190">
        <v>0.05</v>
      </c>
      <c r="G185" s="3207"/>
    </row>
    <row r="186" spans="1:7">
      <c r="A186" s="3200" t="s">
        <v>29</v>
      </c>
      <c r="B186" s="3189" t="s">
        <v>3166</v>
      </c>
      <c r="C186" s="3201"/>
      <c r="D186" s="3201"/>
      <c r="E186" s="3201"/>
      <c r="F186" s="3190">
        <v>0.05</v>
      </c>
      <c r="G186" s="3207"/>
    </row>
    <row r="187" spans="1:7">
      <c r="A187" s="3200" t="s">
        <v>29</v>
      </c>
      <c r="B187" s="3189" t="s">
        <v>3167</v>
      </c>
      <c r="C187" s="3201"/>
      <c r="D187" s="3201"/>
      <c r="E187" s="3201"/>
      <c r="F187" s="3190">
        <v>0.05</v>
      </c>
      <c r="G187" s="3207"/>
    </row>
    <row r="188" spans="1:7">
      <c r="A188" s="3200" t="s">
        <v>29</v>
      </c>
      <c r="B188" s="3189" t="s">
        <v>3168</v>
      </c>
      <c r="C188" s="3201"/>
      <c r="D188" s="3201"/>
      <c r="E188" s="3201"/>
      <c r="F188" s="3190">
        <v>0.05</v>
      </c>
      <c r="G188" s="3207"/>
    </row>
    <row r="189" spans="1:7" ht="14.25" thickBot="1">
      <c r="A189" s="3203" t="s">
        <v>29</v>
      </c>
      <c r="B189" s="3193" t="s">
        <v>3169</v>
      </c>
      <c r="C189" s="3195"/>
      <c r="D189" s="3195"/>
      <c r="E189" s="3195"/>
      <c r="F189" s="3194">
        <v>0.05</v>
      </c>
      <c r="G189" s="3208"/>
    </row>
    <row r="190" spans="1:7">
      <c r="A190" s="3199" t="s">
        <v>304</v>
      </c>
      <c r="B190" s="3185" t="s">
        <v>2825</v>
      </c>
      <c r="C190" s="3186">
        <v>0.124</v>
      </c>
      <c r="D190" s="3186">
        <v>0.124</v>
      </c>
      <c r="E190" s="3186">
        <v>0.129</v>
      </c>
      <c r="F190" s="3186">
        <v>0.13</v>
      </c>
      <c r="G190" s="3187">
        <v>0.127</v>
      </c>
    </row>
    <row r="191" spans="1:7">
      <c r="A191" s="3200" t="s">
        <v>304</v>
      </c>
      <c r="B191" s="3189" t="s">
        <v>133</v>
      </c>
      <c r="C191" s="3190">
        <v>0.13</v>
      </c>
      <c r="D191" s="3190">
        <v>0.13</v>
      </c>
      <c r="E191" s="3190">
        <v>0.13</v>
      </c>
      <c r="F191" s="3190">
        <v>0.13</v>
      </c>
      <c r="G191" s="3191">
        <v>0.13</v>
      </c>
    </row>
    <row r="192" spans="1:7">
      <c r="A192" s="3200" t="s">
        <v>304</v>
      </c>
      <c r="B192" s="3189" t="s">
        <v>142</v>
      </c>
      <c r="C192" s="3190">
        <v>0.13</v>
      </c>
      <c r="D192" s="3190">
        <v>0.13</v>
      </c>
      <c r="E192" s="3190">
        <v>0.13</v>
      </c>
      <c r="F192" s="3190">
        <v>0.13</v>
      </c>
      <c r="G192" s="3191">
        <v>0.13</v>
      </c>
    </row>
    <row r="193" spans="1:7">
      <c r="A193" s="3200" t="s">
        <v>304</v>
      </c>
      <c r="B193" s="3189" t="s">
        <v>151</v>
      </c>
      <c r="C193" s="3190">
        <v>0.13</v>
      </c>
      <c r="D193" s="3190">
        <v>0.13</v>
      </c>
      <c r="E193" s="3190">
        <v>0.13</v>
      </c>
      <c r="F193" s="3190">
        <v>0.13</v>
      </c>
      <c r="G193" s="3191">
        <v>0.13</v>
      </c>
    </row>
    <row r="194" spans="1:7">
      <c r="A194" s="3200" t="s">
        <v>304</v>
      </c>
      <c r="B194" s="3189" t="s">
        <v>160</v>
      </c>
      <c r="C194" s="3190">
        <v>0.123</v>
      </c>
      <c r="D194" s="3190">
        <v>0.123</v>
      </c>
      <c r="E194" s="3190">
        <v>0.128</v>
      </c>
      <c r="F194" s="3190">
        <v>0.13</v>
      </c>
      <c r="G194" s="3191">
        <v>0.126</v>
      </c>
    </row>
    <row r="195" spans="1:7">
      <c r="A195" s="3200" t="s">
        <v>304</v>
      </c>
      <c r="B195" s="3189" t="s">
        <v>167</v>
      </c>
      <c r="C195" s="3190">
        <v>0.127</v>
      </c>
      <c r="D195" s="3190">
        <v>0.127</v>
      </c>
      <c r="E195" s="3190">
        <v>0.121</v>
      </c>
      <c r="F195" s="3190">
        <v>0.129</v>
      </c>
      <c r="G195" s="3191">
        <v>0.129</v>
      </c>
    </row>
    <row r="196" spans="1:7">
      <c r="A196" s="3200" t="s">
        <v>304</v>
      </c>
      <c r="B196" s="3189" t="s">
        <v>173</v>
      </c>
      <c r="C196" s="3190">
        <v>0.127</v>
      </c>
      <c r="D196" s="3190">
        <v>0.128</v>
      </c>
      <c r="E196" s="3190">
        <v>0.122</v>
      </c>
      <c r="F196" s="3190">
        <v>0.13</v>
      </c>
      <c r="G196" s="3191">
        <v>0.129</v>
      </c>
    </row>
    <row r="197" spans="1:7">
      <c r="A197" s="3200" t="s">
        <v>304</v>
      </c>
      <c r="B197" s="3189" t="s">
        <v>180</v>
      </c>
      <c r="C197" s="3190">
        <v>0.126</v>
      </c>
      <c r="D197" s="3190">
        <v>0.126</v>
      </c>
      <c r="E197" s="3190">
        <v>0.11899999999999999</v>
      </c>
      <c r="F197" s="3190">
        <v>0.13</v>
      </c>
      <c r="G197" s="3191">
        <v>0.128</v>
      </c>
    </row>
    <row r="198" spans="1:7">
      <c r="A198" s="3200" t="s">
        <v>304</v>
      </c>
      <c r="B198" s="3189" t="s">
        <v>190</v>
      </c>
      <c r="C198" s="3190">
        <v>0.13</v>
      </c>
      <c r="D198" s="3190">
        <v>0.13</v>
      </c>
      <c r="E198" s="3190">
        <v>0.126</v>
      </c>
      <c r="F198" s="3206"/>
      <c r="G198" s="3191">
        <v>0.13</v>
      </c>
    </row>
    <row r="199" spans="1:7">
      <c r="A199" s="3200" t="s">
        <v>304</v>
      </c>
      <c r="B199" s="3189" t="s">
        <v>2861</v>
      </c>
      <c r="C199" s="3190">
        <v>0.13</v>
      </c>
      <c r="D199" s="3190">
        <v>0.13</v>
      </c>
      <c r="E199" s="3190">
        <v>0.13</v>
      </c>
      <c r="F199" s="3190">
        <v>0.13</v>
      </c>
      <c r="G199" s="3191">
        <v>0.13</v>
      </c>
    </row>
    <row r="200" spans="1:7">
      <c r="A200" s="3200" t="s">
        <v>304</v>
      </c>
      <c r="B200" s="3189" t="s">
        <v>2864</v>
      </c>
      <c r="C200" s="3206"/>
      <c r="D200" s="3206"/>
      <c r="E200" s="3206"/>
      <c r="F200" s="3190">
        <v>0.13</v>
      </c>
      <c r="G200" s="3202"/>
    </row>
    <row r="201" spans="1:7">
      <c r="A201" s="3200" t="s">
        <v>304</v>
      </c>
      <c r="B201" s="3189" t="s">
        <v>2869</v>
      </c>
      <c r="C201" s="3190">
        <v>0.13</v>
      </c>
      <c r="D201" s="3190">
        <v>0.13</v>
      </c>
      <c r="E201" s="3190">
        <v>0.13</v>
      </c>
      <c r="F201" s="3190">
        <v>0.129</v>
      </c>
      <c r="G201" s="3191">
        <v>0.13</v>
      </c>
    </row>
    <row r="202" spans="1:7">
      <c r="A202" s="3200" t="s">
        <v>304</v>
      </c>
      <c r="B202" s="3189" t="s">
        <v>240</v>
      </c>
      <c r="C202" s="3190">
        <v>0.13</v>
      </c>
      <c r="D202" s="3190">
        <v>0.13</v>
      </c>
      <c r="E202" s="3190">
        <v>0.13</v>
      </c>
      <c r="F202" s="3190">
        <v>0.13</v>
      </c>
      <c r="G202" s="3191">
        <v>0.13</v>
      </c>
    </row>
    <row r="203" spans="1:7">
      <c r="A203" s="3200" t="s">
        <v>304</v>
      </c>
      <c r="B203" s="3189" t="s">
        <v>2872</v>
      </c>
      <c r="C203" s="3190">
        <v>0.129</v>
      </c>
      <c r="D203" s="3190">
        <v>0.129</v>
      </c>
      <c r="E203" s="3190">
        <v>0.13</v>
      </c>
      <c r="F203" s="3190">
        <v>0.13</v>
      </c>
      <c r="G203" s="3191">
        <v>0.13</v>
      </c>
    </row>
    <row r="204" spans="1:7">
      <c r="A204" s="3200" t="s">
        <v>304</v>
      </c>
      <c r="B204" s="3189" t="s">
        <v>2875</v>
      </c>
      <c r="C204" s="3190">
        <v>0.129</v>
      </c>
      <c r="D204" s="3190">
        <v>0.129</v>
      </c>
      <c r="E204" s="3190">
        <v>0.123</v>
      </c>
      <c r="F204" s="3190">
        <v>0.13</v>
      </c>
      <c r="G204" s="3191">
        <v>0.13</v>
      </c>
    </row>
    <row r="205" spans="1:7">
      <c r="A205" s="3200" t="s">
        <v>304</v>
      </c>
      <c r="B205" s="3189" t="s">
        <v>2877</v>
      </c>
      <c r="C205" s="3190">
        <v>0.13</v>
      </c>
      <c r="D205" s="3190">
        <v>0.13</v>
      </c>
      <c r="E205" s="3190">
        <v>0.13</v>
      </c>
      <c r="F205" s="3190">
        <v>0.13</v>
      </c>
      <c r="G205" s="3191">
        <v>0.13</v>
      </c>
    </row>
    <row r="206" spans="1:7">
      <c r="A206" s="3200" t="s">
        <v>304</v>
      </c>
      <c r="B206" s="3189" t="s">
        <v>2880</v>
      </c>
      <c r="C206" s="3190">
        <v>0.13</v>
      </c>
      <c r="D206" s="3190">
        <v>0.13</v>
      </c>
      <c r="E206" s="3190">
        <v>0.13</v>
      </c>
      <c r="F206" s="3190">
        <v>0.128</v>
      </c>
      <c r="G206" s="3191">
        <v>0.13</v>
      </c>
    </row>
    <row r="207" spans="1:7">
      <c r="A207" s="3200" t="s">
        <v>304</v>
      </c>
      <c r="B207" s="3189" t="s">
        <v>2882</v>
      </c>
      <c r="C207" s="3190">
        <v>0.13</v>
      </c>
      <c r="D207" s="3190">
        <v>0.13</v>
      </c>
      <c r="E207" s="3190">
        <v>0.13</v>
      </c>
      <c r="F207" s="3190">
        <v>0.13</v>
      </c>
      <c r="G207" s="3191">
        <v>0.13</v>
      </c>
    </row>
    <row r="208" spans="1:7">
      <c r="A208" s="3200" t="s">
        <v>304</v>
      </c>
      <c r="B208" s="3189" t="s">
        <v>2885</v>
      </c>
      <c r="C208" s="3190">
        <v>0.13</v>
      </c>
      <c r="D208" s="3190">
        <v>0.13</v>
      </c>
      <c r="E208" s="3190">
        <v>0.13</v>
      </c>
      <c r="F208" s="3190">
        <v>0.13</v>
      </c>
      <c r="G208" s="3191">
        <v>0.13</v>
      </c>
    </row>
    <row r="209" spans="1:7">
      <c r="A209" s="3200" t="s">
        <v>304</v>
      </c>
      <c r="B209" s="3189" t="s">
        <v>264</v>
      </c>
      <c r="C209" s="3190">
        <v>0.13</v>
      </c>
      <c r="D209" s="3190">
        <v>0.13</v>
      </c>
      <c r="E209" s="3190">
        <v>0.13</v>
      </c>
      <c r="F209" s="3190">
        <v>0.13</v>
      </c>
      <c r="G209" s="3191">
        <v>0.13</v>
      </c>
    </row>
    <row r="210" spans="1:7">
      <c r="A210" s="3200" t="s">
        <v>304</v>
      </c>
      <c r="B210" s="3189" t="s">
        <v>2892</v>
      </c>
      <c r="C210" s="3190">
        <v>0.121</v>
      </c>
      <c r="D210" s="3190">
        <v>0.121</v>
      </c>
      <c r="E210" s="3190">
        <v>0.125</v>
      </c>
      <c r="F210" s="3190">
        <v>0.13</v>
      </c>
      <c r="G210" s="3191">
        <v>0.123</v>
      </c>
    </row>
    <row r="211" spans="1:7">
      <c r="A211" s="3200" t="s">
        <v>304</v>
      </c>
      <c r="B211" s="3189" t="s">
        <v>2895</v>
      </c>
      <c r="C211" s="3190">
        <v>0.123</v>
      </c>
      <c r="D211" s="3190">
        <v>0.123</v>
      </c>
      <c r="E211" s="3190">
        <v>0.127</v>
      </c>
      <c r="F211" s="3190">
        <v>0.115</v>
      </c>
      <c r="G211" s="3191">
        <v>0.126</v>
      </c>
    </row>
    <row r="212" spans="1:7">
      <c r="A212" s="3200" t="s">
        <v>304</v>
      </c>
      <c r="B212" s="3189" t="s">
        <v>285</v>
      </c>
      <c r="C212" s="3190">
        <v>0.126</v>
      </c>
      <c r="D212" s="3190">
        <v>0.126</v>
      </c>
      <c r="E212" s="3190">
        <v>0.13</v>
      </c>
      <c r="F212" s="3190">
        <v>0.13</v>
      </c>
      <c r="G212" s="3191">
        <v>0.129</v>
      </c>
    </row>
    <row r="213" spans="1:7">
      <c r="A213" s="3200" t="s">
        <v>304</v>
      </c>
      <c r="B213" s="3189" t="s">
        <v>288</v>
      </c>
      <c r="C213" s="3190">
        <v>0.129</v>
      </c>
      <c r="D213" s="3190">
        <v>0.13</v>
      </c>
      <c r="E213" s="3190">
        <v>0.127</v>
      </c>
      <c r="F213" s="3190">
        <v>0.13</v>
      </c>
      <c r="G213" s="3191">
        <v>0.13</v>
      </c>
    </row>
    <row r="214" spans="1:7">
      <c r="A214" s="3200" t="s">
        <v>304</v>
      </c>
      <c r="B214" s="3189" t="s">
        <v>2907</v>
      </c>
      <c r="C214" s="3190">
        <v>0.128</v>
      </c>
      <c r="D214" s="3190">
        <v>0.128</v>
      </c>
      <c r="E214" s="3190">
        <v>0.13</v>
      </c>
      <c r="F214" s="3190">
        <v>0.13</v>
      </c>
      <c r="G214" s="3191">
        <v>0.13</v>
      </c>
    </row>
    <row r="215" spans="1:7">
      <c r="A215" s="3200" t="s">
        <v>304</v>
      </c>
      <c r="B215" s="3189" t="s">
        <v>2911</v>
      </c>
      <c r="C215" s="3190">
        <v>0.13</v>
      </c>
      <c r="D215" s="3190">
        <v>0.13</v>
      </c>
      <c r="E215" s="3190">
        <v>0.13</v>
      </c>
      <c r="F215" s="3190">
        <v>0.129</v>
      </c>
      <c r="G215" s="3191">
        <v>0.13</v>
      </c>
    </row>
    <row r="216" spans="1:7">
      <c r="A216" s="3200" t="s">
        <v>304</v>
      </c>
      <c r="B216" s="3189" t="s">
        <v>2918</v>
      </c>
      <c r="C216" s="3190">
        <v>0.13</v>
      </c>
      <c r="D216" s="3190">
        <v>0.13</v>
      </c>
      <c r="E216" s="3190">
        <v>0.13</v>
      </c>
      <c r="F216" s="3190">
        <v>0.13</v>
      </c>
      <c r="G216" s="3191">
        <v>0.13</v>
      </c>
    </row>
    <row r="217" spans="1:7">
      <c r="A217" s="3200" t="s">
        <v>304</v>
      </c>
      <c r="B217" s="3189" t="s">
        <v>2925</v>
      </c>
      <c r="C217" s="3190">
        <v>0.129</v>
      </c>
      <c r="D217" s="3190">
        <v>0.129</v>
      </c>
      <c r="E217" s="3190">
        <v>0.13</v>
      </c>
      <c r="F217" s="3190">
        <v>0.13</v>
      </c>
      <c r="G217" s="3191">
        <v>0.13</v>
      </c>
    </row>
    <row r="218" spans="1:7">
      <c r="A218" s="3200" t="s">
        <v>304</v>
      </c>
      <c r="B218" s="3189" t="s">
        <v>2931</v>
      </c>
      <c r="C218" s="3201"/>
      <c r="D218" s="3201"/>
      <c r="E218" s="3201"/>
      <c r="F218" s="3190">
        <v>0.05</v>
      </c>
      <c r="G218" s="3207"/>
    </row>
    <row r="219" spans="1:7">
      <c r="A219" s="3200" t="s">
        <v>304</v>
      </c>
      <c r="B219" s="3189" t="s">
        <v>2938</v>
      </c>
      <c r="C219" s="3201"/>
      <c r="D219" s="3201"/>
      <c r="E219" s="3201"/>
      <c r="F219" s="3190">
        <v>0.05</v>
      </c>
      <c r="G219" s="3207"/>
    </row>
    <row r="220" spans="1:7">
      <c r="A220" s="3200" t="s">
        <v>304</v>
      </c>
      <c r="B220" s="3189" t="s">
        <v>2944</v>
      </c>
      <c r="C220" s="3201"/>
      <c r="D220" s="3201"/>
      <c r="E220" s="3201"/>
      <c r="F220" s="3190">
        <v>0.05</v>
      </c>
      <c r="G220" s="3207"/>
    </row>
    <row r="221" spans="1:7">
      <c r="A221" s="3200" t="s">
        <v>304</v>
      </c>
      <c r="B221" s="3189" t="s">
        <v>2949</v>
      </c>
      <c r="C221" s="3201"/>
      <c r="D221" s="3201"/>
      <c r="E221" s="3201"/>
      <c r="F221" s="3190">
        <v>0.05</v>
      </c>
      <c r="G221" s="3207"/>
    </row>
    <row r="222" spans="1:7">
      <c r="A222" s="3200" t="s">
        <v>304</v>
      </c>
      <c r="B222" s="3189" t="s">
        <v>2953</v>
      </c>
      <c r="C222" s="3201"/>
      <c r="D222" s="3201"/>
      <c r="E222" s="3201"/>
      <c r="F222" s="3190">
        <v>0.05</v>
      </c>
      <c r="G222" s="3207"/>
    </row>
    <row r="223" spans="1:7">
      <c r="A223" s="3200" t="s">
        <v>304</v>
      </c>
      <c r="B223" s="3189" t="s">
        <v>2958</v>
      </c>
      <c r="C223" s="3201"/>
      <c r="D223" s="3201"/>
      <c r="E223" s="3201"/>
      <c r="F223" s="3190">
        <v>0.05</v>
      </c>
      <c r="G223" s="3207"/>
    </row>
    <row r="224" spans="1:7">
      <c r="A224" s="3200" t="s">
        <v>304</v>
      </c>
      <c r="B224" s="3189" t="s">
        <v>2963</v>
      </c>
      <c r="C224" s="3201"/>
      <c r="D224" s="3201"/>
      <c r="E224" s="3201"/>
      <c r="F224" s="3190">
        <v>0.05</v>
      </c>
      <c r="G224" s="3207"/>
    </row>
    <row r="225" spans="1:7">
      <c r="A225" s="3200" t="s">
        <v>304</v>
      </c>
      <c r="B225" s="3189" t="s">
        <v>2968</v>
      </c>
      <c r="C225" s="3201"/>
      <c r="D225" s="3201"/>
      <c r="E225" s="3201"/>
      <c r="F225" s="3190">
        <v>0.05</v>
      </c>
      <c r="G225" s="3207"/>
    </row>
    <row r="226" spans="1:7">
      <c r="A226" s="3200" t="s">
        <v>304</v>
      </c>
      <c r="B226" s="3189" t="s">
        <v>3170</v>
      </c>
      <c r="C226" s="3201"/>
      <c r="D226" s="3201"/>
      <c r="E226" s="3201"/>
      <c r="F226" s="3190">
        <v>0.05</v>
      </c>
      <c r="G226" s="3207"/>
    </row>
    <row r="227" spans="1:7">
      <c r="A227" s="3200" t="s">
        <v>304</v>
      </c>
      <c r="B227" s="3189" t="s">
        <v>3171</v>
      </c>
      <c r="C227" s="3201"/>
      <c r="D227" s="3201"/>
      <c r="E227" s="3201"/>
      <c r="F227" s="3190">
        <v>0.05</v>
      </c>
      <c r="G227" s="3207"/>
    </row>
    <row r="228" spans="1:7">
      <c r="A228" s="3200" t="s">
        <v>304</v>
      </c>
      <c r="B228" s="3189" t="s">
        <v>3172</v>
      </c>
      <c r="C228" s="3201"/>
      <c r="D228" s="3201"/>
      <c r="E228" s="3201"/>
      <c r="F228" s="3190">
        <v>0.05</v>
      </c>
      <c r="G228" s="3207"/>
    </row>
    <row r="229" spans="1:7">
      <c r="A229" s="3200" t="s">
        <v>304</v>
      </c>
      <c r="B229" s="3189" t="s">
        <v>3173</v>
      </c>
      <c r="C229" s="3201"/>
      <c r="D229" s="3201"/>
      <c r="E229" s="3201"/>
      <c r="F229" s="3190">
        <v>0.05</v>
      </c>
      <c r="G229" s="3207"/>
    </row>
    <row r="230" spans="1:7">
      <c r="A230" s="3200" t="s">
        <v>304</v>
      </c>
      <c r="B230" s="3189" t="s">
        <v>3174</v>
      </c>
      <c r="C230" s="3201"/>
      <c r="D230" s="3201"/>
      <c r="E230" s="3201"/>
      <c r="F230" s="3190">
        <v>0.05</v>
      </c>
      <c r="G230" s="3207"/>
    </row>
    <row r="231" spans="1:7">
      <c r="A231" s="3200" t="s">
        <v>304</v>
      </c>
      <c r="B231" s="3189" t="s">
        <v>3175</v>
      </c>
      <c r="C231" s="3201"/>
      <c r="D231" s="3201"/>
      <c r="E231" s="3201"/>
      <c r="F231" s="3190">
        <v>0.05</v>
      </c>
      <c r="G231" s="3207"/>
    </row>
    <row r="232" spans="1:7">
      <c r="A232" s="3200" t="s">
        <v>304</v>
      </c>
      <c r="B232" s="3189" t="s">
        <v>3176</v>
      </c>
      <c r="C232" s="3201"/>
      <c r="D232" s="3201"/>
      <c r="E232" s="3201"/>
      <c r="F232" s="3190">
        <v>0.05</v>
      </c>
      <c r="G232" s="3207"/>
    </row>
    <row r="233" spans="1:7" ht="14.25" thickBot="1">
      <c r="A233" s="3203" t="s">
        <v>304</v>
      </c>
      <c r="B233" s="3193" t="s">
        <v>3177</v>
      </c>
      <c r="C233" s="3195"/>
      <c r="D233" s="3195"/>
      <c r="E233" s="3195"/>
      <c r="F233" s="3194">
        <v>0.05</v>
      </c>
      <c r="G233" s="3208"/>
    </row>
    <row r="234" spans="1:7">
      <c r="A234" s="3199" t="s">
        <v>305</v>
      </c>
      <c r="B234" s="3185" t="s">
        <v>2826</v>
      </c>
      <c r="C234" s="3186">
        <v>0.13</v>
      </c>
      <c r="D234" s="3186">
        <v>0.128</v>
      </c>
      <c r="E234" s="3186">
        <v>0.14199999999999999</v>
      </c>
      <c r="F234" s="3186">
        <v>0.14699999999999999</v>
      </c>
      <c r="G234" s="3187">
        <v>0.14000000000000001</v>
      </c>
    </row>
    <row r="235" spans="1:7">
      <c r="A235" s="3200" t="s">
        <v>305</v>
      </c>
      <c r="B235" s="3189" t="s">
        <v>134</v>
      </c>
      <c r="C235" s="3190">
        <v>0.13600000000000001</v>
      </c>
      <c r="D235" s="3190">
        <v>0.13800000000000001</v>
      </c>
      <c r="E235" s="3190">
        <v>0.14499999999999999</v>
      </c>
      <c r="F235" s="3190">
        <v>0.14299999999999999</v>
      </c>
      <c r="G235" s="3191">
        <v>0.14099999999999999</v>
      </c>
    </row>
    <row r="236" spans="1:7">
      <c r="A236" s="3200" t="s">
        <v>305</v>
      </c>
      <c r="B236" s="3189" t="s">
        <v>143</v>
      </c>
      <c r="C236" s="3190">
        <v>0.15</v>
      </c>
      <c r="D236" s="3190">
        <v>0.15</v>
      </c>
      <c r="E236" s="3190">
        <v>0.15</v>
      </c>
      <c r="F236" s="3190">
        <v>0.15</v>
      </c>
      <c r="G236" s="3191">
        <v>0.15</v>
      </c>
    </row>
    <row r="237" spans="1:7">
      <c r="A237" s="3200" t="s">
        <v>305</v>
      </c>
      <c r="B237" s="3189" t="s">
        <v>152</v>
      </c>
      <c r="C237" s="3190">
        <v>0.15</v>
      </c>
      <c r="D237" s="3190">
        <v>0.15</v>
      </c>
      <c r="E237" s="3190">
        <v>0.15</v>
      </c>
      <c r="F237" s="3190">
        <v>0.15</v>
      </c>
      <c r="G237" s="3191">
        <v>0.15</v>
      </c>
    </row>
    <row r="238" spans="1:7">
      <c r="A238" s="3200" t="s">
        <v>305</v>
      </c>
      <c r="B238" s="3189" t="s">
        <v>2846</v>
      </c>
      <c r="C238" s="3190">
        <v>0.14899999999999999</v>
      </c>
      <c r="D238" s="3190">
        <v>0.14899999999999999</v>
      </c>
      <c r="E238" s="3190">
        <v>0.15</v>
      </c>
      <c r="F238" s="3190">
        <v>0.15</v>
      </c>
      <c r="G238" s="3191">
        <v>0.15</v>
      </c>
    </row>
    <row r="239" spans="1:7">
      <c r="A239" s="3200" t="s">
        <v>305</v>
      </c>
      <c r="B239" s="3189" t="s">
        <v>2850</v>
      </c>
      <c r="C239" s="3190">
        <v>0.15</v>
      </c>
      <c r="D239" s="3190">
        <v>0.15</v>
      </c>
      <c r="E239" s="3190">
        <v>0.15</v>
      </c>
      <c r="F239" s="3190">
        <v>0.15</v>
      </c>
      <c r="G239" s="3191">
        <v>0.15</v>
      </c>
    </row>
    <row r="240" spans="1:7">
      <c r="A240" s="3200" t="s">
        <v>305</v>
      </c>
      <c r="B240" s="3189" t="s">
        <v>2855</v>
      </c>
      <c r="C240" s="3190">
        <v>0.15</v>
      </c>
      <c r="D240" s="3190">
        <v>0.15</v>
      </c>
      <c r="E240" s="3190">
        <v>0.15</v>
      </c>
      <c r="F240" s="3190">
        <v>0.15</v>
      </c>
      <c r="G240" s="3191">
        <v>0.15</v>
      </c>
    </row>
    <row r="241" spans="1:7">
      <c r="A241" s="3200" t="s">
        <v>305</v>
      </c>
      <c r="B241" s="3189" t="s">
        <v>2859</v>
      </c>
      <c r="C241" s="3190">
        <v>0.14099999999999999</v>
      </c>
      <c r="D241" s="3190">
        <v>0.14199999999999999</v>
      </c>
      <c r="E241" s="3190">
        <v>0.14899999999999999</v>
      </c>
      <c r="F241" s="3190">
        <v>0.15</v>
      </c>
      <c r="G241" s="3191">
        <v>0.14399999999999999</v>
      </c>
    </row>
    <row r="242" spans="1:7">
      <c r="A242" s="3200" t="s">
        <v>305</v>
      </c>
      <c r="B242" s="3189" t="s">
        <v>181</v>
      </c>
      <c r="C242" s="3190">
        <v>0.14099999999999999</v>
      </c>
      <c r="D242" s="3190">
        <v>0.14199999999999999</v>
      </c>
      <c r="E242" s="3190">
        <v>0.14799999999999999</v>
      </c>
      <c r="F242" s="3190">
        <v>0.127</v>
      </c>
      <c r="G242" s="3191">
        <v>0.14399999999999999</v>
      </c>
    </row>
    <row r="243" spans="1:7">
      <c r="A243" s="3200" t="s">
        <v>305</v>
      </c>
      <c r="B243" s="3189" t="s">
        <v>191</v>
      </c>
      <c r="C243" s="3190">
        <v>0.14699999999999999</v>
      </c>
      <c r="D243" s="3190">
        <v>0.14699999999999999</v>
      </c>
      <c r="E243" s="3190">
        <v>0.15</v>
      </c>
      <c r="F243" s="3190">
        <v>0.15</v>
      </c>
      <c r="G243" s="3191">
        <v>0.14899999999999999</v>
      </c>
    </row>
    <row r="244" spans="1:7">
      <c r="A244" s="3200" t="s">
        <v>305</v>
      </c>
      <c r="B244" s="3189" t="s">
        <v>2865</v>
      </c>
      <c r="C244" s="3190">
        <v>0.15</v>
      </c>
      <c r="D244" s="3190">
        <v>0.15</v>
      </c>
      <c r="E244" s="3190">
        <v>0.15</v>
      </c>
      <c r="F244" s="3190">
        <v>0.15</v>
      </c>
      <c r="G244" s="3191">
        <v>0.15</v>
      </c>
    </row>
    <row r="245" spans="1:7">
      <c r="A245" s="3200" t="s">
        <v>305</v>
      </c>
      <c r="B245" s="3189" t="s">
        <v>206</v>
      </c>
      <c r="C245" s="3190">
        <v>0.14199999999999999</v>
      </c>
      <c r="D245" s="3190">
        <v>0.14199999999999999</v>
      </c>
      <c r="E245" s="3190">
        <v>0.15</v>
      </c>
      <c r="F245" s="3190">
        <v>0.15</v>
      </c>
      <c r="G245" s="3191">
        <v>0.14499999999999999</v>
      </c>
    </row>
    <row r="246" spans="1:7">
      <c r="A246" s="3200" t="s">
        <v>305</v>
      </c>
      <c r="B246" s="3189" t="s">
        <v>213</v>
      </c>
      <c r="C246" s="3190">
        <v>0.14199999999999999</v>
      </c>
      <c r="D246" s="3190">
        <v>0.14299999999999999</v>
      </c>
      <c r="E246" s="3190">
        <v>0.15</v>
      </c>
      <c r="F246" s="3190">
        <v>0.14199999999999999</v>
      </c>
      <c r="G246" s="3191">
        <v>0.14399999999999999</v>
      </c>
    </row>
    <row r="247" spans="1:7">
      <c r="A247" s="3200" t="s">
        <v>305</v>
      </c>
      <c r="B247" s="3189" t="s">
        <v>2873</v>
      </c>
      <c r="C247" s="3190">
        <v>0.14899999999999999</v>
      </c>
      <c r="D247" s="3190">
        <v>0.14899999999999999</v>
      </c>
      <c r="E247" s="3190">
        <v>0.15</v>
      </c>
      <c r="F247" s="3190">
        <v>0.15</v>
      </c>
      <c r="G247" s="3191">
        <v>0.15</v>
      </c>
    </row>
    <row r="248" spans="1:7">
      <c r="A248" s="3200" t="s">
        <v>305</v>
      </c>
      <c r="B248" s="3189" t="s">
        <v>227</v>
      </c>
      <c r="C248" s="3190">
        <v>0.14399999999999999</v>
      </c>
      <c r="D248" s="3190">
        <v>0.14399999999999999</v>
      </c>
      <c r="E248" s="3190">
        <v>0.14899999999999999</v>
      </c>
      <c r="F248" s="3190">
        <v>0.14799999999999999</v>
      </c>
      <c r="G248" s="3191">
        <v>0.14599999999999999</v>
      </c>
    </row>
    <row r="249" spans="1:7">
      <c r="A249" s="3200" t="s">
        <v>305</v>
      </c>
      <c r="B249" s="3189" t="s">
        <v>2878</v>
      </c>
      <c r="C249" s="3190">
        <v>0.14000000000000001</v>
      </c>
      <c r="D249" s="3190">
        <v>0.14000000000000001</v>
      </c>
      <c r="E249" s="3190">
        <v>0.14699999999999999</v>
      </c>
      <c r="F249" s="3190">
        <v>0.14899999999999999</v>
      </c>
      <c r="G249" s="3191">
        <v>0.14199999999999999</v>
      </c>
    </row>
    <row r="250" spans="1:7">
      <c r="A250" s="3200" t="s">
        <v>305</v>
      </c>
      <c r="B250" s="3189" t="s">
        <v>241</v>
      </c>
      <c r="C250" s="3190">
        <v>0.14399999999999999</v>
      </c>
      <c r="D250" s="3190">
        <v>0.14299999999999999</v>
      </c>
      <c r="E250" s="3190">
        <v>0.14899999999999999</v>
      </c>
      <c r="F250" s="3190">
        <v>0.15</v>
      </c>
      <c r="G250" s="3191">
        <v>0.14599999999999999</v>
      </c>
    </row>
    <row r="251" spans="1:7">
      <c r="A251" s="3200" t="s">
        <v>305</v>
      </c>
      <c r="B251" s="3189" t="s">
        <v>249</v>
      </c>
      <c r="C251" s="3206"/>
      <c r="D251" s="3201"/>
      <c r="E251" s="3201"/>
      <c r="F251" s="3190">
        <v>0.1</v>
      </c>
      <c r="G251" s="3207"/>
    </row>
    <row r="252" spans="1:7">
      <c r="A252" s="3200" t="s">
        <v>305</v>
      </c>
      <c r="B252" s="3189" t="s">
        <v>2886</v>
      </c>
      <c r="C252" s="3190">
        <v>0.14399999999999999</v>
      </c>
      <c r="D252" s="3190">
        <v>0.14399999999999999</v>
      </c>
      <c r="E252" s="3190">
        <v>0.15</v>
      </c>
      <c r="F252" s="3190">
        <v>0.14899999999999999</v>
      </c>
      <c r="G252" s="3191">
        <v>0.14599999999999999</v>
      </c>
    </row>
    <row r="253" spans="1:7">
      <c r="A253" s="3200" t="s">
        <v>305</v>
      </c>
      <c r="B253" s="3189" t="s">
        <v>283</v>
      </c>
      <c r="C253" s="3190">
        <v>0.14199999999999999</v>
      </c>
      <c r="D253" s="3190">
        <v>0.14199999999999999</v>
      </c>
      <c r="E253" s="3190">
        <v>0.14599999999999999</v>
      </c>
      <c r="F253" s="3190">
        <v>0.14799999999999999</v>
      </c>
      <c r="G253" s="3191">
        <v>0.14499999999999999</v>
      </c>
    </row>
    <row r="254" spans="1:7">
      <c r="A254" s="3200" t="s">
        <v>305</v>
      </c>
      <c r="B254" s="3189" t="s">
        <v>286</v>
      </c>
      <c r="C254" s="3190">
        <v>0.15</v>
      </c>
      <c r="D254" s="3190">
        <v>0.15</v>
      </c>
      <c r="E254" s="3190">
        <v>0.15</v>
      </c>
      <c r="F254" s="3190">
        <v>0.15</v>
      </c>
      <c r="G254" s="3191">
        <v>0.15</v>
      </c>
    </row>
    <row r="255" spans="1:7">
      <c r="A255" s="3200" t="s">
        <v>305</v>
      </c>
      <c r="B255" s="3189" t="s">
        <v>289</v>
      </c>
      <c r="C255" s="3190">
        <v>0.14299999999999999</v>
      </c>
      <c r="D255" s="3190">
        <v>0.14299999999999999</v>
      </c>
      <c r="E255" s="3190">
        <v>0.15</v>
      </c>
      <c r="F255" s="3190">
        <v>0.15</v>
      </c>
      <c r="G255" s="3191">
        <v>0.14499999999999999</v>
      </c>
    </row>
    <row r="256" spans="1:7">
      <c r="A256" s="3200" t="s">
        <v>305</v>
      </c>
      <c r="B256" s="3189" t="s">
        <v>2899</v>
      </c>
      <c r="C256" s="3190">
        <v>0.15</v>
      </c>
      <c r="D256" s="3190">
        <v>0.15</v>
      </c>
      <c r="E256" s="3190">
        <v>0.15</v>
      </c>
      <c r="F256" s="3190">
        <v>0.14599999999999999</v>
      </c>
      <c r="G256" s="3191">
        <v>0.15</v>
      </c>
    </row>
    <row r="257" spans="1:7">
      <c r="A257" s="3200" t="s">
        <v>305</v>
      </c>
      <c r="B257" s="3189" t="s">
        <v>275</v>
      </c>
      <c r="C257" s="3190">
        <v>0.14199999999999999</v>
      </c>
      <c r="D257" s="3190">
        <v>0.14299999999999999</v>
      </c>
      <c r="E257" s="3190">
        <v>0.14799999999999999</v>
      </c>
      <c r="F257" s="3190">
        <v>0.15</v>
      </c>
      <c r="G257" s="3191">
        <v>0.14499999999999999</v>
      </c>
    </row>
    <row r="258" spans="1:7">
      <c r="A258" s="3200" t="s">
        <v>305</v>
      </c>
      <c r="B258" s="3189" t="s">
        <v>2908</v>
      </c>
      <c r="C258" s="3190">
        <v>0.14299999999999999</v>
      </c>
      <c r="D258" s="3190">
        <v>0.14299999999999999</v>
      </c>
      <c r="E258" s="3190">
        <v>0.15</v>
      </c>
      <c r="F258" s="3190">
        <v>0.14799999999999999</v>
      </c>
      <c r="G258" s="3191">
        <v>0.14599999999999999</v>
      </c>
    </row>
    <row r="259" spans="1:7">
      <c r="A259" s="3200" t="s">
        <v>305</v>
      </c>
      <c r="B259" s="3189" t="s">
        <v>2912</v>
      </c>
      <c r="C259" s="3190">
        <v>0.14399999999999999</v>
      </c>
      <c r="D259" s="3190">
        <v>0.14399999999999999</v>
      </c>
      <c r="E259" s="3190">
        <v>0.14899999999999999</v>
      </c>
      <c r="F259" s="3190">
        <v>0.14699999999999999</v>
      </c>
      <c r="G259" s="3191">
        <v>0.14599999999999999</v>
      </c>
    </row>
    <row r="260" spans="1:7">
      <c r="A260" s="3200" t="s">
        <v>305</v>
      </c>
      <c r="B260" s="3189" t="s">
        <v>2919</v>
      </c>
      <c r="C260" s="3190">
        <v>0.109</v>
      </c>
      <c r="D260" s="3190">
        <v>0.111</v>
      </c>
      <c r="E260" s="3190">
        <v>0.13100000000000001</v>
      </c>
      <c r="F260" s="3190">
        <v>0.126</v>
      </c>
      <c r="G260" s="3191">
        <v>0.11899999999999999</v>
      </c>
    </row>
    <row r="261" spans="1:7">
      <c r="A261" s="3200" t="s">
        <v>305</v>
      </c>
      <c r="B261" s="3189" t="s">
        <v>2926</v>
      </c>
      <c r="C261" s="3190">
        <v>0.1</v>
      </c>
      <c r="D261" s="3190">
        <v>0.1</v>
      </c>
      <c r="E261" s="3190">
        <v>0.11799999999999999</v>
      </c>
      <c r="F261" s="3190">
        <v>0.108</v>
      </c>
      <c r="G261" s="3191">
        <v>0.107</v>
      </c>
    </row>
    <row r="262" spans="1:7">
      <c r="A262" s="3200" t="s">
        <v>305</v>
      </c>
      <c r="B262" s="3189" t="s">
        <v>2932</v>
      </c>
      <c r="C262" s="3190">
        <v>0.1</v>
      </c>
      <c r="D262" s="3190">
        <v>0.1</v>
      </c>
      <c r="E262" s="3190">
        <v>0.1</v>
      </c>
      <c r="F262" s="3190">
        <v>0.14099999999999999</v>
      </c>
      <c r="G262" s="3191">
        <v>0.1</v>
      </c>
    </row>
    <row r="263" spans="1:7">
      <c r="A263" s="3200" t="s">
        <v>305</v>
      </c>
      <c r="B263" s="3189" t="s">
        <v>2939</v>
      </c>
      <c r="C263" s="3190">
        <v>0.14799999999999999</v>
      </c>
      <c r="D263" s="3190">
        <v>0.14799999999999999</v>
      </c>
      <c r="E263" s="3190">
        <v>0.15</v>
      </c>
      <c r="F263" s="3190">
        <v>0.14699999999999999</v>
      </c>
      <c r="G263" s="3191">
        <v>0.15</v>
      </c>
    </row>
    <row r="264" spans="1:7">
      <c r="A264" s="3200" t="s">
        <v>305</v>
      </c>
      <c r="B264" s="3189" t="s">
        <v>299</v>
      </c>
      <c r="C264" s="3190">
        <v>0.14299999999999999</v>
      </c>
      <c r="D264" s="3190">
        <v>0.14299999999999999</v>
      </c>
      <c r="E264" s="3190">
        <v>0.15</v>
      </c>
      <c r="F264" s="3190">
        <v>0.14899999999999999</v>
      </c>
      <c r="G264" s="3191">
        <v>0.14599999999999999</v>
      </c>
    </row>
    <row r="265" spans="1:7">
      <c r="A265" s="3200" t="s">
        <v>305</v>
      </c>
      <c r="B265" s="3189" t="s">
        <v>2950</v>
      </c>
      <c r="C265" s="3201"/>
      <c r="D265" s="3201"/>
      <c r="E265" s="3201"/>
      <c r="F265" s="3190">
        <v>0.05</v>
      </c>
      <c r="G265" s="3207"/>
    </row>
    <row r="266" spans="1:7">
      <c r="A266" s="3200" t="s">
        <v>305</v>
      </c>
      <c r="B266" s="3189" t="s">
        <v>2954</v>
      </c>
      <c r="C266" s="3201"/>
      <c r="D266" s="3201"/>
      <c r="E266" s="3201"/>
      <c r="F266" s="3190">
        <v>0.05</v>
      </c>
      <c r="G266" s="3207"/>
    </row>
    <row r="267" spans="1:7">
      <c r="A267" s="3200" t="s">
        <v>305</v>
      </c>
      <c r="B267" s="3189" t="s">
        <v>2959</v>
      </c>
      <c r="C267" s="3201"/>
      <c r="D267" s="3201"/>
      <c r="E267" s="3201"/>
      <c r="F267" s="3190">
        <v>0.05</v>
      </c>
      <c r="G267" s="3207"/>
    </row>
    <row r="268" spans="1:7">
      <c r="A268" s="3200" t="s">
        <v>305</v>
      </c>
      <c r="B268" s="3189" t="s">
        <v>2964</v>
      </c>
      <c r="C268" s="3201"/>
      <c r="D268" s="3201"/>
      <c r="E268" s="3201"/>
      <c r="F268" s="3190">
        <v>0.05</v>
      </c>
      <c r="G268" s="3207"/>
    </row>
    <row r="269" spans="1:7">
      <c r="A269" s="3200" t="s">
        <v>305</v>
      </c>
      <c r="B269" s="3189" t="s">
        <v>2969</v>
      </c>
      <c r="C269" s="3201"/>
      <c r="D269" s="3201"/>
      <c r="E269" s="3201"/>
      <c r="F269" s="3190">
        <v>0.05</v>
      </c>
      <c r="G269" s="3207"/>
    </row>
    <row r="270" spans="1:7">
      <c r="A270" s="3200" t="s">
        <v>305</v>
      </c>
      <c r="B270" s="3189" t="s">
        <v>2974</v>
      </c>
      <c r="C270" s="3201"/>
      <c r="D270" s="3201"/>
      <c r="E270" s="3201"/>
      <c r="F270" s="3190">
        <v>0.05</v>
      </c>
      <c r="G270" s="3207"/>
    </row>
    <row r="271" spans="1:7">
      <c r="A271" s="3200" t="s">
        <v>305</v>
      </c>
      <c r="B271" s="3189" t="s">
        <v>3178</v>
      </c>
      <c r="C271" s="3201"/>
      <c r="D271" s="3201"/>
      <c r="E271" s="3201"/>
      <c r="F271" s="3190">
        <v>0.05</v>
      </c>
      <c r="G271" s="3207"/>
    </row>
    <row r="272" spans="1:7">
      <c r="A272" s="3200" t="s">
        <v>305</v>
      </c>
      <c r="B272" s="3189" t="s">
        <v>3179</v>
      </c>
      <c r="C272" s="3201"/>
      <c r="D272" s="3201"/>
      <c r="E272" s="3201"/>
      <c r="F272" s="3190">
        <v>0.05</v>
      </c>
      <c r="G272" s="3207"/>
    </row>
    <row r="273" spans="1:7">
      <c r="A273" s="3200" t="s">
        <v>305</v>
      </c>
      <c r="B273" s="3189" t="s">
        <v>3180</v>
      </c>
      <c r="C273" s="3201"/>
      <c r="D273" s="3201"/>
      <c r="E273" s="3201"/>
      <c r="F273" s="3190">
        <v>0.05</v>
      </c>
      <c r="G273" s="3207"/>
    </row>
    <row r="274" spans="1:7">
      <c r="A274" s="3200" t="s">
        <v>305</v>
      </c>
      <c r="B274" s="3189" t="s">
        <v>3181</v>
      </c>
      <c r="C274" s="3201"/>
      <c r="D274" s="3201"/>
      <c r="E274" s="3201"/>
      <c r="F274" s="3190">
        <v>0.05</v>
      </c>
      <c r="G274" s="3207"/>
    </row>
    <row r="275" spans="1:7">
      <c r="A275" s="3200" t="s">
        <v>305</v>
      </c>
      <c r="B275" s="3189" t="s">
        <v>3182</v>
      </c>
      <c r="C275" s="3201"/>
      <c r="D275" s="3201"/>
      <c r="E275" s="3201"/>
      <c r="F275" s="3190">
        <v>0.05</v>
      </c>
      <c r="G275" s="3207"/>
    </row>
    <row r="276" spans="1:7" ht="14.25" thickBot="1">
      <c r="A276" s="3203" t="s">
        <v>305</v>
      </c>
      <c r="B276" s="3193" t="s">
        <v>3183</v>
      </c>
      <c r="C276" s="3195"/>
      <c r="D276" s="3195"/>
      <c r="E276" s="3195"/>
      <c r="F276" s="3194">
        <v>0.05</v>
      </c>
      <c r="G276" s="3208"/>
    </row>
    <row r="277" spans="1:7">
      <c r="A277" s="3199" t="s">
        <v>306</v>
      </c>
      <c r="B277" s="3185" t="s">
        <v>2827</v>
      </c>
      <c r="C277" s="3186">
        <v>0.15</v>
      </c>
      <c r="D277" s="3186">
        <v>0.15</v>
      </c>
      <c r="E277" s="3186">
        <v>0.15</v>
      </c>
      <c r="F277" s="3186">
        <v>0.15</v>
      </c>
      <c r="G277" s="3187">
        <v>0.15</v>
      </c>
    </row>
    <row r="278" spans="1:7">
      <c r="A278" s="3200" t="s">
        <v>306</v>
      </c>
      <c r="B278" s="3189" t="s">
        <v>135</v>
      </c>
      <c r="C278" s="3190">
        <v>0.15</v>
      </c>
      <c r="D278" s="3190">
        <v>0.15</v>
      </c>
      <c r="E278" s="3190">
        <v>0.15</v>
      </c>
      <c r="F278" s="3190">
        <v>0.15</v>
      </c>
      <c r="G278" s="3191">
        <v>0.15</v>
      </c>
    </row>
    <row r="279" spans="1:7">
      <c r="A279" s="3200" t="s">
        <v>306</v>
      </c>
      <c r="B279" s="3189" t="s">
        <v>2839</v>
      </c>
      <c r="C279" s="3190">
        <v>0.15</v>
      </c>
      <c r="D279" s="3190">
        <v>0.15</v>
      </c>
      <c r="E279" s="3190">
        <v>0.15</v>
      </c>
      <c r="F279" s="3190">
        <v>0.15</v>
      </c>
      <c r="G279" s="3191">
        <v>0.15</v>
      </c>
    </row>
    <row r="280" spans="1:7">
      <c r="A280" s="3200" t="s">
        <v>306</v>
      </c>
      <c r="B280" s="3189" t="s">
        <v>2843</v>
      </c>
      <c r="C280" s="3190">
        <v>0.15</v>
      </c>
      <c r="D280" s="3190">
        <v>0.15</v>
      </c>
      <c r="E280" s="3190">
        <v>0.15</v>
      </c>
      <c r="F280" s="3190">
        <v>0.15</v>
      </c>
      <c r="G280" s="3191">
        <v>0.15</v>
      </c>
    </row>
    <row r="281" spans="1:7">
      <c r="A281" s="3200" t="s">
        <v>306</v>
      </c>
      <c r="B281" s="3189" t="s">
        <v>2847</v>
      </c>
      <c r="C281" s="3190">
        <v>0.15</v>
      </c>
      <c r="D281" s="3190">
        <v>0.15</v>
      </c>
      <c r="E281" s="3190">
        <v>0.15</v>
      </c>
      <c r="F281" s="3190">
        <v>0.15</v>
      </c>
      <c r="G281" s="3191">
        <v>0.15</v>
      </c>
    </row>
    <row r="282" spans="1:7">
      <c r="A282" s="3200" t="s">
        <v>306</v>
      </c>
      <c r="B282" s="3189" t="s">
        <v>2851</v>
      </c>
      <c r="C282" s="3190">
        <v>0.15</v>
      </c>
      <c r="D282" s="3190">
        <v>0.15</v>
      </c>
      <c r="E282" s="3190">
        <v>0.15</v>
      </c>
      <c r="F282" s="3190">
        <v>0.14499999999999999</v>
      </c>
      <c r="G282" s="3191">
        <v>0.15</v>
      </c>
    </row>
    <row r="283" spans="1:7">
      <c r="A283" s="3200" t="s">
        <v>306</v>
      </c>
      <c r="B283" s="3189" t="s">
        <v>174</v>
      </c>
      <c r="C283" s="3190">
        <v>0.15</v>
      </c>
      <c r="D283" s="3190">
        <v>0.15</v>
      </c>
      <c r="E283" s="3190">
        <v>0.15</v>
      </c>
      <c r="F283" s="3190">
        <v>0.14199999999999999</v>
      </c>
      <c r="G283" s="3191">
        <v>0.15</v>
      </c>
    </row>
    <row r="284" spans="1:7">
      <c r="A284" s="3200" t="s">
        <v>306</v>
      </c>
      <c r="B284" s="3189" t="s">
        <v>182</v>
      </c>
      <c r="C284" s="3190">
        <v>0.15</v>
      </c>
      <c r="D284" s="3190">
        <v>0.15</v>
      </c>
      <c r="E284" s="3190">
        <v>0.15</v>
      </c>
      <c r="F284" s="3190">
        <v>0.15</v>
      </c>
      <c r="G284" s="3191">
        <v>0.15</v>
      </c>
    </row>
    <row r="285" spans="1:7">
      <c r="A285" s="3200" t="s">
        <v>306</v>
      </c>
      <c r="B285" s="3189" t="s">
        <v>192</v>
      </c>
      <c r="C285" s="3190">
        <v>0.15</v>
      </c>
      <c r="D285" s="3190">
        <v>0.15</v>
      </c>
      <c r="E285" s="3190">
        <v>0.15</v>
      </c>
      <c r="F285" s="3190">
        <v>0.15</v>
      </c>
      <c r="G285" s="3191">
        <v>0.15</v>
      </c>
    </row>
    <row r="286" spans="1:7">
      <c r="A286" s="3200" t="s">
        <v>306</v>
      </c>
      <c r="B286" s="3189" t="s">
        <v>199</v>
      </c>
      <c r="C286" s="3190">
        <v>0.14499999999999999</v>
      </c>
      <c r="D286" s="3190">
        <v>0.14499999999999999</v>
      </c>
      <c r="E286" s="3190">
        <v>0.15</v>
      </c>
      <c r="F286" s="3190">
        <v>0.14099999999999999</v>
      </c>
      <c r="G286" s="3191">
        <v>0.14499999999999999</v>
      </c>
    </row>
    <row r="287" spans="1:7">
      <c r="A287" s="3200" t="s">
        <v>306</v>
      </c>
      <c r="B287" s="3189" t="s">
        <v>2866</v>
      </c>
      <c r="C287" s="3190">
        <v>0.11</v>
      </c>
      <c r="D287" s="3190">
        <v>0.111</v>
      </c>
      <c r="E287" s="3190">
        <v>0.14099999999999999</v>
      </c>
      <c r="F287" s="3190">
        <v>0.11</v>
      </c>
      <c r="G287" s="3191">
        <v>0.12</v>
      </c>
    </row>
    <row r="288" spans="1:7">
      <c r="A288" s="3200" t="s">
        <v>306</v>
      </c>
      <c r="B288" s="3189" t="s">
        <v>219</v>
      </c>
      <c r="C288" s="3190">
        <v>0.14199999999999999</v>
      </c>
      <c r="D288" s="3190">
        <v>0.14299999999999999</v>
      </c>
      <c r="E288" s="3190">
        <v>0.15</v>
      </c>
      <c r="F288" s="3190">
        <v>0.14199999999999999</v>
      </c>
      <c r="G288" s="3191">
        <v>0.14399999999999999</v>
      </c>
    </row>
    <row r="289" spans="1:7">
      <c r="A289" s="3200" t="s">
        <v>306</v>
      </c>
      <c r="B289" s="3189" t="s">
        <v>2871</v>
      </c>
      <c r="C289" s="3190">
        <v>0.14299999999999999</v>
      </c>
      <c r="D289" s="3190">
        <v>0.14299999999999999</v>
      </c>
      <c r="E289" s="3190">
        <v>0.14799999999999999</v>
      </c>
      <c r="F289" s="3190">
        <v>0.14399999999999999</v>
      </c>
      <c r="G289" s="3191">
        <v>0.14399999999999999</v>
      </c>
    </row>
    <row r="290" spans="1:7">
      <c r="A290" s="3200" t="s">
        <v>306</v>
      </c>
      <c r="B290" s="3189" t="s">
        <v>242</v>
      </c>
      <c r="C290" s="3190">
        <v>0.14799999999999999</v>
      </c>
      <c r="D290" s="3190">
        <v>0.14899999999999999</v>
      </c>
      <c r="E290" s="3190">
        <v>0.15</v>
      </c>
      <c r="F290" s="3190">
        <v>0.127</v>
      </c>
      <c r="G290" s="3191">
        <v>0.15</v>
      </c>
    </row>
    <row r="291" spans="1:7">
      <c r="A291" s="3200" t="s">
        <v>306</v>
      </c>
      <c r="B291" s="3189" t="s">
        <v>250</v>
      </c>
      <c r="C291" s="3190">
        <v>0.15</v>
      </c>
      <c r="D291" s="3190">
        <v>0.15</v>
      </c>
      <c r="E291" s="3190">
        <v>0.15</v>
      </c>
      <c r="F291" s="3190">
        <v>0.14899999999999999</v>
      </c>
      <c r="G291" s="3191">
        <v>0.15</v>
      </c>
    </row>
    <row r="292" spans="1:7">
      <c r="A292" s="3200" t="s">
        <v>306</v>
      </c>
      <c r="B292" s="3189" t="s">
        <v>256</v>
      </c>
      <c r="C292" s="3190">
        <v>0.15</v>
      </c>
      <c r="D292" s="3190">
        <v>0.15</v>
      </c>
      <c r="E292" s="3190">
        <v>0.15</v>
      </c>
      <c r="F292" s="3190">
        <v>0.14399999999999999</v>
      </c>
      <c r="G292" s="3191">
        <v>0.15</v>
      </c>
    </row>
    <row r="293" spans="1:7">
      <c r="A293" s="3200" t="s">
        <v>306</v>
      </c>
      <c r="B293" s="3189" t="s">
        <v>2881</v>
      </c>
      <c r="C293" s="3190">
        <v>0.15</v>
      </c>
      <c r="D293" s="3190">
        <v>0.15</v>
      </c>
      <c r="E293" s="3190">
        <v>0.15</v>
      </c>
      <c r="F293" s="3190">
        <v>0.14499999999999999</v>
      </c>
      <c r="G293" s="3191">
        <v>0.15</v>
      </c>
    </row>
    <row r="294" spans="1:7">
      <c r="A294" s="3200" t="s">
        <v>306</v>
      </c>
      <c r="B294" s="3189" t="s">
        <v>2883</v>
      </c>
      <c r="C294" s="3190">
        <v>0.15</v>
      </c>
      <c r="D294" s="3190">
        <v>0.15</v>
      </c>
      <c r="E294" s="3190">
        <v>0.15</v>
      </c>
      <c r="F294" s="3190">
        <v>0.14899999999999999</v>
      </c>
      <c r="G294" s="3191">
        <v>0.15</v>
      </c>
    </row>
    <row r="295" spans="1:7">
      <c r="A295" s="3200" t="s">
        <v>306</v>
      </c>
      <c r="B295" s="3189" t="s">
        <v>290</v>
      </c>
      <c r="C295" s="3190">
        <v>0.15</v>
      </c>
      <c r="D295" s="3190">
        <v>0.15</v>
      </c>
      <c r="E295" s="3190">
        <v>0.15</v>
      </c>
      <c r="F295" s="3190">
        <v>0.14799999999999999</v>
      </c>
      <c r="G295" s="3191">
        <v>0.15</v>
      </c>
    </row>
    <row r="296" spans="1:7">
      <c r="A296" s="3200" t="s">
        <v>306</v>
      </c>
      <c r="B296" s="3189" t="s">
        <v>293</v>
      </c>
      <c r="C296" s="3190">
        <v>0.15</v>
      </c>
      <c r="D296" s="3190">
        <v>0.15</v>
      </c>
      <c r="E296" s="3190">
        <v>0.15</v>
      </c>
      <c r="F296" s="3190">
        <v>0.14399999999999999</v>
      </c>
      <c r="G296" s="3191">
        <v>0.15</v>
      </c>
    </row>
    <row r="297" spans="1:7">
      <c r="A297" s="3200" t="s">
        <v>306</v>
      </c>
      <c r="B297" s="3189" t="s">
        <v>295</v>
      </c>
      <c r="C297" s="3190">
        <v>0.15</v>
      </c>
      <c r="D297" s="3190">
        <v>0.15</v>
      </c>
      <c r="E297" s="3190">
        <v>0.15</v>
      </c>
      <c r="F297" s="3190">
        <v>0.14499999999999999</v>
      </c>
      <c r="G297" s="3191">
        <v>0.15</v>
      </c>
    </row>
    <row r="298" spans="1:7">
      <c r="A298" s="3200" t="s">
        <v>306</v>
      </c>
      <c r="B298" s="3189" t="s">
        <v>298</v>
      </c>
      <c r="C298" s="3190">
        <v>0.15</v>
      </c>
      <c r="D298" s="3190">
        <v>0.15</v>
      </c>
      <c r="E298" s="3190">
        <v>0.15</v>
      </c>
      <c r="F298" s="3190">
        <v>0.15</v>
      </c>
      <c r="G298" s="3191">
        <v>0.15</v>
      </c>
    </row>
    <row r="299" spans="1:7">
      <c r="A299" s="3200" t="s">
        <v>306</v>
      </c>
      <c r="B299" s="3209" t="s">
        <v>2900</v>
      </c>
      <c r="C299" s="3190">
        <v>0.15</v>
      </c>
      <c r="D299" s="3190">
        <v>0.15</v>
      </c>
      <c r="E299" s="3190">
        <v>0.15</v>
      </c>
      <c r="F299" s="3190">
        <v>0.14499999999999999</v>
      </c>
      <c r="G299" s="3191">
        <v>0.15</v>
      </c>
    </row>
    <row r="300" spans="1:7">
      <c r="A300" s="3200" t="s">
        <v>306</v>
      </c>
      <c r="B300" s="3209" t="s">
        <v>271</v>
      </c>
      <c r="C300" s="3190">
        <v>0.15</v>
      </c>
      <c r="D300" s="3190">
        <v>0.15</v>
      </c>
      <c r="E300" s="3190">
        <v>0.15</v>
      </c>
      <c r="F300" s="3190">
        <v>0.14599999999999999</v>
      </c>
      <c r="G300" s="3191">
        <v>0.15</v>
      </c>
    </row>
    <row r="301" spans="1:7">
      <c r="A301" s="3200" t="s">
        <v>306</v>
      </c>
      <c r="B301" s="3209" t="s">
        <v>276</v>
      </c>
      <c r="C301" s="3190">
        <v>0.126</v>
      </c>
      <c r="D301" s="3190">
        <v>0.124</v>
      </c>
      <c r="E301" s="3190">
        <v>0.14099999999999999</v>
      </c>
      <c r="F301" s="3190">
        <v>0.14399999999999999</v>
      </c>
      <c r="G301" s="3191">
        <v>0.13</v>
      </c>
    </row>
    <row r="302" spans="1:7">
      <c r="A302" s="3200" t="s">
        <v>306</v>
      </c>
      <c r="B302" s="3189" t="s">
        <v>2913</v>
      </c>
      <c r="C302" s="3190">
        <v>0.15</v>
      </c>
      <c r="D302" s="3190">
        <v>0.15</v>
      </c>
      <c r="E302" s="3190">
        <v>0.15</v>
      </c>
      <c r="F302" s="3190">
        <v>0.14699999999999999</v>
      </c>
      <c r="G302" s="3191">
        <v>0.15</v>
      </c>
    </row>
    <row r="303" spans="1:7">
      <c r="A303" s="3200" t="s">
        <v>306</v>
      </c>
      <c r="B303" s="3189" t="s">
        <v>2920</v>
      </c>
      <c r="C303" s="3190">
        <v>0.15</v>
      </c>
      <c r="D303" s="3190">
        <v>0.15</v>
      </c>
      <c r="E303" s="3190">
        <v>0.15</v>
      </c>
      <c r="F303" s="3190">
        <v>0.14199999999999999</v>
      </c>
      <c r="G303" s="3191">
        <v>0.15</v>
      </c>
    </row>
    <row r="304" spans="1:7">
      <c r="A304" s="3200" t="s">
        <v>306</v>
      </c>
      <c r="B304" s="3189" t="s">
        <v>2927</v>
      </c>
      <c r="C304" s="3190">
        <v>0.15</v>
      </c>
      <c r="D304" s="3190">
        <v>0.15</v>
      </c>
      <c r="E304" s="3190">
        <v>0.15</v>
      </c>
      <c r="F304" s="3190">
        <v>0.14499999999999999</v>
      </c>
      <c r="G304" s="3191">
        <v>0.15</v>
      </c>
    </row>
    <row r="305" spans="1:7">
      <c r="A305" s="3200" t="s">
        <v>306</v>
      </c>
      <c r="B305" s="3189" t="s">
        <v>2933</v>
      </c>
      <c r="C305" s="3190">
        <v>0.15</v>
      </c>
      <c r="D305" s="3190">
        <v>0.15</v>
      </c>
      <c r="E305" s="3190">
        <v>0.15</v>
      </c>
      <c r="F305" s="3190">
        <v>0.111</v>
      </c>
      <c r="G305" s="3191">
        <v>0.15</v>
      </c>
    </row>
    <row r="306" spans="1:7">
      <c r="A306" s="3200" t="s">
        <v>306</v>
      </c>
      <c r="B306" s="3189" t="s">
        <v>2940</v>
      </c>
      <c r="C306" s="3190">
        <v>0.15</v>
      </c>
      <c r="D306" s="3190">
        <v>0.15</v>
      </c>
      <c r="E306" s="3190">
        <v>0.15</v>
      </c>
      <c r="F306" s="3190">
        <v>0.126</v>
      </c>
      <c r="G306" s="3191">
        <v>0.15</v>
      </c>
    </row>
    <row r="307" spans="1:7">
      <c r="A307" s="3200" t="s">
        <v>306</v>
      </c>
      <c r="B307" s="3189" t="s">
        <v>2945</v>
      </c>
      <c r="C307" s="3190">
        <v>0.15</v>
      </c>
      <c r="D307" s="3190">
        <v>0.15</v>
      </c>
      <c r="E307" s="3190">
        <v>0.15</v>
      </c>
      <c r="F307" s="3190">
        <v>0.12</v>
      </c>
      <c r="G307" s="3191">
        <v>0.15</v>
      </c>
    </row>
    <row r="308" spans="1:7">
      <c r="A308" s="3200" t="s">
        <v>306</v>
      </c>
      <c r="B308" s="3189" t="s">
        <v>2951</v>
      </c>
      <c r="C308" s="3190">
        <v>0.15</v>
      </c>
      <c r="D308" s="3190">
        <v>0.15</v>
      </c>
      <c r="E308" s="3190">
        <v>0.15</v>
      </c>
      <c r="F308" s="3190">
        <v>0.13</v>
      </c>
      <c r="G308" s="3191">
        <v>0.15</v>
      </c>
    </row>
    <row r="309" spans="1:7">
      <c r="A309" s="3200" t="s">
        <v>306</v>
      </c>
      <c r="B309" s="3189" t="s">
        <v>2955</v>
      </c>
      <c r="C309" s="3190">
        <v>0.15</v>
      </c>
      <c r="D309" s="3190">
        <v>0.15</v>
      </c>
      <c r="E309" s="3190">
        <v>0.15</v>
      </c>
      <c r="F309" s="3190">
        <v>0.14099999999999999</v>
      </c>
      <c r="G309" s="3191">
        <v>0.15</v>
      </c>
    </row>
    <row r="310" spans="1:7">
      <c r="A310" s="3200" t="s">
        <v>306</v>
      </c>
      <c r="B310" s="3189" t="s">
        <v>2960</v>
      </c>
      <c r="C310" s="3190">
        <v>0.15</v>
      </c>
      <c r="D310" s="3190">
        <v>0.15</v>
      </c>
      <c r="E310" s="3190">
        <v>0.15</v>
      </c>
      <c r="F310" s="3190">
        <v>0.15</v>
      </c>
      <c r="G310" s="3191">
        <v>0.15</v>
      </c>
    </row>
    <row r="311" spans="1:7">
      <c r="A311" s="3200" t="s">
        <v>306</v>
      </c>
      <c r="B311" s="3189" t="s">
        <v>2965</v>
      </c>
      <c r="C311" s="3190">
        <v>0.13200000000000001</v>
      </c>
      <c r="D311" s="3190">
        <v>0.13300000000000001</v>
      </c>
      <c r="E311" s="3190">
        <v>0.14499999999999999</v>
      </c>
      <c r="F311" s="3190">
        <v>0.14199999999999999</v>
      </c>
      <c r="G311" s="3191">
        <v>0.14000000000000001</v>
      </c>
    </row>
    <row r="312" spans="1:7">
      <c r="A312" s="3200" t="s">
        <v>306</v>
      </c>
      <c r="B312" s="3189" t="s">
        <v>2970</v>
      </c>
      <c r="C312" s="3190">
        <v>0.13800000000000001</v>
      </c>
      <c r="D312" s="3190">
        <v>0.14000000000000001</v>
      </c>
      <c r="E312" s="3190">
        <v>0.14599999999999999</v>
      </c>
      <c r="F312" s="3190">
        <v>0.14899999999999999</v>
      </c>
      <c r="G312" s="3191">
        <v>0.14199999999999999</v>
      </c>
    </row>
    <row r="313" spans="1:7">
      <c r="A313" s="3200" t="s">
        <v>306</v>
      </c>
      <c r="B313" s="3189" t="s">
        <v>2975</v>
      </c>
      <c r="C313" s="3190">
        <v>0.125</v>
      </c>
      <c r="D313" s="3190">
        <v>0.127</v>
      </c>
      <c r="E313" s="3190">
        <v>0.14399999999999999</v>
      </c>
      <c r="F313" s="3190">
        <v>0.115</v>
      </c>
      <c r="G313" s="3191">
        <v>0.13600000000000001</v>
      </c>
    </row>
    <row r="314" spans="1:7">
      <c r="A314" s="3200" t="s">
        <v>306</v>
      </c>
      <c r="B314" s="3189" t="s">
        <v>3184</v>
      </c>
      <c r="C314" s="3206"/>
      <c r="D314" s="3206"/>
      <c r="E314" s="3206"/>
      <c r="F314" s="3190">
        <v>0.05</v>
      </c>
      <c r="G314" s="3207"/>
    </row>
    <row r="315" spans="1:7">
      <c r="A315" s="3200" t="s">
        <v>306</v>
      </c>
      <c r="B315" s="3189" t="s">
        <v>3185</v>
      </c>
      <c r="C315" s="3206"/>
      <c r="D315" s="3206"/>
      <c r="E315" s="3206"/>
      <c r="F315" s="3190">
        <v>0.05</v>
      </c>
      <c r="G315" s="3207"/>
    </row>
    <row r="316" spans="1:7">
      <c r="A316" s="3200" t="s">
        <v>306</v>
      </c>
      <c r="B316" s="3189" t="s">
        <v>3186</v>
      </c>
      <c r="C316" s="3201"/>
      <c r="D316" s="3201"/>
      <c r="E316" s="3201"/>
      <c r="F316" s="3190">
        <v>0.05</v>
      </c>
      <c r="G316" s="3207"/>
    </row>
    <row r="317" spans="1:7">
      <c r="A317" s="3200" t="s">
        <v>306</v>
      </c>
      <c r="B317" s="3189" t="s">
        <v>3187</v>
      </c>
      <c r="C317" s="3201"/>
      <c r="D317" s="3201"/>
      <c r="E317" s="3201"/>
      <c r="F317" s="3190">
        <v>0.05</v>
      </c>
      <c r="G317" s="3207"/>
    </row>
    <row r="318" spans="1:7">
      <c r="A318" s="3200" t="s">
        <v>306</v>
      </c>
      <c r="B318" s="3189" t="s">
        <v>3188</v>
      </c>
      <c r="C318" s="3201"/>
      <c r="D318" s="3201"/>
      <c r="E318" s="3201"/>
      <c r="F318" s="3190">
        <v>0.05</v>
      </c>
      <c r="G318" s="3207"/>
    </row>
    <row r="319" spans="1:7">
      <c r="A319" s="3200" t="s">
        <v>306</v>
      </c>
      <c r="B319" s="3189" t="s">
        <v>3189</v>
      </c>
      <c r="C319" s="3201"/>
      <c r="D319" s="3201"/>
      <c r="E319" s="3201"/>
      <c r="F319" s="3190">
        <v>0.05</v>
      </c>
      <c r="G319" s="3207"/>
    </row>
    <row r="320" spans="1:7">
      <c r="A320" s="3200" t="s">
        <v>306</v>
      </c>
      <c r="B320" s="3189" t="s">
        <v>3190</v>
      </c>
      <c r="C320" s="3201"/>
      <c r="D320" s="3201"/>
      <c r="E320" s="3201"/>
      <c r="F320" s="3190">
        <v>0.05</v>
      </c>
      <c r="G320" s="3207"/>
    </row>
    <row r="321" spans="1:7">
      <c r="A321" s="3200" t="s">
        <v>306</v>
      </c>
      <c r="B321" s="3189" t="s">
        <v>3191</v>
      </c>
      <c r="C321" s="3201"/>
      <c r="D321" s="3201"/>
      <c r="E321" s="3201"/>
      <c r="F321" s="3190">
        <v>0.05</v>
      </c>
      <c r="G321" s="3207"/>
    </row>
    <row r="322" spans="1:7">
      <c r="A322" s="3200" t="s">
        <v>306</v>
      </c>
      <c r="B322" s="3189" t="s">
        <v>3192</v>
      </c>
      <c r="C322" s="3201"/>
      <c r="D322" s="3201"/>
      <c r="E322" s="3201"/>
      <c r="F322" s="3190">
        <v>0.05</v>
      </c>
      <c r="G322" s="3207"/>
    </row>
    <row r="323" spans="1:7">
      <c r="A323" s="3200" t="s">
        <v>306</v>
      </c>
      <c r="B323" s="3189" t="s">
        <v>3193</v>
      </c>
      <c r="C323" s="3201"/>
      <c r="D323" s="3201"/>
      <c r="E323" s="3201"/>
      <c r="F323" s="3190">
        <v>0.05</v>
      </c>
      <c r="G323" s="3207"/>
    </row>
    <row r="324" spans="1:7">
      <c r="A324" s="3200" t="s">
        <v>306</v>
      </c>
      <c r="B324" s="3189" t="s">
        <v>3194</v>
      </c>
      <c r="C324" s="3201"/>
      <c r="D324" s="3201"/>
      <c r="E324" s="3201"/>
      <c r="F324" s="3190">
        <v>0.05</v>
      </c>
      <c r="G324" s="3207"/>
    </row>
    <row r="325" spans="1:7">
      <c r="A325" s="3200" t="s">
        <v>306</v>
      </c>
      <c r="B325" s="3189" t="s">
        <v>3195</v>
      </c>
      <c r="C325" s="3201"/>
      <c r="D325" s="3201"/>
      <c r="E325" s="3201"/>
      <c r="F325" s="3190">
        <v>0.05</v>
      </c>
      <c r="G325" s="3207"/>
    </row>
    <row r="326" spans="1:7" ht="14.25" thickBot="1">
      <c r="A326" s="3203" t="s">
        <v>306</v>
      </c>
      <c r="B326" s="3193" t="s">
        <v>3196</v>
      </c>
      <c r="C326" s="3195"/>
      <c r="D326" s="3195"/>
      <c r="E326" s="3195"/>
      <c r="F326" s="3194">
        <v>0.05</v>
      </c>
      <c r="G326" s="3208"/>
    </row>
    <row r="327" spans="1:7">
      <c r="A327" s="3199" t="s">
        <v>307</v>
      </c>
      <c r="B327" s="3185" t="s">
        <v>2828</v>
      </c>
      <c r="C327" s="3186">
        <v>0.15</v>
      </c>
      <c r="D327" s="3186">
        <v>0.15</v>
      </c>
      <c r="E327" s="3186">
        <v>0.15</v>
      </c>
      <c r="F327" s="3186">
        <v>0.15</v>
      </c>
      <c r="G327" s="3187">
        <v>0.15</v>
      </c>
    </row>
    <row r="328" spans="1:7">
      <c r="A328" s="3200" t="s">
        <v>307</v>
      </c>
      <c r="B328" s="3189" t="s">
        <v>136</v>
      </c>
      <c r="C328" s="3190">
        <v>0.15</v>
      </c>
      <c r="D328" s="3190">
        <v>0.15</v>
      </c>
      <c r="E328" s="3190">
        <v>0.15</v>
      </c>
      <c r="F328" s="3190">
        <v>0.126</v>
      </c>
      <c r="G328" s="3191">
        <v>0.15</v>
      </c>
    </row>
    <row r="329" spans="1:7">
      <c r="A329" s="3200" t="s">
        <v>307</v>
      </c>
      <c r="B329" s="3189" t="s">
        <v>2840</v>
      </c>
      <c r="C329" s="3190">
        <v>0.15</v>
      </c>
      <c r="D329" s="3190">
        <v>0.15</v>
      </c>
      <c r="E329" s="3190">
        <v>0.15</v>
      </c>
      <c r="F329" s="3190">
        <v>0.15</v>
      </c>
      <c r="G329" s="3191">
        <v>0.15</v>
      </c>
    </row>
    <row r="330" spans="1:7">
      <c r="A330" s="3200" t="s">
        <v>307</v>
      </c>
      <c r="B330" s="3189" t="s">
        <v>2844</v>
      </c>
      <c r="C330" s="3190">
        <v>0.15</v>
      </c>
      <c r="D330" s="3190">
        <v>0.15</v>
      </c>
      <c r="E330" s="3190">
        <v>0.15</v>
      </c>
      <c r="F330" s="3190">
        <v>0.15</v>
      </c>
      <c r="G330" s="3191">
        <v>0.15</v>
      </c>
    </row>
    <row r="331" spans="1:7">
      <c r="A331" s="3200" t="s">
        <v>307</v>
      </c>
      <c r="B331" s="3189" t="s">
        <v>161</v>
      </c>
      <c r="C331" s="3190">
        <v>0.15</v>
      </c>
      <c r="D331" s="3190">
        <v>0.15</v>
      </c>
      <c r="E331" s="3190">
        <v>0.15</v>
      </c>
      <c r="F331" s="3190">
        <v>0.15</v>
      </c>
      <c r="G331" s="3191">
        <v>0.15</v>
      </c>
    </row>
    <row r="332" spans="1:7">
      <c r="A332" s="3200" t="s">
        <v>307</v>
      </c>
      <c r="B332" s="3189" t="s">
        <v>2852</v>
      </c>
      <c r="C332" s="3190">
        <v>0.15</v>
      </c>
      <c r="D332" s="3190">
        <v>0.15</v>
      </c>
      <c r="E332" s="3190">
        <v>0.15</v>
      </c>
      <c r="F332" s="3190">
        <v>0.15</v>
      </c>
      <c r="G332" s="3191">
        <v>0.15</v>
      </c>
    </row>
    <row r="333" spans="1:7">
      <c r="A333" s="3200" t="s">
        <v>307</v>
      </c>
      <c r="B333" s="3189" t="s">
        <v>2856</v>
      </c>
      <c r="C333" s="3190">
        <v>0.14899999999999999</v>
      </c>
      <c r="D333" s="3190">
        <v>0.14899999999999999</v>
      </c>
      <c r="E333" s="3190">
        <v>0.15</v>
      </c>
      <c r="F333" s="3190">
        <v>0.11600000000000001</v>
      </c>
      <c r="G333" s="3191">
        <v>0.15</v>
      </c>
    </row>
    <row r="334" spans="1:7">
      <c r="A334" s="3200" t="s">
        <v>307</v>
      </c>
      <c r="B334" s="3189" t="s">
        <v>183</v>
      </c>
      <c r="C334" s="3190">
        <v>0.15</v>
      </c>
      <c r="D334" s="3190">
        <v>0.15</v>
      </c>
      <c r="E334" s="3190">
        <v>0.15</v>
      </c>
      <c r="F334" s="3190">
        <v>0.13</v>
      </c>
      <c r="G334" s="3191">
        <v>0.15</v>
      </c>
    </row>
    <row r="335" spans="1:7">
      <c r="A335" s="3200" t="s">
        <v>307</v>
      </c>
      <c r="B335" s="3189" t="s">
        <v>193</v>
      </c>
      <c r="C335" s="3190">
        <v>0.15</v>
      </c>
      <c r="D335" s="3190">
        <v>0.15</v>
      </c>
      <c r="E335" s="3190">
        <v>0.15</v>
      </c>
      <c r="F335" s="3190">
        <v>0.14399999999999999</v>
      </c>
      <c r="G335" s="3191">
        <v>0.15</v>
      </c>
    </row>
    <row r="336" spans="1:7">
      <c r="A336" s="3200" t="s">
        <v>307</v>
      </c>
      <c r="B336" s="3189" t="s">
        <v>2862</v>
      </c>
      <c r="C336" s="3190">
        <v>0.15</v>
      </c>
      <c r="D336" s="3190">
        <v>0.15</v>
      </c>
      <c r="E336" s="3190">
        <v>0.15</v>
      </c>
      <c r="F336" s="3190">
        <v>0.14199999999999999</v>
      </c>
      <c r="G336" s="3191">
        <v>0.15</v>
      </c>
    </row>
    <row r="337" spans="1:7">
      <c r="A337" s="3200" t="s">
        <v>307</v>
      </c>
      <c r="B337" s="3189" t="s">
        <v>2867</v>
      </c>
      <c r="C337" s="3190">
        <v>0.15</v>
      </c>
      <c r="D337" s="3190">
        <v>0.15</v>
      </c>
      <c r="E337" s="3190">
        <v>0.15</v>
      </c>
      <c r="F337" s="3190">
        <v>0.14499999999999999</v>
      </c>
      <c r="G337" s="3191">
        <v>0.15</v>
      </c>
    </row>
    <row r="338" spans="1:7">
      <c r="A338" s="3200" t="s">
        <v>307</v>
      </c>
      <c r="B338" s="3189" t="s">
        <v>220</v>
      </c>
      <c r="C338" s="3190">
        <v>0.15</v>
      </c>
      <c r="D338" s="3190">
        <v>0.15</v>
      </c>
      <c r="E338" s="3190">
        <v>0.15</v>
      </c>
      <c r="F338" s="3190">
        <v>0.15</v>
      </c>
      <c r="G338" s="3191">
        <v>0.15</v>
      </c>
    </row>
    <row r="339" spans="1:7">
      <c r="A339" s="3200" t="s">
        <v>307</v>
      </c>
      <c r="B339" s="3189" t="s">
        <v>228</v>
      </c>
      <c r="C339" s="3190">
        <v>0.15</v>
      </c>
      <c r="D339" s="3190">
        <v>0.15</v>
      </c>
      <c r="E339" s="3190">
        <v>0.15</v>
      </c>
      <c r="F339" s="3190">
        <v>0.14699999999999999</v>
      </c>
      <c r="G339" s="3191">
        <v>0.15</v>
      </c>
    </row>
    <row r="340" spans="1:7">
      <c r="A340" s="3200" t="s">
        <v>307</v>
      </c>
      <c r="B340" s="3189" t="s">
        <v>2874</v>
      </c>
      <c r="C340" s="3190">
        <v>0.14599999999999999</v>
      </c>
      <c r="D340" s="3190">
        <v>0.14599999999999999</v>
      </c>
      <c r="E340" s="3190">
        <v>0.15</v>
      </c>
      <c r="F340" s="3190">
        <v>0.14099999999999999</v>
      </c>
      <c r="G340" s="3191">
        <v>0.14699999999999999</v>
      </c>
    </row>
    <row r="341" spans="1:7">
      <c r="A341" s="3200" t="s">
        <v>307</v>
      </c>
      <c r="B341" s="3189" t="s">
        <v>207</v>
      </c>
      <c r="C341" s="3190">
        <v>0.126</v>
      </c>
      <c r="D341" s="3190">
        <v>0.124</v>
      </c>
      <c r="E341" s="3190">
        <v>0.14099999999999999</v>
      </c>
      <c r="F341" s="3190">
        <v>0.14399999999999999</v>
      </c>
      <c r="G341" s="3191">
        <v>0.13</v>
      </c>
    </row>
    <row r="342" spans="1:7">
      <c r="A342" s="3200" t="s">
        <v>307</v>
      </c>
      <c r="B342" s="3189" t="s">
        <v>2879</v>
      </c>
      <c r="C342" s="3190">
        <v>0.15</v>
      </c>
      <c r="D342" s="3190">
        <v>0.15</v>
      </c>
      <c r="E342" s="3190">
        <v>0.15</v>
      </c>
      <c r="F342" s="3190">
        <v>0.14399999999999999</v>
      </c>
      <c r="G342" s="3191">
        <v>0.15</v>
      </c>
    </row>
    <row r="343" spans="1:7">
      <c r="A343" s="3200" t="s">
        <v>307</v>
      </c>
      <c r="B343" s="3189" t="s">
        <v>257</v>
      </c>
      <c r="C343" s="3190">
        <v>0.15</v>
      </c>
      <c r="D343" s="3190">
        <v>0.15</v>
      </c>
      <c r="E343" s="3190">
        <v>0.15</v>
      </c>
      <c r="F343" s="3190">
        <v>0.128</v>
      </c>
      <c r="G343" s="3191">
        <v>0.15</v>
      </c>
    </row>
    <row r="344" spans="1:7">
      <c r="A344" s="3200" t="s">
        <v>307</v>
      </c>
      <c r="B344" s="3189" t="s">
        <v>265</v>
      </c>
      <c r="C344" s="3190">
        <v>0.15</v>
      </c>
      <c r="D344" s="3190">
        <v>0.15</v>
      </c>
      <c r="E344" s="3190">
        <v>0.15</v>
      </c>
      <c r="F344" s="3190">
        <v>0.14799999999999999</v>
      </c>
      <c r="G344" s="3191">
        <v>0.15</v>
      </c>
    </row>
    <row r="345" spans="1:7">
      <c r="A345" s="3200" t="s">
        <v>307</v>
      </c>
      <c r="B345" s="3189" t="s">
        <v>2887</v>
      </c>
      <c r="C345" s="3190">
        <v>0.15</v>
      </c>
      <c r="D345" s="3190">
        <v>0.15</v>
      </c>
      <c r="E345" s="3190">
        <v>0.15</v>
      </c>
      <c r="F345" s="3190">
        <v>0.13800000000000001</v>
      </c>
      <c r="G345" s="3191">
        <v>0.15</v>
      </c>
    </row>
    <row r="346" spans="1:7">
      <c r="A346" s="3200" t="s">
        <v>307</v>
      </c>
      <c r="B346" s="3189" t="s">
        <v>2889</v>
      </c>
      <c r="C346" s="3190">
        <v>0.15</v>
      </c>
      <c r="D346" s="3190">
        <v>0.15</v>
      </c>
      <c r="E346" s="3190">
        <v>0.15</v>
      </c>
      <c r="F346" s="3190">
        <v>0.14399999999999999</v>
      </c>
      <c r="G346" s="3191">
        <v>0.15</v>
      </c>
    </row>
    <row r="347" spans="1:7">
      <c r="A347" s="3200" t="s">
        <v>307</v>
      </c>
      <c r="B347" s="3189" t="s">
        <v>243</v>
      </c>
      <c r="C347" s="3190">
        <v>0.15</v>
      </c>
      <c r="D347" s="3190">
        <v>0.15</v>
      </c>
      <c r="E347" s="3190">
        <v>0.15</v>
      </c>
      <c r="F347" s="3190">
        <v>0.14599999999999999</v>
      </c>
      <c r="G347" s="3191">
        <v>0.15</v>
      </c>
    </row>
    <row r="348" spans="1:7">
      <c r="A348" s="3200" t="s">
        <v>307</v>
      </c>
      <c r="B348" s="3189" t="s">
        <v>2896</v>
      </c>
      <c r="C348" s="3190">
        <v>0.15</v>
      </c>
      <c r="D348" s="3190">
        <v>0.15</v>
      </c>
      <c r="E348" s="3190">
        <v>0.15</v>
      </c>
      <c r="F348" s="3190">
        <v>0.14399999999999999</v>
      </c>
      <c r="G348" s="3191">
        <v>0.15</v>
      </c>
    </row>
    <row r="349" spans="1:7">
      <c r="A349" s="3200" t="s">
        <v>307</v>
      </c>
      <c r="B349" s="3189" t="s">
        <v>2901</v>
      </c>
      <c r="C349" s="3190">
        <v>0.15</v>
      </c>
      <c r="D349" s="3190">
        <v>0.15</v>
      </c>
      <c r="E349" s="3190">
        <v>0.15</v>
      </c>
      <c r="F349" s="3190">
        <v>0.15</v>
      </c>
      <c r="G349" s="3191">
        <v>0.15</v>
      </c>
    </row>
    <row r="350" spans="1:7">
      <c r="A350" s="3200" t="s">
        <v>307</v>
      </c>
      <c r="B350" s="3189" t="s">
        <v>2904</v>
      </c>
      <c r="C350" s="3190">
        <v>0.15</v>
      </c>
      <c r="D350" s="3190">
        <v>0.15</v>
      </c>
      <c r="E350" s="3190">
        <v>0.15</v>
      </c>
      <c r="F350" s="3190">
        <v>0.14699999999999999</v>
      </c>
      <c r="G350" s="3191">
        <v>0.15</v>
      </c>
    </row>
    <row r="351" spans="1:7">
      <c r="A351" s="3200" t="s">
        <v>307</v>
      </c>
      <c r="B351" s="3189" t="s">
        <v>2909</v>
      </c>
      <c r="C351" s="3190">
        <v>0.15</v>
      </c>
      <c r="D351" s="3190">
        <v>0.15</v>
      </c>
      <c r="E351" s="3190">
        <v>0.15</v>
      </c>
      <c r="F351" s="3190">
        <v>0.13</v>
      </c>
      <c r="G351" s="3191">
        <v>0.15</v>
      </c>
    </row>
    <row r="352" spans="1:7">
      <c r="A352" s="3200" t="s">
        <v>307</v>
      </c>
      <c r="B352" s="3189" t="s">
        <v>2914</v>
      </c>
      <c r="C352" s="3190">
        <v>0.15</v>
      </c>
      <c r="D352" s="3190">
        <v>0.15</v>
      </c>
      <c r="E352" s="3190">
        <v>0.15</v>
      </c>
      <c r="F352" s="3190">
        <v>0.14599999999999999</v>
      </c>
      <c r="G352" s="3191">
        <v>0.15</v>
      </c>
    </row>
    <row r="353" spans="1:7">
      <c r="A353" s="3200" t="s">
        <v>307</v>
      </c>
      <c r="B353" s="3189" t="s">
        <v>2921</v>
      </c>
      <c r="C353" s="3190">
        <v>0.15</v>
      </c>
      <c r="D353" s="3190">
        <v>0.15</v>
      </c>
      <c r="E353" s="3190">
        <v>0.15</v>
      </c>
      <c r="F353" s="3190">
        <v>0.14499999999999999</v>
      </c>
      <c r="G353" s="3191">
        <v>0.15</v>
      </c>
    </row>
    <row r="354" spans="1:7">
      <c r="A354" s="3200" t="s">
        <v>307</v>
      </c>
      <c r="B354" s="3189" t="s">
        <v>280</v>
      </c>
      <c r="C354" s="3190">
        <v>0.15</v>
      </c>
      <c r="D354" s="3190">
        <v>0.15</v>
      </c>
      <c r="E354" s="3190">
        <v>0.15</v>
      </c>
      <c r="F354" s="3190">
        <v>0.14099999999999999</v>
      </c>
      <c r="G354" s="3191">
        <v>0.15</v>
      </c>
    </row>
    <row r="355" spans="1:7">
      <c r="A355" s="3200" t="s">
        <v>307</v>
      </c>
      <c r="B355" s="3189" t="s">
        <v>2934</v>
      </c>
      <c r="C355" s="3190">
        <v>0.15</v>
      </c>
      <c r="D355" s="3190">
        <v>0.15</v>
      </c>
      <c r="E355" s="3190">
        <v>0.15</v>
      </c>
      <c r="F355" s="3190">
        <v>0.15</v>
      </c>
      <c r="G355" s="3191">
        <v>0.15</v>
      </c>
    </row>
    <row r="356" spans="1:7">
      <c r="A356" s="3200" t="s">
        <v>307</v>
      </c>
      <c r="B356" s="3189" t="s">
        <v>2941</v>
      </c>
      <c r="C356" s="3190">
        <v>0.15</v>
      </c>
      <c r="D356" s="3190">
        <v>0.15</v>
      </c>
      <c r="E356" s="3190">
        <v>0.15</v>
      </c>
      <c r="F356" s="3190">
        <v>0.15</v>
      </c>
      <c r="G356" s="3191">
        <v>0.15</v>
      </c>
    </row>
    <row r="357" spans="1:7" ht="14.25" thickBot="1">
      <c r="A357" s="3203" t="s">
        <v>307</v>
      </c>
      <c r="B357" s="3193" t="s">
        <v>2946</v>
      </c>
      <c r="C357" s="3194">
        <v>0.126</v>
      </c>
      <c r="D357" s="3194">
        <v>0.127</v>
      </c>
      <c r="E357" s="3194">
        <v>0.14299999999999999</v>
      </c>
      <c r="F357" s="3194">
        <v>0.125</v>
      </c>
      <c r="G357" s="3196">
        <v>0.129</v>
      </c>
    </row>
    <row r="358" spans="1:7">
      <c r="A358" s="3199" t="s">
        <v>2815</v>
      </c>
      <c r="B358" s="3185" t="s">
        <v>2829</v>
      </c>
      <c r="C358" s="3186">
        <v>0.15</v>
      </c>
      <c r="D358" s="3186">
        <v>0.15</v>
      </c>
      <c r="E358" s="3186">
        <v>0.15</v>
      </c>
      <c r="F358" s="3186">
        <v>0.15</v>
      </c>
      <c r="G358" s="3187">
        <v>0.15</v>
      </c>
    </row>
    <row r="359" spans="1:7">
      <c r="A359" s="3200" t="s">
        <v>2815</v>
      </c>
      <c r="B359" s="3189" t="s">
        <v>2835</v>
      </c>
      <c r="C359" s="3190">
        <v>0.1</v>
      </c>
      <c r="D359" s="3190">
        <v>0.1</v>
      </c>
      <c r="E359" s="3190">
        <v>0.1</v>
      </c>
      <c r="F359" s="3190">
        <v>0.1</v>
      </c>
      <c r="G359" s="3191">
        <v>0.1</v>
      </c>
    </row>
    <row r="360" spans="1:7">
      <c r="A360" s="3200" t="s">
        <v>2815</v>
      </c>
      <c r="B360" s="3189" t="s">
        <v>2841</v>
      </c>
      <c r="C360" s="3190">
        <v>0.15</v>
      </c>
      <c r="D360" s="3190">
        <v>0.15</v>
      </c>
      <c r="E360" s="3190">
        <v>0.15</v>
      </c>
      <c r="F360" s="3190">
        <v>0.14899999999999999</v>
      </c>
      <c r="G360" s="3191">
        <v>0.15</v>
      </c>
    </row>
    <row r="361" spans="1:7">
      <c r="A361" s="3200" t="s">
        <v>2815</v>
      </c>
      <c r="B361" s="3189" t="s">
        <v>153</v>
      </c>
      <c r="C361" s="3190">
        <v>0.15</v>
      </c>
      <c r="D361" s="3190">
        <v>0.15</v>
      </c>
      <c r="E361" s="3190">
        <v>0.15</v>
      </c>
      <c r="F361" s="3190">
        <v>0.115</v>
      </c>
      <c r="G361" s="3191">
        <v>0.15</v>
      </c>
    </row>
    <row r="362" spans="1:7">
      <c r="A362" s="3200" t="s">
        <v>2815</v>
      </c>
      <c r="B362" s="3189" t="s">
        <v>2848</v>
      </c>
      <c r="C362" s="3190">
        <v>0.15</v>
      </c>
      <c r="D362" s="3190">
        <v>0.15</v>
      </c>
      <c r="E362" s="3190">
        <v>0.15</v>
      </c>
      <c r="F362" s="3190">
        <v>0.106</v>
      </c>
      <c r="G362" s="3191">
        <v>0.15</v>
      </c>
    </row>
    <row r="363" spans="1:7">
      <c r="A363" s="3200" t="s">
        <v>2815</v>
      </c>
      <c r="B363" s="3189" t="s">
        <v>2853</v>
      </c>
      <c r="C363" s="3190">
        <v>0.15</v>
      </c>
      <c r="D363" s="3190">
        <v>0.15</v>
      </c>
      <c r="E363" s="3190">
        <v>0.15</v>
      </c>
      <c r="F363" s="3190">
        <v>0.14699999999999999</v>
      </c>
      <c r="G363" s="3191">
        <v>0.15</v>
      </c>
    </row>
    <row r="364" spans="1:7">
      <c r="A364" s="3200" t="s">
        <v>2815</v>
      </c>
      <c r="B364" s="3189" t="s">
        <v>2857</v>
      </c>
      <c r="C364" s="3190">
        <v>0.15</v>
      </c>
      <c r="D364" s="3190">
        <v>0.15</v>
      </c>
      <c r="E364" s="3190">
        <v>0.15</v>
      </c>
      <c r="F364" s="3190">
        <v>0.14799999999999999</v>
      </c>
      <c r="G364" s="3191">
        <v>0.15</v>
      </c>
    </row>
    <row r="365" spans="1:7">
      <c r="A365" s="3200" t="s">
        <v>2815</v>
      </c>
      <c r="B365" s="3189" t="s">
        <v>200</v>
      </c>
      <c r="C365" s="3190">
        <v>0.15</v>
      </c>
      <c r="D365" s="3190">
        <v>0.15</v>
      </c>
      <c r="E365" s="3190">
        <v>0.15</v>
      </c>
      <c r="F365" s="3190">
        <v>0.15</v>
      </c>
      <c r="G365" s="3191">
        <v>0.15</v>
      </c>
    </row>
    <row r="366" spans="1:7">
      <c r="A366" s="3200" t="s">
        <v>2815</v>
      </c>
      <c r="B366" s="3189" t="s">
        <v>2860</v>
      </c>
      <c r="C366" s="3190">
        <v>0.15</v>
      </c>
      <c r="D366" s="3190">
        <v>0.15</v>
      </c>
      <c r="E366" s="3190">
        <v>0.15</v>
      </c>
      <c r="F366" s="3190">
        <v>0.15</v>
      </c>
      <c r="G366" s="3191">
        <v>0.15</v>
      </c>
    </row>
    <row r="367" spans="1:7">
      <c r="A367" s="3200" t="s">
        <v>2815</v>
      </c>
      <c r="B367" s="3189" t="s">
        <v>2863</v>
      </c>
      <c r="C367" s="3190">
        <v>0.15</v>
      </c>
      <c r="D367" s="3190">
        <v>0.15</v>
      </c>
      <c r="E367" s="3190">
        <v>0.15</v>
      </c>
      <c r="F367" s="3190">
        <v>0.14699999999999999</v>
      </c>
      <c r="G367" s="3191">
        <v>0.15</v>
      </c>
    </row>
    <row r="368" spans="1:7">
      <c r="A368" s="3200" t="s">
        <v>2815</v>
      </c>
      <c r="B368" s="3189" t="s">
        <v>2868</v>
      </c>
      <c r="C368" s="3190">
        <v>0.15</v>
      </c>
      <c r="D368" s="3190">
        <v>0.15</v>
      </c>
      <c r="E368" s="3190">
        <v>0.15</v>
      </c>
      <c r="F368" s="3190">
        <v>0.13600000000000001</v>
      </c>
      <c r="G368" s="3191">
        <v>0.15</v>
      </c>
    </row>
    <row r="369" spans="1:7">
      <c r="A369" s="3200" t="s">
        <v>2815</v>
      </c>
      <c r="B369" s="3189" t="s">
        <v>214</v>
      </c>
      <c r="C369" s="3190">
        <v>0.15</v>
      </c>
      <c r="D369" s="3190">
        <v>0.15</v>
      </c>
      <c r="E369" s="3190">
        <v>0.15</v>
      </c>
      <c r="F369" s="3190">
        <v>0.14399999999999999</v>
      </c>
      <c r="G369" s="3191">
        <v>0.15</v>
      </c>
    </row>
    <row r="370" spans="1:7">
      <c r="A370" s="3200" t="s">
        <v>2815</v>
      </c>
      <c r="B370" s="3189" t="s">
        <v>221</v>
      </c>
      <c r="C370" s="3190">
        <v>0.15</v>
      </c>
      <c r="D370" s="3190">
        <v>0.15</v>
      </c>
      <c r="E370" s="3190">
        <v>0.15</v>
      </c>
      <c r="F370" s="3190">
        <v>0.14599999999999999</v>
      </c>
      <c r="G370" s="3191">
        <v>0.15</v>
      </c>
    </row>
    <row r="371" spans="1:7">
      <c r="A371" s="3200" t="s">
        <v>2815</v>
      </c>
      <c r="B371" s="3189" t="s">
        <v>229</v>
      </c>
      <c r="C371" s="3190">
        <v>0.15</v>
      </c>
      <c r="D371" s="3190">
        <v>0.15</v>
      </c>
      <c r="E371" s="3190">
        <v>0.15</v>
      </c>
      <c r="F371" s="3190">
        <v>0.12</v>
      </c>
      <c r="G371" s="3191">
        <v>0.15</v>
      </c>
    </row>
    <row r="372" spans="1:7">
      <c r="A372" s="3200" t="s">
        <v>2815</v>
      </c>
      <c r="B372" s="3189" t="s">
        <v>2876</v>
      </c>
      <c r="C372" s="3190">
        <v>0.15</v>
      </c>
      <c r="D372" s="3190">
        <v>0.15</v>
      </c>
      <c r="E372" s="3190">
        <v>0.15</v>
      </c>
      <c r="F372" s="3190">
        <v>0.14299999999999999</v>
      </c>
      <c r="G372" s="3191">
        <v>0.15</v>
      </c>
    </row>
    <row r="373" spans="1:7">
      <c r="A373" s="3200" t="s">
        <v>2815</v>
      </c>
      <c r="B373" s="3189" t="s">
        <v>258</v>
      </c>
      <c r="C373" s="3190">
        <v>0.15</v>
      </c>
      <c r="D373" s="3190">
        <v>0.15</v>
      </c>
      <c r="E373" s="3190">
        <v>0.15</v>
      </c>
      <c r="F373" s="3190">
        <v>0.14599999999999999</v>
      </c>
      <c r="G373" s="3191">
        <v>0.15</v>
      </c>
    </row>
    <row r="374" spans="1:7">
      <c r="A374" s="3200" t="s">
        <v>2815</v>
      </c>
      <c r="B374" s="3189" t="s">
        <v>266</v>
      </c>
      <c r="C374" s="3190">
        <v>0.15</v>
      </c>
      <c r="D374" s="3190">
        <v>0.15</v>
      </c>
      <c r="E374" s="3190">
        <v>0.15</v>
      </c>
      <c r="F374" s="3190">
        <v>0.14399999999999999</v>
      </c>
      <c r="G374" s="3191">
        <v>0.15</v>
      </c>
    </row>
    <row r="375" spans="1:7">
      <c r="A375" s="3200" t="s">
        <v>2815</v>
      </c>
      <c r="B375" s="3189" t="s">
        <v>2884</v>
      </c>
      <c r="C375" s="3190">
        <v>0.15</v>
      </c>
      <c r="D375" s="3190">
        <v>0.15</v>
      </c>
      <c r="E375" s="3190">
        <v>0.15</v>
      </c>
      <c r="F375" s="3190">
        <v>0.13</v>
      </c>
      <c r="G375" s="3191">
        <v>0.15</v>
      </c>
    </row>
    <row r="376" spans="1:7">
      <c r="A376" s="3200" t="s">
        <v>2815</v>
      </c>
      <c r="B376" s="3189" t="s">
        <v>277</v>
      </c>
      <c r="C376" s="3190">
        <v>0.15</v>
      </c>
      <c r="D376" s="3190">
        <v>0.15</v>
      </c>
      <c r="E376" s="3190">
        <v>0.15</v>
      </c>
      <c r="F376" s="3190">
        <v>0.14199999999999999</v>
      </c>
      <c r="G376" s="3191">
        <v>0.15</v>
      </c>
    </row>
    <row r="377" spans="1:7" ht="14.25" thickBot="1">
      <c r="A377" s="3203" t="s">
        <v>2815</v>
      </c>
      <c r="B377" s="3193" t="s">
        <v>2890</v>
      </c>
      <c r="C377" s="3194">
        <v>0.15</v>
      </c>
      <c r="D377" s="3194">
        <v>0.15</v>
      </c>
      <c r="E377" s="3194">
        <v>0.15</v>
      </c>
      <c r="F377" s="3194">
        <v>0.14000000000000001</v>
      </c>
      <c r="G377" s="3196">
        <v>0.15</v>
      </c>
    </row>
    <row r="378" spans="1:7">
      <c r="A378" s="3199" t="s">
        <v>2816</v>
      </c>
      <c r="B378" s="3185" t="s">
        <v>2830</v>
      </c>
      <c r="C378" s="3186">
        <v>0.15</v>
      </c>
      <c r="D378" s="3186">
        <v>0.15</v>
      </c>
      <c r="E378" s="3186">
        <v>0.15</v>
      </c>
      <c r="F378" s="3186">
        <v>0.107</v>
      </c>
      <c r="G378" s="3187">
        <v>0.15</v>
      </c>
    </row>
    <row r="379" spans="1:7">
      <c r="A379" s="3200" t="s">
        <v>2816</v>
      </c>
      <c r="B379" s="3189" t="s">
        <v>2836</v>
      </c>
      <c r="C379" s="3190">
        <v>0.15</v>
      </c>
      <c r="D379" s="3190">
        <v>0.15</v>
      </c>
      <c r="E379" s="3190">
        <v>0.15</v>
      </c>
      <c r="F379" s="3190">
        <v>0.115</v>
      </c>
      <c r="G379" s="3191">
        <v>0.14899999999999999</v>
      </c>
    </row>
    <row r="380" spans="1:7">
      <c r="A380" s="3200" t="s">
        <v>2816</v>
      </c>
      <c r="B380" s="3189" t="s">
        <v>2842</v>
      </c>
      <c r="C380" s="3190">
        <v>0.15</v>
      </c>
      <c r="D380" s="3190">
        <v>0.15</v>
      </c>
      <c r="E380" s="3190">
        <v>0.15</v>
      </c>
      <c r="F380" s="3190">
        <v>0.1</v>
      </c>
      <c r="G380" s="3191">
        <v>0.14799999999999999</v>
      </c>
    </row>
    <row r="381" spans="1:7">
      <c r="A381" s="3200" t="s">
        <v>2816</v>
      </c>
      <c r="B381" s="3189" t="s">
        <v>2845</v>
      </c>
      <c r="C381" s="3190">
        <v>0.15</v>
      </c>
      <c r="D381" s="3190">
        <v>0.15</v>
      </c>
      <c r="E381" s="3190">
        <v>0.15</v>
      </c>
      <c r="F381" s="3190">
        <v>0.126</v>
      </c>
      <c r="G381" s="3191">
        <v>0.15</v>
      </c>
    </row>
    <row r="382" spans="1:7">
      <c r="A382" s="3200" t="s">
        <v>2816</v>
      </c>
      <c r="B382" s="3189" t="s">
        <v>2849</v>
      </c>
      <c r="C382" s="3190">
        <v>0.15</v>
      </c>
      <c r="D382" s="3190">
        <v>0.15</v>
      </c>
      <c r="E382" s="3190">
        <v>0.15</v>
      </c>
      <c r="F382" s="3190">
        <v>0.15</v>
      </c>
      <c r="G382" s="3191">
        <v>0.15</v>
      </c>
    </row>
    <row r="383" spans="1:7">
      <c r="A383" s="3200" t="s">
        <v>2816</v>
      </c>
      <c r="B383" s="3189" t="s">
        <v>2854</v>
      </c>
      <c r="C383" s="3190">
        <v>0.15</v>
      </c>
      <c r="D383" s="3190">
        <v>0.15</v>
      </c>
      <c r="E383" s="3190">
        <v>0.15</v>
      </c>
      <c r="F383" s="3190">
        <v>0.14699999999999999</v>
      </c>
      <c r="G383" s="3191">
        <v>0.15</v>
      </c>
    </row>
    <row r="384" spans="1:7" ht="14.25" thickBot="1">
      <c r="A384" s="3210" t="s">
        <v>2816</v>
      </c>
      <c r="B384" s="3211" t="s">
        <v>2858</v>
      </c>
      <c r="C384" s="3212">
        <v>0.15</v>
      </c>
      <c r="D384" s="3212">
        <v>0.15</v>
      </c>
      <c r="E384" s="3212">
        <v>0.15</v>
      </c>
      <c r="F384" s="3212">
        <v>0.15</v>
      </c>
      <c r="G384" s="321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5"/>
  </cols>
  <sheetData>
    <row r="1" spans="1:6">
      <c r="A1" s="4177" t="s">
        <v>3197</v>
      </c>
      <c r="B1" s="4177"/>
      <c r="C1" s="4177"/>
      <c r="D1" s="4177"/>
      <c r="E1" s="4177"/>
      <c r="F1" s="4178"/>
    </row>
    <row r="2" spans="1:6">
      <c r="A2" s="3216" t="s">
        <v>3198</v>
      </c>
      <c r="B2" s="3217"/>
      <c r="C2" s="3217"/>
      <c r="D2" s="3217"/>
      <c r="E2" s="3217"/>
      <c r="F2" s="3217"/>
    </row>
    <row r="3" spans="1:6">
      <c r="A3" s="3216" t="s">
        <v>3199</v>
      </c>
      <c r="B3" s="3217"/>
      <c r="C3" s="3217"/>
      <c r="D3" s="3217"/>
      <c r="E3" s="3217"/>
      <c r="F3" s="3218" t="s">
        <v>3200</v>
      </c>
    </row>
    <row r="4" spans="1:6">
      <c r="A4" s="3219" t="s">
        <v>672</v>
      </c>
      <c r="B4" s="3219" t="s">
        <v>673</v>
      </c>
      <c r="C4" s="3219" t="s">
        <v>21</v>
      </c>
      <c r="D4" s="3219" t="s">
        <v>674</v>
      </c>
      <c r="E4" s="3219" t="s">
        <v>3</v>
      </c>
      <c r="F4" s="3219" t="s">
        <v>3201</v>
      </c>
    </row>
    <row r="5" spans="1:6">
      <c r="A5" s="3220" t="s">
        <v>675</v>
      </c>
      <c r="B5" s="3219"/>
      <c r="C5" s="3219"/>
      <c r="D5" s="3219"/>
      <c r="E5" s="3219"/>
      <c r="F5" s="3221"/>
    </row>
    <row r="6" spans="1:6">
      <c r="A6" s="3220" t="s">
        <v>144</v>
      </c>
      <c r="B6" s="3222">
        <v>35380</v>
      </c>
      <c r="C6" s="3222">
        <v>35180</v>
      </c>
      <c r="D6" s="3222">
        <v>35030</v>
      </c>
      <c r="E6" s="3222">
        <v>13780</v>
      </c>
      <c r="F6" s="3222">
        <v>25980</v>
      </c>
    </row>
    <row r="7" spans="1:6">
      <c r="A7" s="3220" t="s">
        <v>184</v>
      </c>
      <c r="B7" s="3222">
        <v>29960</v>
      </c>
      <c r="C7" s="3222">
        <v>29800</v>
      </c>
      <c r="D7" s="3222">
        <v>29690</v>
      </c>
      <c r="E7" s="3222">
        <v>10100</v>
      </c>
      <c r="F7" s="3222">
        <v>21690</v>
      </c>
    </row>
    <row r="8" spans="1:6">
      <c r="A8" s="3220" t="s">
        <v>296</v>
      </c>
      <c r="B8" s="3222">
        <v>24480</v>
      </c>
      <c r="C8" s="3222">
        <v>24380</v>
      </c>
      <c r="D8" s="3222">
        <v>25590</v>
      </c>
      <c r="E8" s="3222">
        <v>7010</v>
      </c>
      <c r="F8" s="3222">
        <v>17060</v>
      </c>
    </row>
    <row r="9" spans="1:6">
      <c r="A9" s="3220" t="s">
        <v>110</v>
      </c>
      <c r="B9" s="3222">
        <v>19370</v>
      </c>
      <c r="C9" s="3222">
        <v>19290</v>
      </c>
      <c r="D9" s="3222">
        <v>21280</v>
      </c>
      <c r="E9" s="3222">
        <v>4910</v>
      </c>
      <c r="F9" s="3222">
        <v>13090</v>
      </c>
    </row>
    <row r="10" spans="1:6">
      <c r="A10" s="3220" t="s">
        <v>303</v>
      </c>
      <c r="B10" s="3222">
        <v>15050</v>
      </c>
      <c r="C10" s="3222">
        <v>14980</v>
      </c>
      <c r="D10" s="3222">
        <v>17300</v>
      </c>
      <c r="E10" s="3222">
        <v>3450</v>
      </c>
      <c r="F10" s="3222">
        <v>9900</v>
      </c>
    </row>
    <row r="11" spans="1:6">
      <c r="A11" s="3220" t="s">
        <v>29</v>
      </c>
      <c r="B11" s="3222">
        <v>11550</v>
      </c>
      <c r="C11" s="3222">
        <v>11490</v>
      </c>
      <c r="D11" s="3222">
        <v>13850</v>
      </c>
      <c r="E11" s="3222">
        <v>2400</v>
      </c>
      <c r="F11" s="3222">
        <v>7390</v>
      </c>
    </row>
    <row r="12" spans="1:6">
      <c r="A12" s="3220" t="s">
        <v>304</v>
      </c>
      <c r="B12" s="3222">
        <v>8630</v>
      </c>
      <c r="C12" s="3222">
        <v>8580</v>
      </c>
      <c r="D12" s="3222">
        <v>10740</v>
      </c>
      <c r="E12" s="3222">
        <v>1720</v>
      </c>
      <c r="F12" s="3222">
        <v>5420</v>
      </c>
    </row>
    <row r="13" spans="1:6">
      <c r="A13" s="3220" t="s">
        <v>305</v>
      </c>
      <c r="B13" s="3222">
        <v>6620</v>
      </c>
      <c r="C13" s="3222">
        <v>6580</v>
      </c>
      <c r="D13" s="3222">
        <v>7830</v>
      </c>
      <c r="E13" s="3222">
        <v>1260</v>
      </c>
      <c r="F13" s="3222">
        <v>4040</v>
      </c>
    </row>
    <row r="14" spans="1:6">
      <c r="A14" s="3220" t="s">
        <v>306</v>
      </c>
      <c r="B14" s="3222">
        <v>4900</v>
      </c>
      <c r="C14" s="3222">
        <v>4860</v>
      </c>
      <c r="D14" s="3222">
        <v>5540</v>
      </c>
      <c r="E14" s="3222">
        <v>950</v>
      </c>
      <c r="F14" s="3222">
        <v>2930</v>
      </c>
    </row>
    <row r="15" spans="1:6">
      <c r="A15" s="3220" t="s">
        <v>307</v>
      </c>
      <c r="B15" s="3222">
        <v>3380</v>
      </c>
      <c r="C15" s="3222">
        <v>3340</v>
      </c>
      <c r="D15" s="3222">
        <v>3630</v>
      </c>
      <c r="E15" s="3222">
        <v>730</v>
      </c>
      <c r="F15" s="3222">
        <v>1990</v>
      </c>
    </row>
    <row r="16" spans="1:6">
      <c r="A16" s="3220" t="s">
        <v>369</v>
      </c>
      <c r="B16" s="3222">
        <v>2230</v>
      </c>
      <c r="C16" s="3222">
        <v>2200</v>
      </c>
      <c r="D16" s="3222">
        <v>2180</v>
      </c>
      <c r="E16" s="3222">
        <v>570</v>
      </c>
      <c r="F16" s="3222">
        <v>1330</v>
      </c>
    </row>
    <row r="17" spans="1:6">
      <c r="A17" s="3220" t="s">
        <v>370</v>
      </c>
      <c r="B17" s="3222">
        <v>1390</v>
      </c>
      <c r="C17" s="3222">
        <v>1360</v>
      </c>
      <c r="D17" s="3222">
        <v>1340</v>
      </c>
      <c r="E17" s="3222">
        <v>450</v>
      </c>
      <c r="F17" s="322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I51" sqref="AI51"/>
    </sheetView>
  </sheetViews>
  <sheetFormatPr defaultRowHeight="13.5"/>
  <cols>
    <col min="1" max="1" width="13.875" customWidth="1"/>
    <col min="11" max="17" width="0" hidden="1" customWidth="1"/>
    <col min="25" max="30" width="0" hidden="1" customWidth="1"/>
  </cols>
  <sheetData>
    <row r="1" spans="1:30">
      <c r="A1" s="3146">
        <f>'基准地价修正-70年公寓'!G23</f>
        <v>45226</v>
      </c>
      <c r="B1" s="3747" t="s">
        <v>4114</v>
      </c>
      <c r="C1" s="3748"/>
      <c r="D1" s="3748"/>
      <c r="E1" s="3748"/>
      <c r="F1" s="3748"/>
      <c r="G1" s="3748"/>
      <c r="H1" s="3748"/>
      <c r="I1" s="3748"/>
      <c r="J1" s="3749"/>
      <c r="K1" s="3748" t="s">
        <v>4115</v>
      </c>
      <c r="L1" s="3748"/>
      <c r="M1" s="3748"/>
      <c r="N1" s="3748"/>
      <c r="O1" s="3748"/>
      <c r="P1" s="3748"/>
      <c r="Q1" s="3749"/>
      <c r="R1" s="4179" t="s">
        <v>4116</v>
      </c>
      <c r="S1" s="4180"/>
      <c r="T1" s="4180"/>
      <c r="U1" s="4180"/>
      <c r="V1" s="4180"/>
      <c r="W1" s="4180"/>
      <c r="X1" s="3749"/>
      <c r="Y1" s="4179" t="s">
        <v>4117</v>
      </c>
      <c r="Z1" s="4180"/>
      <c r="AA1" s="4180"/>
      <c r="AB1" s="4180"/>
      <c r="AC1" s="4180"/>
      <c r="AD1" s="4180"/>
    </row>
    <row r="2" spans="1:30" s="3750" customFormat="1" ht="14.25" thickBot="1">
      <c r="B2" s="3751"/>
      <c r="C2" s="3752"/>
      <c r="D2" s="3134" t="s">
        <v>4118</v>
      </c>
      <c r="E2" s="3135" t="s">
        <v>4119</v>
      </c>
      <c r="F2" s="3135" t="s">
        <v>4120</v>
      </c>
      <c r="G2" s="3135" t="s">
        <v>4121</v>
      </c>
      <c r="H2" s="3135" t="s">
        <v>4122</v>
      </c>
      <c r="I2" s="3135" t="s">
        <v>4123</v>
      </c>
      <c r="J2" s="3753"/>
      <c r="K2" s="3134" t="s">
        <v>4118</v>
      </c>
      <c r="L2" s="3135" t="s">
        <v>4119</v>
      </c>
      <c r="M2" s="3135" t="s">
        <v>4120</v>
      </c>
      <c r="N2" s="3135" t="s">
        <v>4121</v>
      </c>
      <c r="O2" s="3135" t="s">
        <v>4122</v>
      </c>
      <c r="P2" s="3135" t="s">
        <v>4123</v>
      </c>
      <c r="Q2" s="3753"/>
      <c r="R2" s="3134" t="s">
        <v>4118</v>
      </c>
      <c r="S2" s="3135" t="s">
        <v>4119</v>
      </c>
      <c r="T2" s="3135" t="s">
        <v>4120</v>
      </c>
      <c r="U2" s="3135" t="s">
        <v>4121</v>
      </c>
      <c r="V2" s="3135" t="s">
        <v>4122</v>
      </c>
      <c r="W2" s="3135" t="s">
        <v>4123</v>
      </c>
      <c r="X2" s="3753"/>
      <c r="Y2" s="3134" t="s">
        <v>4118</v>
      </c>
      <c r="Z2" s="3135" t="s">
        <v>4119</v>
      </c>
      <c r="AA2" s="3135" t="s">
        <v>4120</v>
      </c>
      <c r="AB2" s="3135" t="s">
        <v>4121</v>
      </c>
      <c r="AC2" s="3135" t="s">
        <v>4122</v>
      </c>
      <c r="AD2" s="3135" t="s">
        <v>4123</v>
      </c>
    </row>
    <row r="3" spans="1:30" s="3766" customFormat="1" ht="12.75">
      <c r="A3" s="3754" t="s">
        <v>4124</v>
      </c>
      <c r="B3" s="3755"/>
      <c r="C3" s="3756"/>
      <c r="D3" s="3756">
        <f>ROUND(AVERAGEIF(D4:D18,"&lt;&gt;0"),2)</f>
        <v>0.73</v>
      </c>
      <c r="E3" s="3756">
        <f t="shared" ref="E3:H3" si="0">ROUND(AVERAGEIF(E4:E18,"&lt;&gt;0"),2)</f>
        <v>0.4</v>
      </c>
      <c r="F3" s="3756">
        <f t="shared" si="0"/>
        <v>0.2</v>
      </c>
      <c r="G3" s="3756">
        <f t="shared" si="0"/>
        <v>0.78</v>
      </c>
      <c r="H3" s="3756">
        <f t="shared" si="0"/>
        <v>0.63</v>
      </c>
      <c r="I3" s="3756">
        <f>F3</f>
        <v>0.2</v>
      </c>
      <c r="J3" s="3757"/>
      <c r="K3" s="3758">
        <f>ROUND(AVERAGEIF(K4:K18,"&lt;&gt;0"),4)</f>
        <v>7.3000000000000001E-3</v>
      </c>
      <c r="L3" s="3759">
        <f t="shared" ref="L3:O3" si="1">ROUND(AVERAGEIF(L4:L18,"&lt;&gt;0"),4)</f>
        <v>4.0000000000000001E-3</v>
      </c>
      <c r="M3" s="3759">
        <f t="shared" si="1"/>
        <v>2E-3</v>
      </c>
      <c r="N3" s="3759">
        <f t="shared" si="1"/>
        <v>7.7999999999999996E-3</v>
      </c>
      <c r="O3" s="3759">
        <f t="shared" si="1"/>
        <v>6.3E-3</v>
      </c>
      <c r="P3" s="3759">
        <f>M3</f>
        <v>2E-3</v>
      </c>
      <c r="Q3" s="3757"/>
      <c r="R3" s="3760">
        <f>ROUND(SUMPRODUCT(PRODUCT(1+K4:K18)),4)</f>
        <v>1.0908</v>
      </c>
      <c r="S3" s="3761">
        <f t="shared" ref="S3:V3" si="2">ROUND(SUMPRODUCT(PRODUCT(1+L4:L18)),4)</f>
        <v>1.0488</v>
      </c>
      <c r="T3" s="3761">
        <f t="shared" si="2"/>
        <v>1.024</v>
      </c>
      <c r="U3" s="3761">
        <f t="shared" si="2"/>
        <v>1.0980000000000001</v>
      </c>
      <c r="V3" s="3761">
        <f t="shared" si="2"/>
        <v>1.0779000000000001</v>
      </c>
      <c r="W3" s="3760">
        <f>T3</f>
        <v>1.024</v>
      </c>
      <c r="X3" s="3757"/>
      <c r="Y3" s="3762">
        <f>ROUND(AVERAGEIF(Y5:Y18,"&lt;&gt;0"),4)</f>
        <v>8.6999999999999994E-3</v>
      </c>
      <c r="Z3" s="3763">
        <f t="shared" ref="Z3:AC3" si="3">ROUND(AVERAGEIF(Z5:Z18,"&lt;&gt;0"),4)</f>
        <v>3.5000000000000001E-3</v>
      </c>
      <c r="AA3" s="3764">
        <f t="shared" si="3"/>
        <v>8.9999999999999998E-4</v>
      </c>
      <c r="AB3" s="3762">
        <f t="shared" si="3"/>
        <v>9.4999999999999998E-3</v>
      </c>
      <c r="AC3" s="3765">
        <f t="shared" si="3"/>
        <v>6.1000000000000004E-3</v>
      </c>
      <c r="AD3" s="3762">
        <f>AA3</f>
        <v>8.9999999999999998E-4</v>
      </c>
    </row>
    <row r="4" spans="1:30" s="3767" customFormat="1" ht="12.75">
      <c r="B4" s="3768"/>
      <c r="C4" s="3769"/>
      <c r="D4" s="3769"/>
      <c r="E4" s="3769"/>
      <c r="F4" s="3769"/>
      <c r="G4" s="3769"/>
      <c r="H4" s="3769"/>
      <c r="I4" s="3769"/>
      <c r="J4" s="3749"/>
      <c r="K4" s="3770"/>
      <c r="L4" s="3771"/>
      <c r="M4" s="3771"/>
      <c r="N4" s="3771"/>
      <c r="O4" s="3771"/>
      <c r="P4" s="3771"/>
      <c r="Q4" s="3749"/>
      <c r="R4" s="3772"/>
      <c r="S4" s="3773"/>
      <c r="T4" s="3774"/>
      <c r="U4" s="3772"/>
      <c r="V4" s="3775"/>
      <c r="W4" s="3772"/>
      <c r="X4" s="3749"/>
      <c r="Y4" s="3776"/>
      <c r="Z4" s="3777"/>
      <c r="AA4" s="3778"/>
      <c r="AB4" s="3776"/>
      <c r="AC4" s="3779"/>
      <c r="AD4" s="3776"/>
    </row>
    <row r="5" spans="1:30" s="3786" customFormat="1" ht="12.75">
      <c r="A5" s="3780" t="s">
        <v>4126</v>
      </c>
      <c r="B5" s="3781">
        <v>2024</v>
      </c>
      <c r="C5" s="3136">
        <v>2</v>
      </c>
      <c r="D5" s="3136">
        <v>0</v>
      </c>
      <c r="E5" s="3136">
        <v>0</v>
      </c>
      <c r="F5" s="3136">
        <v>0</v>
      </c>
      <c r="G5" s="3136">
        <v>0</v>
      </c>
      <c r="H5" s="3136">
        <v>0</v>
      </c>
      <c r="I5" s="3137">
        <f t="shared" ref="I5:I18" si="4">F5</f>
        <v>0</v>
      </c>
      <c r="J5" s="3782"/>
      <c r="K5" s="3783">
        <f t="shared" ref="K5:O18" si="5">D5/100</f>
        <v>0</v>
      </c>
      <c r="L5" s="3776">
        <f t="shared" si="5"/>
        <v>0</v>
      </c>
      <c r="M5" s="3776">
        <f t="shared" si="5"/>
        <v>0</v>
      </c>
      <c r="N5" s="3776">
        <f t="shared" si="5"/>
        <v>0</v>
      </c>
      <c r="O5" s="3776">
        <f t="shared" si="5"/>
        <v>0</v>
      </c>
      <c r="P5" s="3776">
        <f>M5</f>
        <v>0</v>
      </c>
      <c r="Q5" s="3782"/>
      <c r="R5" s="3784">
        <f>ROUND(IF([2]项目基本情况!$B$8="出让",SUMPRODUCT(PRODUCT(1+K5:$K$18)),SUMPRODUCT(PRODUCT(1+K5:$K$17))),4)</f>
        <v>1.0804</v>
      </c>
      <c r="S5" s="3784">
        <f>ROUND(IF([2]项目基本情况!$B$8="出让",SUMPRODUCT(PRODUCT(1+L5:$L$18)),SUMPRODUCT(PRODUCT(1+L5:$L$17))),4)</f>
        <v>1.0471999999999999</v>
      </c>
      <c r="T5" s="3784">
        <f>ROUND(IF([2]项目基本情况!$B$8="出让",SUMPRODUCT(PRODUCT(1+M5:$M$18)),SUMPRODUCT(PRODUCT(1+M5:$M$17))),4)</f>
        <v>1.0266</v>
      </c>
      <c r="U5" s="3784">
        <f>ROUND(IF([2]项目基本情况!$B$8="出让",SUMPRODUCT(PRODUCT(1+N5:$N$18)),SUMPRODUCT(PRODUCT(1+N5:$N$17))),4)</f>
        <v>1.0859000000000001</v>
      </c>
      <c r="V5" s="3784">
        <f>ROUND(IF([2]项目基本情况!$B$8="出让",SUMPRODUCT(PRODUCT(1+O5:$O$18)),SUMPRODUCT(PRODUCT(1+O5:$O$17))),4)</f>
        <v>1.0741000000000001</v>
      </c>
      <c r="W5" s="3784">
        <f>T5</f>
        <v>1.0266</v>
      </c>
      <c r="X5" s="3782"/>
      <c r="Y5" s="3785">
        <f>IF(D5=0,0,ROUND(AVERAGE(D5:D18)/100,4))</f>
        <v>0</v>
      </c>
      <c r="Z5" s="3785">
        <f t="shared" ref="Z5:AC5" si="6">IF(E5=0,0,ROUND(AVERAGE(E5:E18)/100,4))</f>
        <v>0</v>
      </c>
      <c r="AA5" s="3785">
        <f t="shared" si="6"/>
        <v>0</v>
      </c>
      <c r="AB5" s="3785">
        <f t="shared" si="6"/>
        <v>0</v>
      </c>
      <c r="AC5" s="3785">
        <f t="shared" si="6"/>
        <v>0</v>
      </c>
      <c r="AD5" s="3785">
        <f t="shared" ref="AD5:AD17" si="7">AA5</f>
        <v>0</v>
      </c>
    </row>
    <row r="6" spans="1:30" s="3786" customFormat="1" ht="12.75">
      <c r="A6" s="3780" t="s">
        <v>4127</v>
      </c>
      <c r="B6" s="3781">
        <v>2024</v>
      </c>
      <c r="C6" s="3136">
        <v>1</v>
      </c>
      <c r="D6" s="3136">
        <v>0</v>
      </c>
      <c r="E6" s="3136">
        <v>0</v>
      </c>
      <c r="F6" s="3136">
        <v>0</v>
      </c>
      <c r="G6" s="3136">
        <v>0</v>
      </c>
      <c r="H6" s="3141">
        <v>0</v>
      </c>
      <c r="I6" s="3137">
        <v>0</v>
      </c>
      <c r="J6" s="3782"/>
      <c r="K6" s="3783">
        <f t="shared" si="5"/>
        <v>0</v>
      </c>
      <c r="L6" s="3776">
        <f t="shared" si="5"/>
        <v>0</v>
      </c>
      <c r="M6" s="3776">
        <f t="shared" si="5"/>
        <v>0</v>
      </c>
      <c r="N6" s="3776">
        <f t="shared" si="5"/>
        <v>0</v>
      </c>
      <c r="O6" s="3776">
        <f t="shared" si="5"/>
        <v>0</v>
      </c>
      <c r="P6" s="3776">
        <f t="shared" ref="P6:P18" si="8">M6</f>
        <v>0</v>
      </c>
      <c r="Q6" s="3782"/>
      <c r="R6" s="3784">
        <f>ROUND(IF([2]项目基本情况!$B$8="出让",SUMPRODUCT(PRODUCT(1+K6:$K$18)),SUMPRODUCT(PRODUCT(1+K6:$K$17))),4)</f>
        <v>1.0804</v>
      </c>
      <c r="S6" s="3784">
        <f>ROUND(IF([2]项目基本情况!$B$8="出让",SUMPRODUCT(PRODUCT(1+L6:$L$18)),SUMPRODUCT(PRODUCT(1+L6:$L$17))),4)</f>
        <v>1.0471999999999999</v>
      </c>
      <c r="T6" s="3784">
        <f>ROUND(IF([2]项目基本情况!$B$8="出让",SUMPRODUCT(PRODUCT(1+M6:$M$18)),SUMPRODUCT(PRODUCT(1+M6:$M$17))),4)</f>
        <v>1.0266</v>
      </c>
      <c r="U6" s="3784">
        <f>ROUND(IF([2]项目基本情况!$B$8="出让",SUMPRODUCT(PRODUCT(1+N6:$N$18)),SUMPRODUCT(PRODUCT(1+N6:$N$17))),4)</f>
        <v>1.0859000000000001</v>
      </c>
      <c r="V6" s="3784">
        <f>ROUND(IF([2]项目基本情况!$B$8="出让",SUMPRODUCT(PRODUCT(1+O6:$O$18)),SUMPRODUCT(PRODUCT(1+O6:$O$17))),4)</f>
        <v>1.0741000000000001</v>
      </c>
      <c r="W6" s="3784">
        <f t="shared" ref="W6:W18" si="9">T6</f>
        <v>1.0266</v>
      </c>
      <c r="X6" s="3782"/>
      <c r="Y6" s="3785"/>
      <c r="Z6" s="3785"/>
      <c r="AA6" s="3785"/>
      <c r="AB6" s="3785"/>
      <c r="AC6" s="3785"/>
      <c r="AD6" s="3785"/>
    </row>
    <row r="7" spans="1:30" s="3792" customFormat="1" ht="12.75">
      <c r="A7" s="3787" t="s">
        <v>4128</v>
      </c>
      <c r="B7" s="3788">
        <v>2023</v>
      </c>
      <c r="C7" s="3138">
        <v>4</v>
      </c>
      <c r="D7" s="3138">
        <v>0.19</v>
      </c>
      <c r="E7" s="3138">
        <v>0.24</v>
      </c>
      <c r="F7" s="3138">
        <v>-0.16</v>
      </c>
      <c r="G7" s="3138">
        <v>0.17</v>
      </c>
      <c r="H7" s="3139">
        <v>0.61</v>
      </c>
      <c r="I7" s="3140">
        <f>F7</f>
        <v>-0.16</v>
      </c>
      <c r="J7" s="3789"/>
      <c r="K7" s="3790">
        <f t="shared" si="5"/>
        <v>1.9E-3</v>
      </c>
      <c r="L7" s="3791">
        <f t="shared" si="5"/>
        <v>2.3999999999999998E-3</v>
      </c>
      <c r="M7" s="3791">
        <f t="shared" si="5"/>
        <v>-1.6000000000000001E-3</v>
      </c>
      <c r="N7" s="3791">
        <f t="shared" si="5"/>
        <v>1.7000000000000001E-3</v>
      </c>
      <c r="O7" s="3791">
        <f t="shared" si="5"/>
        <v>6.0999999999999995E-3</v>
      </c>
      <c r="P7" s="3791">
        <f t="shared" si="8"/>
        <v>-1.6000000000000001E-3</v>
      </c>
      <c r="Q7" s="3789"/>
      <c r="R7" s="3789">
        <f>ROUND(IF([2]项目基本情况!$B$8="出让",SUMPRODUCT(PRODUCT(1+K7:$K$18)),SUMPRODUCT(PRODUCT(1+K7:$K$17))),4)</f>
        <v>1.0804</v>
      </c>
      <c r="S7" s="3789">
        <f>ROUND(IF([2]项目基本情况!$B$8="出让",SUMPRODUCT(PRODUCT(1+L7:$L$18)),SUMPRODUCT(PRODUCT(1+L7:$L$17))),4)</f>
        <v>1.0471999999999999</v>
      </c>
      <c r="T7" s="3789">
        <f>ROUND(IF([2]项目基本情况!$B$8="出让",SUMPRODUCT(PRODUCT(1+M7:$M$18)),SUMPRODUCT(PRODUCT(1+M7:$M$17))),4)</f>
        <v>1.0266</v>
      </c>
      <c r="U7" s="3789">
        <f>ROUND(IF([2]项目基本情况!$B$8="出让",SUMPRODUCT(PRODUCT(1+N7:$N$18)),SUMPRODUCT(PRODUCT(1+N7:$N$17))),4)</f>
        <v>1.0859000000000001</v>
      </c>
      <c r="V7" s="3789">
        <f>ROUND(IF([2]项目基本情况!$B$8="出让",SUMPRODUCT(PRODUCT(1+O7:$O$18)),SUMPRODUCT(PRODUCT(1+O7:$O$17))),4)</f>
        <v>1.0741000000000001</v>
      </c>
      <c r="W7" s="3789">
        <f t="shared" si="9"/>
        <v>1.0266</v>
      </c>
      <c r="X7" s="3789"/>
      <c r="Y7" s="3791"/>
      <c r="Z7" s="3791"/>
      <c r="AA7" s="3791"/>
      <c r="AB7" s="3791"/>
      <c r="AC7" s="3791"/>
      <c r="AD7" s="3791"/>
    </row>
    <row r="8" spans="1:30" s="3786" customFormat="1" ht="12.75">
      <c r="A8" s="3793" t="s">
        <v>4129</v>
      </c>
      <c r="B8" s="3781">
        <v>2023</v>
      </c>
      <c r="C8" s="3136">
        <v>3</v>
      </c>
      <c r="D8" s="3136">
        <v>0.25</v>
      </c>
      <c r="E8" s="3136">
        <v>0.5</v>
      </c>
      <c r="F8" s="3136">
        <v>0.31</v>
      </c>
      <c r="G8" s="3136">
        <v>0.21</v>
      </c>
      <c r="H8" s="3141">
        <v>0.43</v>
      </c>
      <c r="I8" s="3137">
        <f t="shared" si="4"/>
        <v>0.31</v>
      </c>
      <c r="J8" s="3782"/>
      <c r="K8" s="3783">
        <f t="shared" si="5"/>
        <v>2.5000000000000001E-3</v>
      </c>
      <c r="L8" s="3776">
        <f t="shared" si="5"/>
        <v>5.0000000000000001E-3</v>
      </c>
      <c r="M8" s="3776">
        <f t="shared" si="5"/>
        <v>3.0999999999999999E-3</v>
      </c>
      <c r="N8" s="3776">
        <f t="shared" si="5"/>
        <v>2.0999999999999999E-3</v>
      </c>
      <c r="O8" s="3776">
        <f t="shared" si="5"/>
        <v>4.3E-3</v>
      </c>
      <c r="P8" s="3776">
        <f t="shared" si="8"/>
        <v>3.0999999999999999E-3</v>
      </c>
      <c r="Q8" s="3782"/>
      <c r="R8" s="3784">
        <f>ROUND(IF([2]项目基本情况!$B$8="出让",SUMPRODUCT(PRODUCT(1+K8:$K$18)),SUMPRODUCT(PRODUCT(1+K8:$K$17))),4)</f>
        <v>1.0783</v>
      </c>
      <c r="S8" s="3784">
        <f>ROUND(IF([2]项目基本情况!$B$8="出让",SUMPRODUCT(PRODUCT(1+L8:$L$18)),SUMPRODUCT(PRODUCT(1+L8:$L$17))),4)</f>
        <v>1.0447</v>
      </c>
      <c r="T8" s="3784">
        <f>ROUND(IF([2]项目基本情况!$B$8="出让",SUMPRODUCT(PRODUCT(1+M8:$M$18)),SUMPRODUCT(PRODUCT(1+M8:$M$17))),4)</f>
        <v>1.0282</v>
      </c>
      <c r="U8" s="3784">
        <f>ROUND(IF([2]项目基本情况!$B$8="出让",SUMPRODUCT(PRODUCT(1+N8:$N$18)),SUMPRODUCT(PRODUCT(1+N8:$N$17))),4)</f>
        <v>1.0841000000000001</v>
      </c>
      <c r="V8" s="3784">
        <f>ROUND(IF([2]项目基本情况!$B$8="出让",SUMPRODUCT(PRODUCT(1+O8:$O$18)),SUMPRODUCT(PRODUCT(1+O8:$O$17))),4)</f>
        <v>1.0674999999999999</v>
      </c>
      <c r="W8" s="3784">
        <f t="shared" si="9"/>
        <v>1.0282</v>
      </c>
      <c r="X8" s="3782"/>
      <c r="Y8" s="3785"/>
      <c r="Z8" s="3785"/>
      <c r="AA8" s="3785"/>
      <c r="AB8" s="3785"/>
      <c r="AC8" s="3785"/>
      <c r="AD8" s="3785"/>
    </row>
    <row r="9" spans="1:30" s="3786" customFormat="1" ht="12.75">
      <c r="A9" s="3793" t="s">
        <v>3331</v>
      </c>
      <c r="B9" s="3781">
        <v>2023</v>
      </c>
      <c r="C9" s="3136">
        <v>2</v>
      </c>
      <c r="D9" s="3136">
        <v>0.91</v>
      </c>
      <c r="E9" s="3136">
        <v>0.66</v>
      </c>
      <c r="F9" s="3136">
        <v>0.47</v>
      </c>
      <c r="G9" s="3136">
        <v>0.96</v>
      </c>
      <c r="H9" s="3141">
        <v>0.71</v>
      </c>
      <c r="I9" s="3137">
        <f t="shared" si="4"/>
        <v>0.47</v>
      </c>
      <c r="J9" s="3782"/>
      <c r="K9" s="3783">
        <f t="shared" si="5"/>
        <v>9.1000000000000004E-3</v>
      </c>
      <c r="L9" s="3776">
        <f t="shared" si="5"/>
        <v>6.6E-3</v>
      </c>
      <c r="M9" s="3776">
        <f t="shared" si="5"/>
        <v>4.6999999999999993E-3</v>
      </c>
      <c r="N9" s="3776">
        <f t="shared" si="5"/>
        <v>9.5999999999999992E-3</v>
      </c>
      <c r="O9" s="3776">
        <f t="shared" si="5"/>
        <v>7.0999999999999995E-3</v>
      </c>
      <c r="P9" s="3776">
        <f t="shared" si="8"/>
        <v>4.6999999999999993E-3</v>
      </c>
      <c r="Q9" s="3782"/>
      <c r="R9" s="3784">
        <f>ROUND(IF([2]项目基本情况!$B$8="出让",SUMPRODUCT(PRODUCT(1+K9:$K$18)),SUMPRODUCT(PRODUCT(1+K9:$K$17))),4)</f>
        <v>1.0755999999999999</v>
      </c>
      <c r="S9" s="3784">
        <f>ROUND(IF([2]项目基本情况!$B$8="出让",SUMPRODUCT(PRODUCT(1+L9:$L$18)),SUMPRODUCT(PRODUCT(1+L9:$L$17))),4)</f>
        <v>1.0395000000000001</v>
      </c>
      <c r="T9" s="3784">
        <f>ROUND(IF([2]项目基本情况!$B$8="出让",SUMPRODUCT(PRODUCT(1+M9:$M$18)),SUMPRODUCT(PRODUCT(1+M9:$M$17))),4)</f>
        <v>1.0250999999999999</v>
      </c>
      <c r="U9" s="3784">
        <f>ROUND(IF([2]项目基本情况!$B$8="出让",SUMPRODUCT(PRODUCT(1+N9:$N$18)),SUMPRODUCT(PRODUCT(1+N9:$N$17))),4)</f>
        <v>1.0818000000000001</v>
      </c>
      <c r="V9" s="3784">
        <f>ROUND(IF([2]项目基本情况!$B$8="出让",SUMPRODUCT(PRODUCT(1+O9:$O$18)),SUMPRODUCT(PRODUCT(1+O9:$O$17))),4)</f>
        <v>1.0629999999999999</v>
      </c>
      <c r="W9" s="3784">
        <f t="shared" si="9"/>
        <v>1.0250999999999999</v>
      </c>
      <c r="X9" s="3782"/>
      <c r="Y9" s="3785"/>
      <c r="Z9" s="3785"/>
      <c r="AA9" s="3785"/>
      <c r="AB9" s="3785"/>
      <c r="AC9" s="3785"/>
      <c r="AD9" s="3785"/>
    </row>
    <row r="10" spans="1:30" s="3786" customFormat="1" ht="12.75">
      <c r="A10" s="3793" t="s">
        <v>3332</v>
      </c>
      <c r="B10" s="3781">
        <v>2023</v>
      </c>
      <c r="C10" s="3136">
        <v>1</v>
      </c>
      <c r="D10" s="3136">
        <v>0.89</v>
      </c>
      <c r="E10" s="3136">
        <v>0.74</v>
      </c>
      <c r="F10" s="3136">
        <v>0.56999999999999995</v>
      </c>
      <c r="G10" s="3136">
        <v>0.92</v>
      </c>
      <c r="H10" s="3141">
        <v>0.5</v>
      </c>
      <c r="I10" s="3137">
        <f t="shared" si="4"/>
        <v>0.56999999999999995</v>
      </c>
      <c r="J10" s="3782"/>
      <c r="K10" s="3783">
        <f t="shared" si="5"/>
        <v>8.8999999999999999E-3</v>
      </c>
      <c r="L10" s="3776">
        <f t="shared" si="5"/>
        <v>7.4000000000000003E-3</v>
      </c>
      <c r="M10" s="3776">
        <f t="shared" si="5"/>
        <v>5.6999999999999993E-3</v>
      </c>
      <c r="N10" s="3776">
        <f t="shared" si="5"/>
        <v>9.1999999999999998E-3</v>
      </c>
      <c r="O10" s="3776">
        <f t="shared" si="5"/>
        <v>5.0000000000000001E-3</v>
      </c>
      <c r="P10" s="3776">
        <f t="shared" si="8"/>
        <v>5.6999999999999993E-3</v>
      </c>
      <c r="Q10" s="3782"/>
      <c r="R10" s="3784">
        <f>ROUND(IF([2]项目基本情况!$B$8="出让",SUMPRODUCT(PRODUCT(1+K10:$K$18)),SUMPRODUCT(PRODUCT(1+K10:$K$17))),4)</f>
        <v>1.0659000000000001</v>
      </c>
      <c r="S10" s="3784">
        <f>ROUND(IF([2]项目基本情况!$B$8="出让",SUMPRODUCT(PRODUCT(1+L10:$L$18)),SUMPRODUCT(PRODUCT(1+L10:$L$17))),4)</f>
        <v>1.0326</v>
      </c>
      <c r="T10" s="3784">
        <f>ROUND(IF([2]项目基本情况!$B$8="出让",SUMPRODUCT(PRODUCT(1+M10:$M$18)),SUMPRODUCT(PRODUCT(1+M10:$M$17))),4)</f>
        <v>1.0203</v>
      </c>
      <c r="U10" s="3784">
        <f>ROUND(IF([2]项目基本情况!$B$8="出让",SUMPRODUCT(PRODUCT(1+N10:$N$18)),SUMPRODUCT(PRODUCT(1+N10:$N$17))),4)</f>
        <v>1.0714999999999999</v>
      </c>
      <c r="V10" s="3784">
        <f>ROUND(IF([2]项目基本情况!$B$8="出让",SUMPRODUCT(PRODUCT(1+O10:$O$18)),SUMPRODUCT(PRODUCT(1+O10:$O$17))),4)</f>
        <v>1.0555000000000001</v>
      </c>
      <c r="W10" s="3784">
        <f t="shared" si="9"/>
        <v>1.0203</v>
      </c>
      <c r="X10" s="3782"/>
      <c r="Y10" s="3785"/>
      <c r="Z10" s="3785"/>
      <c r="AA10" s="3785"/>
      <c r="AB10" s="3785"/>
      <c r="AC10" s="3785"/>
      <c r="AD10" s="3785"/>
    </row>
    <row r="11" spans="1:30" s="3786" customFormat="1" ht="12.75">
      <c r="A11" s="3793" t="s">
        <v>3327</v>
      </c>
      <c r="B11" s="3781">
        <v>2022</v>
      </c>
      <c r="C11" s="3136">
        <v>4</v>
      </c>
      <c r="D11" s="3136">
        <v>0.62</v>
      </c>
      <c r="E11" s="3136">
        <v>0.2</v>
      </c>
      <c r="F11" s="3136">
        <v>0.11</v>
      </c>
      <c r="G11" s="3136">
        <v>0.69</v>
      </c>
      <c r="H11" s="3141">
        <v>0.53</v>
      </c>
      <c r="I11" s="3137">
        <f t="shared" si="4"/>
        <v>0.11</v>
      </c>
      <c r="J11" s="3782"/>
      <c r="K11" s="3783">
        <f t="shared" si="5"/>
        <v>6.1999999999999998E-3</v>
      </c>
      <c r="L11" s="3776">
        <f t="shared" si="5"/>
        <v>2E-3</v>
      </c>
      <c r="M11" s="3776">
        <f t="shared" si="5"/>
        <v>1.1000000000000001E-3</v>
      </c>
      <c r="N11" s="3776">
        <f t="shared" si="5"/>
        <v>6.8999999999999999E-3</v>
      </c>
      <c r="O11" s="3776">
        <f t="shared" si="5"/>
        <v>5.3E-3</v>
      </c>
      <c r="P11" s="3776">
        <f t="shared" si="8"/>
        <v>1.1000000000000001E-3</v>
      </c>
      <c r="Q11" s="3782"/>
      <c r="R11" s="3784">
        <f>ROUND(IF([2]项目基本情况!$B$8="出让",SUMPRODUCT(PRODUCT(1+K11:$K$18)),SUMPRODUCT(PRODUCT(1+K11:$K$17))),4)</f>
        <v>1.0565</v>
      </c>
      <c r="S11" s="3784">
        <f>ROUND(IF([2]项目基本情况!$B$8="出让",SUMPRODUCT(PRODUCT(1+L11:$L$18)),SUMPRODUCT(PRODUCT(1+L11:$L$17))),4)</f>
        <v>1.0250999999999999</v>
      </c>
      <c r="T11" s="3784">
        <f>ROUND(IF([2]项目基本情况!$B$8="出让",SUMPRODUCT(PRODUCT(1+M11:$M$18)),SUMPRODUCT(PRODUCT(1+M11:$M$17))),4)</f>
        <v>1.0145</v>
      </c>
      <c r="U11" s="3784">
        <f>ROUND(IF([2]项目基本情况!$B$8="出让",SUMPRODUCT(PRODUCT(1+N11:$N$18)),SUMPRODUCT(PRODUCT(1+N11:$N$17))),4)</f>
        <v>1.0618000000000001</v>
      </c>
      <c r="V11" s="3784">
        <f>ROUND(IF([2]项目基本情况!$B$8="出让",SUMPRODUCT(PRODUCT(1+O11:$O$18)),SUMPRODUCT(PRODUCT(1+O11:$O$17))),4)</f>
        <v>1.0502</v>
      </c>
      <c r="W11" s="3784">
        <f t="shared" si="9"/>
        <v>1.0145</v>
      </c>
      <c r="X11" s="3782"/>
      <c r="Y11" s="3785">
        <f>IF(D11=0,0,ROUND(AVERAGE(D11:D19)/100,4))</f>
        <v>8.0999999999999996E-3</v>
      </c>
      <c r="Z11" s="3785">
        <f t="shared" ref="Z11:AC11" si="10">IF(E11=0,0,ROUND(AVERAGE(E11:E18)/100,4))</f>
        <v>3.3E-3</v>
      </c>
      <c r="AA11" s="3785">
        <f t="shared" si="10"/>
        <v>1.5E-3</v>
      </c>
      <c r="AB11" s="3785">
        <f t="shared" si="10"/>
        <v>8.8999999999999999E-3</v>
      </c>
      <c r="AC11" s="3785">
        <f t="shared" si="10"/>
        <v>6.6E-3</v>
      </c>
      <c r="AD11" s="3785">
        <f t="shared" si="7"/>
        <v>1.5E-3</v>
      </c>
    </row>
    <row r="12" spans="1:30" s="3786" customFormat="1" ht="12.75">
      <c r="A12" s="3793" t="s">
        <v>3328</v>
      </c>
      <c r="B12" s="3781">
        <v>2022</v>
      </c>
      <c r="C12" s="3136">
        <v>3</v>
      </c>
      <c r="D12" s="3136">
        <v>0.66</v>
      </c>
      <c r="E12" s="3136">
        <v>0.32</v>
      </c>
      <c r="F12" s="3136">
        <v>0.23</v>
      </c>
      <c r="G12" s="3136">
        <v>0.72</v>
      </c>
      <c r="H12" s="3141">
        <v>0.63</v>
      </c>
      <c r="I12" s="3137">
        <f t="shared" si="4"/>
        <v>0.23</v>
      </c>
      <c r="J12" s="3782"/>
      <c r="K12" s="3783">
        <f t="shared" si="5"/>
        <v>6.6E-3</v>
      </c>
      <c r="L12" s="3776">
        <f t="shared" si="5"/>
        <v>3.2000000000000002E-3</v>
      </c>
      <c r="M12" s="3776">
        <f t="shared" si="5"/>
        <v>2.3E-3</v>
      </c>
      <c r="N12" s="3776">
        <f t="shared" si="5"/>
        <v>7.1999999999999998E-3</v>
      </c>
      <c r="O12" s="3776">
        <f t="shared" si="5"/>
        <v>6.3E-3</v>
      </c>
      <c r="P12" s="3776">
        <f t="shared" si="8"/>
        <v>2.3E-3</v>
      </c>
      <c r="Q12" s="3782"/>
      <c r="R12" s="3784">
        <f>ROUND(IF([2]项目基本情况!$B$8="出让",SUMPRODUCT(PRODUCT(1+K12:$K$18)),SUMPRODUCT(PRODUCT(1+K12:$K$17))),4)</f>
        <v>1.05</v>
      </c>
      <c r="S12" s="3784">
        <f>ROUND(IF([2]项目基本情况!$B$8="出让",SUMPRODUCT(PRODUCT(1+L12:$L$18)),SUMPRODUCT(PRODUCT(1+L12:$L$17))),4)</f>
        <v>1.0229999999999999</v>
      </c>
      <c r="T12" s="3784">
        <f>ROUND(IF([2]项目基本情况!$B$8="出让",SUMPRODUCT(PRODUCT(1+M12:$M$18)),SUMPRODUCT(PRODUCT(1+M12:$M$17))),4)</f>
        <v>1.0134000000000001</v>
      </c>
      <c r="U12" s="3784">
        <f>ROUND(IF([2]项目基本情况!$B$8="出让",SUMPRODUCT(PRODUCT(1+N12:$N$18)),SUMPRODUCT(PRODUCT(1+N12:$N$17))),4)</f>
        <v>1.0545</v>
      </c>
      <c r="V12" s="3784">
        <f>ROUND(IF([2]项目基本情况!$B$8="出让",SUMPRODUCT(PRODUCT(1+O12:$O$18)),SUMPRODUCT(PRODUCT(1+O12:$O$17))),4)</f>
        <v>1.0447</v>
      </c>
      <c r="W12" s="3784">
        <f t="shared" si="9"/>
        <v>1.0134000000000001</v>
      </c>
      <c r="X12" s="3782"/>
      <c r="Y12" s="3785">
        <f>IF(D12=0,0,ROUND(AVERAGE(D12:D18)/100,4))</f>
        <v>8.3999999999999995E-3</v>
      </c>
      <c r="Z12" s="3785">
        <f t="shared" ref="Z12:AC12" si="11">IF(E12=0,0,ROUND(AVERAGE(E12:E18)/100,4))</f>
        <v>3.5000000000000001E-3</v>
      </c>
      <c r="AA12" s="3785">
        <f t="shared" si="11"/>
        <v>1.5E-3</v>
      </c>
      <c r="AB12" s="3785">
        <f t="shared" si="11"/>
        <v>9.1999999999999998E-3</v>
      </c>
      <c r="AC12" s="3785">
        <f t="shared" si="11"/>
        <v>6.7999999999999996E-3</v>
      </c>
      <c r="AD12" s="3785">
        <f t="shared" si="7"/>
        <v>1.5E-3</v>
      </c>
    </row>
    <row r="13" spans="1:30" s="3786" customFormat="1" ht="12.75">
      <c r="A13" s="3793" t="s">
        <v>3320</v>
      </c>
      <c r="B13" s="3781">
        <v>2022</v>
      </c>
      <c r="C13" s="3136">
        <v>2</v>
      </c>
      <c r="D13" s="3136">
        <v>0.93</v>
      </c>
      <c r="E13" s="3136">
        <v>0.15</v>
      </c>
      <c r="F13" s="3136">
        <v>0.01</v>
      </c>
      <c r="G13" s="3136">
        <v>1.05</v>
      </c>
      <c r="H13" s="3141">
        <v>1.08</v>
      </c>
      <c r="I13" s="3137">
        <f t="shared" si="4"/>
        <v>0.01</v>
      </c>
      <c r="J13" s="3782"/>
      <c r="K13" s="3783">
        <f t="shared" si="5"/>
        <v>9.300000000000001E-3</v>
      </c>
      <c r="L13" s="3776">
        <f t="shared" si="5"/>
        <v>1.5E-3</v>
      </c>
      <c r="M13" s="3776">
        <f t="shared" si="5"/>
        <v>1E-4</v>
      </c>
      <c r="N13" s="3776">
        <f t="shared" si="5"/>
        <v>1.0500000000000001E-2</v>
      </c>
      <c r="O13" s="3776">
        <f t="shared" si="5"/>
        <v>1.0800000000000001E-2</v>
      </c>
      <c r="P13" s="3776">
        <f t="shared" si="8"/>
        <v>1E-4</v>
      </c>
      <c r="Q13" s="3782"/>
      <c r="R13" s="3784">
        <f>ROUND(IF([2]项目基本情况!$B$8="出让",SUMPRODUCT(PRODUCT(1+K13:$K$18)),SUMPRODUCT(PRODUCT(1+K13:$K$17))),4)</f>
        <v>1.0430999999999999</v>
      </c>
      <c r="S13" s="3784">
        <f>ROUND(IF([2]项目基本情况!$B$8="出让",SUMPRODUCT(PRODUCT(1+L13:$L$18)),SUMPRODUCT(PRODUCT(1+L13:$L$17))),4)</f>
        <v>1.0197000000000001</v>
      </c>
      <c r="T13" s="3784">
        <f>ROUND(IF([2]项目基本情况!$B$8="出让",SUMPRODUCT(PRODUCT(1+M13:$M$18)),SUMPRODUCT(PRODUCT(1+M13:$M$17))),4)</f>
        <v>1.0109999999999999</v>
      </c>
      <c r="U13" s="3784">
        <f>ROUND(IF([2]项目基本情况!$B$8="出让",SUMPRODUCT(PRODUCT(1+N13:$N$18)),SUMPRODUCT(PRODUCT(1+N13:$N$17))),4)</f>
        <v>1.0468999999999999</v>
      </c>
      <c r="V13" s="3784">
        <f>ROUND(IF([2]项目基本情况!$B$8="出让",SUMPRODUCT(PRODUCT(1+O13:$O$18)),SUMPRODUCT(PRODUCT(1+O13:$O$17))),4)</f>
        <v>1.0382</v>
      </c>
      <c r="W13" s="3784">
        <f t="shared" si="9"/>
        <v>1.0109999999999999</v>
      </c>
      <c r="X13" s="3782"/>
      <c r="Y13" s="3785">
        <f>IF(D13=0,0,ROUND(AVERAGE(D13:D18)/100,4))</f>
        <v>8.6999999999999994E-3</v>
      </c>
      <c r="Z13" s="3785">
        <f t="shared" ref="Z13:AC13" si="12">IF(E13=0,0,ROUND(AVERAGE(E13:E18)/100,4))</f>
        <v>3.5000000000000001E-3</v>
      </c>
      <c r="AA13" s="3785">
        <f t="shared" si="12"/>
        <v>1.4E-3</v>
      </c>
      <c r="AB13" s="3785">
        <f t="shared" si="12"/>
        <v>9.4999999999999998E-3</v>
      </c>
      <c r="AC13" s="3785">
        <f t="shared" si="12"/>
        <v>6.8999999999999999E-3</v>
      </c>
      <c r="AD13" s="3785">
        <f t="shared" si="7"/>
        <v>1.4E-3</v>
      </c>
    </row>
    <row r="14" spans="1:30" s="3786" customFormat="1" ht="12.75">
      <c r="A14" s="3793" t="s">
        <v>2801</v>
      </c>
      <c r="B14" s="3781">
        <v>2022</v>
      </c>
      <c r="C14" s="3136">
        <v>1</v>
      </c>
      <c r="D14" s="3136">
        <v>0.89</v>
      </c>
      <c r="E14" s="3136">
        <v>0.44</v>
      </c>
      <c r="F14" s="3136">
        <v>0.37</v>
      </c>
      <c r="G14" s="3136">
        <v>0.96</v>
      </c>
      <c r="H14" s="3141">
        <v>0.64</v>
      </c>
      <c r="I14" s="3137">
        <f t="shared" si="4"/>
        <v>0.37</v>
      </c>
      <c r="J14" s="3782"/>
      <c r="K14" s="3783">
        <f t="shared" si="5"/>
        <v>8.8999999999999999E-3</v>
      </c>
      <c r="L14" s="3776">
        <f t="shared" si="5"/>
        <v>4.4000000000000003E-3</v>
      </c>
      <c r="M14" s="3776">
        <f t="shared" si="5"/>
        <v>3.7000000000000002E-3</v>
      </c>
      <c r="N14" s="3776">
        <f t="shared" si="5"/>
        <v>9.5999999999999992E-3</v>
      </c>
      <c r="O14" s="3776">
        <f t="shared" si="5"/>
        <v>6.4000000000000003E-3</v>
      </c>
      <c r="P14" s="3776">
        <f t="shared" si="8"/>
        <v>3.7000000000000002E-3</v>
      </c>
      <c r="Q14" s="3782"/>
      <c r="R14" s="3784">
        <f>ROUND(IF([2]项目基本情况!$B$8="出让",SUMPRODUCT(PRODUCT(1+K14:$K$18)),SUMPRODUCT(PRODUCT(1+K14:$K$17))),4)</f>
        <v>1.0335000000000001</v>
      </c>
      <c r="S14" s="3784">
        <f>ROUND(IF([2]项目基本情况!$B$8="出让",SUMPRODUCT(PRODUCT(1+L14:$L$18)),SUMPRODUCT(PRODUCT(1+L14:$L$17))),4)</f>
        <v>1.0182</v>
      </c>
      <c r="T14" s="3784">
        <f>ROUND(IF([2]项目基本情况!$B$8="出让",SUMPRODUCT(PRODUCT(1+M14:$M$18)),SUMPRODUCT(PRODUCT(1+M14:$M$17))),4)</f>
        <v>1.0108999999999999</v>
      </c>
      <c r="U14" s="3784">
        <f>ROUND(IF([2]项目基本情况!$B$8="出让",SUMPRODUCT(PRODUCT(1+N14:$N$18)),SUMPRODUCT(PRODUCT(1+N14:$N$17))),4)</f>
        <v>1.0361</v>
      </c>
      <c r="V14" s="3784">
        <f>ROUND(IF([2]项目基本情况!$B$8="出让",SUMPRODUCT(PRODUCT(1+O14:$O$18)),SUMPRODUCT(PRODUCT(1+O14:$O$17))),4)</f>
        <v>1.0270999999999999</v>
      </c>
      <c r="W14" s="3784">
        <f t="shared" si="9"/>
        <v>1.0108999999999999</v>
      </c>
      <c r="X14" s="3782"/>
      <c r="Y14" s="3785">
        <f>IF(D14=0,0,ROUND(AVERAGE(D14:D18)/100,4))</f>
        <v>8.6E-3</v>
      </c>
      <c r="Z14" s="3785">
        <f t="shared" ref="Z14:AC14" si="13">IF(E14=0,0,ROUND(AVERAGE(E14:E18)/100,4))</f>
        <v>3.8999999999999998E-3</v>
      </c>
      <c r="AA14" s="3785">
        <f t="shared" si="13"/>
        <v>1.6999999999999999E-3</v>
      </c>
      <c r="AB14" s="3785">
        <f t="shared" si="13"/>
        <v>9.2999999999999992E-3</v>
      </c>
      <c r="AC14" s="3785">
        <f t="shared" si="13"/>
        <v>6.1000000000000004E-3</v>
      </c>
      <c r="AD14" s="3785">
        <f t="shared" si="7"/>
        <v>1.6999999999999999E-3</v>
      </c>
    </row>
    <row r="15" spans="1:30" s="3786" customFormat="1" ht="12.75">
      <c r="A15" s="3793" t="s">
        <v>2423</v>
      </c>
      <c r="B15" s="3781">
        <v>2021</v>
      </c>
      <c r="C15" s="3136">
        <v>4</v>
      </c>
      <c r="D15" s="3136">
        <v>1.03</v>
      </c>
      <c r="E15" s="3136">
        <v>0.24</v>
      </c>
      <c r="F15" s="3136">
        <v>7.0000000000000007E-2</v>
      </c>
      <c r="G15" s="3136">
        <v>1.17</v>
      </c>
      <c r="H15" s="3141">
        <v>0.55000000000000004</v>
      </c>
      <c r="I15" s="3137">
        <f t="shared" si="4"/>
        <v>7.0000000000000007E-2</v>
      </c>
      <c r="J15" s="3782"/>
      <c r="K15" s="3783">
        <f t="shared" si="5"/>
        <v>1.03E-2</v>
      </c>
      <c r="L15" s="3776">
        <f t="shared" si="5"/>
        <v>2.3999999999999998E-3</v>
      </c>
      <c r="M15" s="3776">
        <f t="shared" si="5"/>
        <v>7.000000000000001E-4</v>
      </c>
      <c r="N15" s="3776">
        <f t="shared" si="5"/>
        <v>1.1699999999999999E-2</v>
      </c>
      <c r="O15" s="3776">
        <f t="shared" si="5"/>
        <v>5.5000000000000005E-3</v>
      </c>
      <c r="P15" s="3776">
        <f t="shared" si="8"/>
        <v>7.000000000000001E-4</v>
      </c>
      <c r="Q15" s="3782"/>
      <c r="R15" s="3784">
        <f>ROUND(IF([2]项目基本情况!$B$8="出让",SUMPRODUCT(PRODUCT(1+K15:$K$18)),SUMPRODUCT(PRODUCT(1+K15:$K$17))),4)</f>
        <v>1.0244</v>
      </c>
      <c r="S15" s="3784">
        <f>ROUND(IF([2]项目基本情况!$B$8="出让",SUMPRODUCT(PRODUCT(1+L15:$L$18)),SUMPRODUCT(PRODUCT(1+L15:$L$17))),4)</f>
        <v>1.0138</v>
      </c>
      <c r="T15" s="3784">
        <f>ROUND(IF([2]项目基本情况!$B$8="出让",SUMPRODUCT(PRODUCT(1+M15:$M$18)),SUMPRODUCT(PRODUCT(1+M15:$M$17))),4)</f>
        <v>1.0072000000000001</v>
      </c>
      <c r="U15" s="3784">
        <f>ROUND(IF([2]项目基本情况!$B$8="出让",SUMPRODUCT(PRODUCT(1+N15:$N$18)),SUMPRODUCT(PRODUCT(1+N15:$N$17))),4)</f>
        <v>1.0262</v>
      </c>
      <c r="V15" s="3784">
        <f>ROUND(IF([2]项目基本情况!$B$8="出让",SUMPRODUCT(PRODUCT(1+O15:$O$18)),SUMPRODUCT(PRODUCT(1+O15:$O$17))),4)</f>
        <v>1.0205</v>
      </c>
      <c r="W15" s="3784">
        <f t="shared" si="9"/>
        <v>1.0072000000000001</v>
      </c>
      <c r="X15" s="3782"/>
      <c r="Y15" s="3785">
        <f>IF(D15=0,0,ROUND(AVERAGE(D15:D18)/100,4))</f>
        <v>8.5000000000000006E-3</v>
      </c>
      <c r="Z15" s="3785">
        <f t="shared" ref="Z15:AC15" si="14">IF(E15=0,0,ROUND(AVERAGE(E15:E18)/100,4))</f>
        <v>3.8E-3</v>
      </c>
      <c r="AA15" s="3785">
        <f t="shared" si="14"/>
        <v>1.1999999999999999E-3</v>
      </c>
      <c r="AB15" s="3785">
        <f t="shared" si="14"/>
        <v>9.2999999999999992E-3</v>
      </c>
      <c r="AC15" s="3785">
        <f t="shared" si="14"/>
        <v>6.0000000000000001E-3</v>
      </c>
      <c r="AD15" s="3785">
        <f t="shared" si="7"/>
        <v>1.1999999999999999E-3</v>
      </c>
    </row>
    <row r="16" spans="1:30" s="3786" customFormat="1" ht="12.75">
      <c r="A16" s="3793" t="s">
        <v>2308</v>
      </c>
      <c r="B16" s="3781">
        <v>2021</v>
      </c>
      <c r="C16" s="3136">
        <v>3</v>
      </c>
      <c r="D16" s="3136">
        <v>0.47</v>
      </c>
      <c r="E16" s="3136">
        <v>0.41</v>
      </c>
      <c r="F16" s="3136">
        <v>0.24</v>
      </c>
      <c r="G16" s="3136">
        <v>0.48</v>
      </c>
      <c r="H16" s="3141">
        <v>0.48</v>
      </c>
      <c r="I16" s="3137">
        <f t="shared" si="4"/>
        <v>0.24</v>
      </c>
      <c r="J16" s="3782"/>
      <c r="K16" s="3783">
        <f t="shared" si="5"/>
        <v>4.6999999999999993E-3</v>
      </c>
      <c r="L16" s="3776">
        <f t="shared" si="5"/>
        <v>4.0999999999999995E-3</v>
      </c>
      <c r="M16" s="3776">
        <f t="shared" si="5"/>
        <v>2.3999999999999998E-3</v>
      </c>
      <c r="N16" s="3776">
        <f t="shared" si="5"/>
        <v>4.7999999999999996E-3</v>
      </c>
      <c r="O16" s="3776">
        <f t="shared" si="5"/>
        <v>4.7999999999999996E-3</v>
      </c>
      <c r="P16" s="3776">
        <f t="shared" si="8"/>
        <v>2.3999999999999998E-3</v>
      </c>
      <c r="Q16" s="3782"/>
      <c r="R16" s="3784">
        <f>ROUND(IF([2]项目基本情况!$B$8="出让",SUMPRODUCT(PRODUCT(1+K16:$K$18)),SUMPRODUCT(PRODUCT(1+K16:$K$17))),4)</f>
        <v>1.0139</v>
      </c>
      <c r="S16" s="3784">
        <f>ROUND(IF([2]项目基本情况!$B$8="出让",SUMPRODUCT(PRODUCT(1+L16:$L$18)),SUMPRODUCT(PRODUCT(1+L16:$L$17))),4)</f>
        <v>1.0113000000000001</v>
      </c>
      <c r="T16" s="3784">
        <f>ROUND(IF([2]项目基本情况!$B$8="出让",SUMPRODUCT(PRODUCT(1+M16:$M$18)),SUMPRODUCT(PRODUCT(1+M16:$M$17))),4)</f>
        <v>1.0065</v>
      </c>
      <c r="U16" s="3784">
        <f>ROUND(IF([2]项目基本情况!$B$8="出让",SUMPRODUCT(PRODUCT(1+N16:$N$18)),SUMPRODUCT(PRODUCT(1+N16:$N$17))),4)</f>
        <v>1.0143</v>
      </c>
      <c r="V16" s="3784">
        <f>ROUND(IF([2]项目基本情况!$B$8="出让",SUMPRODUCT(PRODUCT(1+O16:$O$18)),SUMPRODUCT(PRODUCT(1+O16:$O$17))),4)</f>
        <v>1.0148999999999999</v>
      </c>
      <c r="W16" s="3784">
        <f t="shared" si="9"/>
        <v>1.0065</v>
      </c>
      <c r="X16" s="3782"/>
      <c r="Y16" s="3785">
        <f>IF(D16=0,0,ROUND(AVERAGE(D16:D18)/100,4))</f>
        <v>7.9000000000000008E-3</v>
      </c>
      <c r="Z16" s="3785">
        <f>IF(E16=0,0,ROUND(AVERAGE(E16:E18)/100,4))</f>
        <v>4.3E-3</v>
      </c>
      <c r="AA16" s="3785">
        <f>IF(F16=0,0,ROUND(AVERAGE(F16:F18)/100,4))</f>
        <v>1.2999999999999999E-3</v>
      </c>
      <c r="AB16" s="3785">
        <f>IF(G16=0,0,ROUND(AVERAGE(G16:G18)/100,4))</f>
        <v>8.5000000000000006E-3</v>
      </c>
      <c r="AC16" s="3785">
        <f>IF(H16=0,0,ROUND(AVERAGE(H16:H18)/100,4))</f>
        <v>6.1999999999999998E-3</v>
      </c>
      <c r="AD16" s="3785">
        <f t="shared" si="7"/>
        <v>1.2999999999999999E-3</v>
      </c>
    </row>
    <row r="17" spans="1:30" s="3786" customFormat="1" ht="12.75">
      <c r="A17" s="3793" t="s">
        <v>2307</v>
      </c>
      <c r="B17" s="3781">
        <v>2021</v>
      </c>
      <c r="C17" s="3136">
        <v>2</v>
      </c>
      <c r="D17" s="3136">
        <v>0.92</v>
      </c>
      <c r="E17" s="3136">
        <v>0.72</v>
      </c>
      <c r="F17" s="3136">
        <v>0.41</v>
      </c>
      <c r="G17" s="3136">
        <v>0.95</v>
      </c>
      <c r="H17" s="3141">
        <v>1.01</v>
      </c>
      <c r="I17" s="3137">
        <f t="shared" si="4"/>
        <v>0.41</v>
      </c>
      <c r="J17" s="3782"/>
      <c r="K17" s="3783">
        <f t="shared" si="5"/>
        <v>9.1999999999999998E-3</v>
      </c>
      <c r="L17" s="3776">
        <f t="shared" si="5"/>
        <v>7.1999999999999998E-3</v>
      </c>
      <c r="M17" s="3776">
        <f t="shared" si="5"/>
        <v>4.0999999999999995E-3</v>
      </c>
      <c r="N17" s="3776">
        <f t="shared" si="5"/>
        <v>9.4999999999999998E-3</v>
      </c>
      <c r="O17" s="3776">
        <f t="shared" si="5"/>
        <v>1.01E-2</v>
      </c>
      <c r="P17" s="3776">
        <f t="shared" si="8"/>
        <v>4.0999999999999995E-3</v>
      </c>
      <c r="Q17" s="3782"/>
      <c r="R17" s="3784">
        <f>ROUND(IF([2]项目基本情况!$B$8="出让",SUMPRODUCT(PRODUCT(1+K17:$K$18)),SUMPRODUCT(PRODUCT(1+K17:$K$17))),4)</f>
        <v>1.0092000000000001</v>
      </c>
      <c r="S17" s="3784">
        <f>ROUND(IF([2]项目基本情况!$B$8="出让",SUMPRODUCT(PRODUCT(1+L17:$L$18)),SUMPRODUCT(PRODUCT(1+L17:$L$17))),4)</f>
        <v>1.0072000000000001</v>
      </c>
      <c r="T17" s="3784">
        <f>ROUND(IF([2]项目基本情况!$B$8="出让",SUMPRODUCT(PRODUCT(1+M17:$M$18)),SUMPRODUCT(PRODUCT(1+M17:$M$17))),4)</f>
        <v>1.0041</v>
      </c>
      <c r="U17" s="3784">
        <f>ROUND(IF([2]项目基本情况!$B$8="出让",SUMPRODUCT(PRODUCT(1+N17:$N$18)),SUMPRODUCT(PRODUCT(1+N17:$N$17))),4)</f>
        <v>1.0095000000000001</v>
      </c>
      <c r="V17" s="3784">
        <f>ROUND(IF([2]项目基本情况!$B$8="出让",SUMPRODUCT(PRODUCT(1+O17:$O$18)),SUMPRODUCT(PRODUCT(1+O17:$O$17))),4)</f>
        <v>1.0101</v>
      </c>
      <c r="W17" s="3784">
        <f t="shared" si="9"/>
        <v>1.0041</v>
      </c>
      <c r="X17" s="3782"/>
      <c r="Y17" s="3785">
        <f>IF(D17=0,0,ROUND(AVERAGE(D17:D18)/100,4))</f>
        <v>9.4999999999999998E-3</v>
      </c>
      <c r="Z17" s="3785">
        <f>IF(E17=0,0,ROUND(AVERAGE(E17:E18)/100,4))</f>
        <v>4.4000000000000003E-3</v>
      </c>
      <c r="AA17" s="3785">
        <f>IF(F17=0,0,ROUND(AVERAGE(F17:F18)/100,4))</f>
        <v>8.0000000000000004E-4</v>
      </c>
      <c r="AB17" s="3785">
        <f>IF(G17=0,0,ROUND(AVERAGE(G17:G18)/100,4))</f>
        <v>1.03E-2</v>
      </c>
      <c r="AC17" s="3785">
        <f>IF(H17=0,0,ROUND(AVERAGE(H17:H18)/100,4))</f>
        <v>6.8999999999999999E-3</v>
      </c>
      <c r="AD17" s="3785">
        <f t="shared" si="7"/>
        <v>8.0000000000000004E-4</v>
      </c>
    </row>
    <row r="18" spans="1:30" s="3800" customFormat="1" thickBot="1">
      <c r="A18" s="3794" t="s">
        <v>2306</v>
      </c>
      <c r="B18" s="3795">
        <v>2021</v>
      </c>
      <c r="C18" s="3142">
        <v>1</v>
      </c>
      <c r="D18" s="3142">
        <v>0.97</v>
      </c>
      <c r="E18" s="3142">
        <v>0.16</v>
      </c>
      <c r="F18" s="3142">
        <v>-0.25</v>
      </c>
      <c r="G18" s="3142">
        <v>1.1100000000000001</v>
      </c>
      <c r="H18" s="3143">
        <v>0.36</v>
      </c>
      <c r="I18" s="3144">
        <f t="shared" si="4"/>
        <v>-0.25</v>
      </c>
      <c r="J18" s="3796"/>
      <c r="K18" s="3797">
        <f t="shared" si="5"/>
        <v>9.7000000000000003E-3</v>
      </c>
      <c r="L18" s="3798">
        <f t="shared" si="5"/>
        <v>1.6000000000000001E-3</v>
      </c>
      <c r="M18" s="3798">
        <f>F18/100</f>
        <v>-2.5000000000000001E-3</v>
      </c>
      <c r="N18" s="3798">
        <f t="shared" si="5"/>
        <v>1.11E-2</v>
      </c>
      <c r="O18" s="3798">
        <f t="shared" si="5"/>
        <v>3.5999999999999999E-3</v>
      </c>
      <c r="P18" s="3798">
        <f t="shared" si="8"/>
        <v>-2.5000000000000001E-3</v>
      </c>
      <c r="Q18" s="3796"/>
      <c r="R18" s="3799">
        <v>1</v>
      </c>
      <c r="S18" s="3799">
        <v>1</v>
      </c>
      <c r="T18" s="3799">
        <v>1</v>
      </c>
      <c r="U18" s="3799">
        <v>1</v>
      </c>
      <c r="V18" s="3799">
        <v>1</v>
      </c>
      <c r="W18" s="3799">
        <f t="shared" si="9"/>
        <v>1</v>
      </c>
      <c r="X18" s="3796"/>
      <c r="Y18" s="3798">
        <f>IF(D18=0,0,ROUND(AVERAGE(D18:D18)/100,4))</f>
        <v>9.7000000000000003E-3</v>
      </c>
      <c r="Z18" s="3798">
        <f>IF(E18=0,0,ROUND(AVERAGE(E18:E18)/100,4))</f>
        <v>1.6000000000000001E-3</v>
      </c>
      <c r="AA18" s="3798">
        <f>IF(F18=0,0,ROUND(AVERAGE(F18:F18)/100,4))</f>
        <v>-2.5000000000000001E-3</v>
      </c>
      <c r="AB18" s="3798">
        <f>IF(G18=0,0,ROUND(AVERAGE(G18:G18)/100,4))</f>
        <v>1.11E-2</v>
      </c>
      <c r="AC18" s="3798">
        <f>IF(H18=0,0,ROUND(AVERAGE(H18:H18)/100,4))</f>
        <v>3.5999999999999999E-3</v>
      </c>
      <c r="AD18" s="3798">
        <f>AA18</f>
        <v>-2.5000000000000001E-3</v>
      </c>
    </row>
    <row r="19" spans="1:30" s="3000" customFormat="1" ht="14.25" thickTop="1"/>
    <row r="20" spans="1:30" s="3000" customFormat="1">
      <c r="A20" s="3801" t="s">
        <v>3329</v>
      </c>
    </row>
    <row r="21" spans="1:30" s="3000" customFormat="1">
      <c r="I21" s="3145" t="s">
        <v>2802</v>
      </c>
    </row>
    <row r="22" spans="1:30" s="3000" customFormat="1"/>
    <row r="23" spans="1:30" s="3802" customFormat="1" ht="12.75">
      <c r="B23" s="3747" t="s">
        <v>4130</v>
      </c>
      <c r="C23" s="3748"/>
      <c r="D23" s="3748"/>
      <c r="E23" s="3748"/>
      <c r="F23" s="3748"/>
      <c r="G23" s="3748"/>
      <c r="H23" s="3748"/>
      <c r="I23" s="3748"/>
      <c r="J23" s="3749"/>
      <c r="K23" s="3748" t="s">
        <v>454</v>
      </c>
      <c r="L23" s="3748"/>
      <c r="M23" s="3748"/>
      <c r="N23" s="3748"/>
      <c r="O23" s="3748"/>
      <c r="P23" s="3748"/>
      <c r="Q23" s="3749"/>
      <c r="R23" s="4179" t="s">
        <v>456</v>
      </c>
      <c r="S23" s="4180"/>
      <c r="T23" s="4180"/>
      <c r="U23" s="4180"/>
      <c r="V23" s="4180"/>
      <c r="W23" s="4180"/>
      <c r="X23" s="3749"/>
      <c r="Y23" s="4179" t="s">
        <v>2803</v>
      </c>
      <c r="Z23" s="4180"/>
      <c r="AA23" s="4180"/>
      <c r="AB23" s="4180"/>
      <c r="AC23" s="4180"/>
      <c r="AD23" s="4180"/>
    </row>
    <row r="24" spans="1:30" s="3750" customFormat="1" ht="14.25" thickBot="1">
      <c r="B24" s="3751"/>
      <c r="C24" s="3752"/>
      <c r="D24" s="3134" t="s">
        <v>2797</v>
      </c>
      <c r="E24" s="3135" t="s">
        <v>2594</v>
      </c>
      <c r="F24" s="3135" t="s">
        <v>2799</v>
      </c>
      <c r="G24" s="3135" t="s">
        <v>308</v>
      </c>
      <c r="H24" s="3135"/>
      <c r="I24" s="3135" t="s">
        <v>2599</v>
      </c>
      <c r="J24" s="3753"/>
      <c r="K24" s="3134" t="s">
        <v>2797</v>
      </c>
      <c r="L24" s="3135" t="s">
        <v>2594</v>
      </c>
      <c r="M24" s="3135" t="s">
        <v>2799</v>
      </c>
      <c r="N24" s="3135" t="s">
        <v>308</v>
      </c>
      <c r="O24" s="3135"/>
      <c r="P24" s="3135" t="s">
        <v>2599</v>
      </c>
      <c r="Q24" s="3753"/>
      <c r="R24" s="3134" t="s">
        <v>2797</v>
      </c>
      <c r="S24" s="3135" t="s">
        <v>2594</v>
      </c>
      <c r="T24" s="3135" t="s">
        <v>2799</v>
      </c>
      <c r="U24" s="3135" t="s">
        <v>308</v>
      </c>
      <c r="V24" s="3135"/>
      <c r="W24" s="3135" t="s">
        <v>2599</v>
      </c>
      <c r="X24" s="3753"/>
      <c r="Y24" s="3134" t="s">
        <v>2797</v>
      </c>
      <c r="Z24" s="3135" t="s">
        <v>2594</v>
      </c>
      <c r="AA24" s="3135" t="s">
        <v>2799</v>
      </c>
      <c r="AB24" s="3135" t="s">
        <v>308</v>
      </c>
      <c r="AC24" s="3135"/>
      <c r="AD24" s="3135" t="s">
        <v>2599</v>
      </c>
    </row>
    <row r="25" spans="1:30" s="3766" customFormat="1" ht="12.75">
      <c r="A25" s="3754" t="s">
        <v>2114</v>
      </c>
      <c r="B25" s="3755"/>
      <c r="C25" s="3756"/>
      <c r="D25" s="3756"/>
      <c r="E25" s="3756">
        <f t="shared" ref="E25:G25" si="15">ROUND(AVERAGEIF(E26:E40,"&lt;&gt;0"),2)</f>
        <v>0.39</v>
      </c>
      <c r="F25" s="3756">
        <f t="shared" si="15"/>
        <v>0.28000000000000003</v>
      </c>
      <c r="G25" s="3756">
        <f t="shared" si="15"/>
        <v>0.67</v>
      </c>
      <c r="H25" s="3756"/>
      <c r="I25" s="3756">
        <f>F25</f>
        <v>0.28000000000000003</v>
      </c>
      <c r="J25" s="3757"/>
      <c r="K25" s="3758"/>
      <c r="L25" s="3759">
        <f t="shared" ref="L25:N25" si="16">ROUND(AVERAGEIF(L26:L40,"&lt;&gt;0"),4)</f>
        <v>3.8999999999999998E-3</v>
      </c>
      <c r="M25" s="3759">
        <f t="shared" si="16"/>
        <v>2.8E-3</v>
      </c>
      <c r="N25" s="3759">
        <f t="shared" si="16"/>
        <v>6.7000000000000002E-3</v>
      </c>
      <c r="O25" s="3759"/>
      <c r="P25" s="3759">
        <f>M25</f>
        <v>2.8E-3</v>
      </c>
      <c r="Q25" s="3757"/>
      <c r="R25" s="3760"/>
      <c r="S25" s="3761">
        <f>ROUND(SUMPRODUCT(PRODUCT(1+L26:L40)),4)</f>
        <v>1.0476000000000001</v>
      </c>
      <c r="T25" s="3761">
        <f t="shared" ref="T25:U25" si="17">ROUND(SUMPRODUCT(PRODUCT(1+M26:M40)),4)</f>
        <v>1.0346</v>
      </c>
      <c r="U25" s="3761">
        <f t="shared" si="17"/>
        <v>1.0831999999999999</v>
      </c>
      <c r="V25" s="3761"/>
      <c r="W25" s="3760">
        <f>T25</f>
        <v>1.0346</v>
      </c>
      <c r="X25" s="3757"/>
      <c r="Y25" s="3762"/>
      <c r="Z25" s="3763">
        <f t="shared" ref="Z25:AB25" si="18">ROUND(AVERAGEIF(Z26:Z40,"&lt;&gt;0"),4)</f>
        <v>4.3E-3</v>
      </c>
      <c r="AA25" s="3764">
        <f t="shared" si="18"/>
        <v>3.5999999999999999E-3</v>
      </c>
      <c r="AB25" s="3762">
        <f t="shared" si="18"/>
        <v>8.8999999999999999E-3</v>
      </c>
      <c r="AC25" s="3765"/>
      <c r="AD25" s="3762">
        <f>AA25</f>
        <v>3.5999999999999999E-3</v>
      </c>
    </row>
    <row r="26" spans="1:30" s="3767" customFormat="1" ht="12.75">
      <c r="B26" s="3768"/>
      <c r="C26" s="3769"/>
      <c r="D26" s="3769"/>
      <c r="E26" s="3769"/>
      <c r="F26" s="3769"/>
      <c r="G26" s="3769"/>
      <c r="H26" s="3769"/>
      <c r="I26" s="3769"/>
      <c r="J26" s="3749"/>
      <c r="K26" s="3770"/>
      <c r="L26" s="3771"/>
      <c r="M26" s="3771"/>
      <c r="N26" s="3771"/>
      <c r="O26" s="3771"/>
      <c r="P26" s="3771"/>
      <c r="Q26" s="3749"/>
      <c r="R26" s="3772"/>
      <c r="S26" s="3773"/>
      <c r="T26" s="3774"/>
      <c r="U26" s="3772"/>
      <c r="V26" s="3775"/>
      <c r="W26" s="3772"/>
      <c r="X26" s="3749"/>
      <c r="Y26" s="3776"/>
      <c r="Z26" s="3777"/>
      <c r="AA26" s="3778"/>
      <c r="AB26" s="3776"/>
      <c r="AC26" s="3779"/>
      <c r="AD26" s="3776"/>
    </row>
    <row r="27" spans="1:30" s="3786" customFormat="1" ht="12.75">
      <c r="A27" s="3780" t="s">
        <v>4125</v>
      </c>
      <c r="B27" s="3781">
        <v>2024</v>
      </c>
      <c r="C27" s="3136">
        <v>2</v>
      </c>
      <c r="D27" s="3136"/>
      <c r="E27" s="3136">
        <v>0</v>
      </c>
      <c r="F27" s="3136">
        <v>0</v>
      </c>
      <c r="G27" s="3136">
        <v>0</v>
      </c>
      <c r="H27" s="3136"/>
      <c r="I27" s="3137">
        <f t="shared" ref="I27:I40" si="19">F27</f>
        <v>0</v>
      </c>
      <c r="J27" s="3782"/>
      <c r="K27" s="3783"/>
      <c r="L27" s="3776">
        <f t="shared" ref="L27:N40" si="20">E27/100</f>
        <v>0</v>
      </c>
      <c r="M27" s="3776">
        <f t="shared" si="20"/>
        <v>0</v>
      </c>
      <c r="N27" s="3776">
        <f t="shared" si="20"/>
        <v>0</v>
      </c>
      <c r="O27" s="3776"/>
      <c r="P27" s="3776">
        <f>M27</f>
        <v>0</v>
      </c>
      <c r="Q27" s="3782"/>
      <c r="R27" s="3784"/>
      <c r="S27" s="3784">
        <f>ROUND(IF([2]项目基本情况!$B$8="出让",SUMPRODUCT(PRODUCT(1+L27:L$40)),SUMPRODUCT(PRODUCT(1+L27:L$39))),4)</f>
        <v>1.0439000000000001</v>
      </c>
      <c r="T27" s="3784">
        <f>ROUND(IF([2]项目基本情况!$B$8="出让",SUMPRODUCT(PRODUCT(1+M27:M$40)),SUMPRODUCT(PRODUCT(1+M27:M$39))),4)</f>
        <v>1.0297000000000001</v>
      </c>
      <c r="U27" s="3784">
        <f>ROUND(IF([2]项目基本情况!$B$8="出让",SUMPRODUCT(PRODUCT(1+N27:N$40)),SUMPRODUCT(PRODUCT(1+N27:N$39))),4)</f>
        <v>1.0727</v>
      </c>
      <c r="V27" s="3784"/>
      <c r="W27" s="3784">
        <f>T27</f>
        <v>1.0297000000000001</v>
      </c>
      <c r="X27" s="3782"/>
      <c r="Y27" s="3785"/>
      <c r="Z27" s="3803">
        <f>IF(E27=0,0,ROUND(AVERAGE(E27:E40)/100,4))</f>
        <v>0</v>
      </c>
      <c r="AA27" s="3803">
        <f>IF(F27=0,0,ROUND(AVERAGE(F27:F40)/100,4))</f>
        <v>0</v>
      </c>
      <c r="AB27" s="3803">
        <f>IF(G27=0,0,ROUND(AVERAGE(G27:G40)/100,4))</f>
        <v>0</v>
      </c>
      <c r="AC27" s="3804"/>
      <c r="AD27" s="3785">
        <f>IF(I27=0,0,ROUND(AVERAGE(I27:I40)/100,4))</f>
        <v>0</v>
      </c>
    </row>
    <row r="28" spans="1:30" s="3786" customFormat="1" ht="12.75">
      <c r="A28" s="3780" t="s">
        <v>4127</v>
      </c>
      <c r="B28" s="3781">
        <v>2024</v>
      </c>
      <c r="C28" s="3136">
        <v>1</v>
      </c>
      <c r="D28" s="3136"/>
      <c r="E28" s="3136">
        <v>0</v>
      </c>
      <c r="F28" s="3136">
        <v>0</v>
      </c>
      <c r="G28" s="3136">
        <v>0</v>
      </c>
      <c r="H28" s="3136"/>
      <c r="I28" s="3137">
        <f t="shared" si="19"/>
        <v>0</v>
      </c>
      <c r="J28" s="3782"/>
      <c r="K28" s="3783"/>
      <c r="L28" s="3776">
        <f t="shared" si="20"/>
        <v>0</v>
      </c>
      <c r="M28" s="3776">
        <f t="shared" si="20"/>
        <v>0</v>
      </c>
      <c r="N28" s="3776">
        <f t="shared" si="20"/>
        <v>0</v>
      </c>
      <c r="O28" s="3776"/>
      <c r="P28" s="3776">
        <f t="shared" ref="P28:P40" si="21">M28</f>
        <v>0</v>
      </c>
      <c r="Q28" s="3782"/>
      <c r="R28" s="3784"/>
      <c r="S28" s="3784">
        <f>ROUND(IF([2]项目基本情况!$B$8="出让",SUMPRODUCT(PRODUCT(1+L28:L$40)),SUMPRODUCT(PRODUCT(1+L28:L$39))),4)</f>
        <v>1.0439000000000001</v>
      </c>
      <c r="T28" s="3784">
        <f>ROUND(IF([2]项目基本情况!$B$8="出让",SUMPRODUCT(PRODUCT(1+M28:M$40)),SUMPRODUCT(PRODUCT(1+M28:M$39))),4)</f>
        <v>1.0297000000000001</v>
      </c>
      <c r="U28" s="3784">
        <f>ROUND(IF([2]项目基本情况!$B$8="出让",SUMPRODUCT(PRODUCT(1+N28:N$40)),SUMPRODUCT(PRODUCT(1+N28:N$39))),4)</f>
        <v>1.0727</v>
      </c>
      <c r="V28" s="3784"/>
      <c r="W28" s="3784">
        <f t="shared" ref="W28:W40" si="22">T28</f>
        <v>1.0297000000000001</v>
      </c>
      <c r="X28" s="3782"/>
      <c r="Y28" s="3785"/>
      <c r="Z28" s="3803"/>
      <c r="AA28" s="3805"/>
      <c r="AB28" s="3785"/>
      <c r="AC28" s="3804"/>
      <c r="AD28" s="3785"/>
    </row>
    <row r="29" spans="1:30" s="3792" customFormat="1" ht="12.75">
      <c r="A29" s="3787" t="s">
        <v>4128</v>
      </c>
      <c r="B29" s="3788">
        <v>2023</v>
      </c>
      <c r="C29" s="3138">
        <v>4</v>
      </c>
      <c r="D29" s="3138"/>
      <c r="E29" s="3138">
        <v>7.0000000000000007E-2</v>
      </c>
      <c r="F29" s="3138">
        <v>0.09</v>
      </c>
      <c r="G29" s="3138">
        <v>0.03</v>
      </c>
      <c r="H29" s="3139"/>
      <c r="I29" s="3140">
        <f t="shared" si="19"/>
        <v>0.09</v>
      </c>
      <c r="J29" s="3789"/>
      <c r="K29" s="3790"/>
      <c r="L29" s="3791">
        <f t="shared" si="20"/>
        <v>7.000000000000001E-4</v>
      </c>
      <c r="M29" s="3791">
        <f t="shared" si="20"/>
        <v>8.9999999999999998E-4</v>
      </c>
      <c r="N29" s="3791">
        <f t="shared" si="20"/>
        <v>2.9999999999999997E-4</v>
      </c>
      <c r="O29" s="3791"/>
      <c r="P29" s="3791">
        <f t="shared" si="21"/>
        <v>8.9999999999999998E-4</v>
      </c>
      <c r="Q29" s="3789"/>
      <c r="R29" s="3789"/>
      <c r="S29" s="3789">
        <f>ROUND(IF([2]项目基本情况!$B$8="出让",SUMPRODUCT(PRODUCT(1+L29:L$40)),SUMPRODUCT(PRODUCT(1+L29:L$39))),4)</f>
        <v>1.0439000000000001</v>
      </c>
      <c r="T29" s="3789">
        <f>ROUND(IF([2]项目基本情况!$B$8="出让",SUMPRODUCT(PRODUCT(1+M29:M$40)),SUMPRODUCT(PRODUCT(1+M29:M$39))),4)</f>
        <v>1.0297000000000001</v>
      </c>
      <c r="U29" s="3789">
        <f>ROUND(IF([2]项目基本情况!$B$8="出让",SUMPRODUCT(PRODUCT(1+N29:N$40)),SUMPRODUCT(PRODUCT(1+N29:N$39))),4)</f>
        <v>1.0727</v>
      </c>
      <c r="V29" s="3789"/>
      <c r="W29" s="3789">
        <f t="shared" si="22"/>
        <v>1.0297000000000001</v>
      </c>
      <c r="X29" s="3789"/>
      <c r="Y29" s="3791"/>
      <c r="Z29" s="3806"/>
      <c r="AA29" s="3807"/>
      <c r="AB29" s="3791"/>
      <c r="AC29" s="3808"/>
      <c r="AD29" s="3791"/>
    </row>
    <row r="30" spans="1:30" s="3786" customFormat="1" ht="12.75">
      <c r="A30" s="3793" t="s">
        <v>4129</v>
      </c>
      <c r="B30" s="3781">
        <v>2023</v>
      </c>
      <c r="C30" s="3136">
        <v>3</v>
      </c>
      <c r="D30" s="3136"/>
      <c r="E30" s="3136">
        <v>0.35</v>
      </c>
      <c r="F30" s="3136">
        <v>0.17</v>
      </c>
      <c r="G30" s="3136">
        <v>0.52</v>
      </c>
      <c r="H30" s="3141"/>
      <c r="I30" s="3137">
        <f t="shared" si="19"/>
        <v>0.17</v>
      </c>
      <c r="J30" s="3782"/>
      <c r="K30" s="3783"/>
      <c r="L30" s="3776">
        <f t="shared" si="20"/>
        <v>3.4999999999999996E-3</v>
      </c>
      <c r="M30" s="3776">
        <f t="shared" si="20"/>
        <v>1.7000000000000001E-3</v>
      </c>
      <c r="N30" s="3776">
        <f t="shared" si="20"/>
        <v>5.1999999999999998E-3</v>
      </c>
      <c r="O30" s="3776"/>
      <c r="P30" s="3776">
        <f t="shared" si="21"/>
        <v>1.7000000000000001E-3</v>
      </c>
      <c r="Q30" s="3782"/>
      <c r="R30" s="3784"/>
      <c r="S30" s="3784">
        <f>ROUND(IF([2]项目基本情况!$B$8="出让",SUMPRODUCT(PRODUCT(1+L30:L$40)),SUMPRODUCT(PRODUCT(1+L30:L$39))),4)</f>
        <v>1.0431999999999999</v>
      </c>
      <c r="T30" s="3784">
        <f>ROUND(IF([2]项目基本情况!$B$8="出让",SUMPRODUCT(PRODUCT(1+M30:M$40)),SUMPRODUCT(PRODUCT(1+M30:M$39))),4)</f>
        <v>1.0286999999999999</v>
      </c>
      <c r="U30" s="3784">
        <f>ROUND(IF([2]项目基本情况!$B$8="出让",SUMPRODUCT(PRODUCT(1+N30:N$40)),SUMPRODUCT(PRODUCT(1+N30:N$39))),4)</f>
        <v>1.0723</v>
      </c>
      <c r="V30" s="3784"/>
      <c r="W30" s="3784">
        <f t="shared" si="22"/>
        <v>1.0286999999999999</v>
      </c>
      <c r="X30" s="3782"/>
      <c r="Y30" s="3785"/>
      <c r="Z30" s="3803"/>
      <c r="AA30" s="3805"/>
      <c r="AB30" s="3785"/>
      <c r="AC30" s="3804"/>
      <c r="AD30" s="3785"/>
    </row>
    <row r="31" spans="1:30" s="3786" customFormat="1" ht="12.75">
      <c r="A31" s="3793" t="s">
        <v>3331</v>
      </c>
      <c r="B31" s="3781">
        <v>2023</v>
      </c>
      <c r="C31" s="3136">
        <v>2</v>
      </c>
      <c r="D31" s="3136"/>
      <c r="E31" s="3136">
        <v>0.5</v>
      </c>
      <c r="F31" s="3136">
        <v>0.45</v>
      </c>
      <c r="G31" s="3136">
        <v>0.89</v>
      </c>
      <c r="H31" s="3141"/>
      <c r="I31" s="3137">
        <f t="shared" si="19"/>
        <v>0.45</v>
      </c>
      <c r="J31" s="3782"/>
      <c r="K31" s="3783"/>
      <c r="L31" s="3776">
        <f t="shared" si="20"/>
        <v>5.0000000000000001E-3</v>
      </c>
      <c r="M31" s="3776">
        <f t="shared" si="20"/>
        <v>4.5000000000000005E-3</v>
      </c>
      <c r="N31" s="3776">
        <f t="shared" si="20"/>
        <v>8.8999999999999999E-3</v>
      </c>
      <c r="O31" s="3776"/>
      <c r="P31" s="3776">
        <f t="shared" si="21"/>
        <v>4.5000000000000005E-3</v>
      </c>
      <c r="Q31" s="3782"/>
      <c r="R31" s="3784"/>
      <c r="S31" s="3784">
        <f>ROUND(IF([2]项目基本情况!$B$8="出让",SUMPRODUCT(PRODUCT(1+L31:L$40)),SUMPRODUCT(PRODUCT(1+L31:L$39))),4)</f>
        <v>1.0396000000000001</v>
      </c>
      <c r="T31" s="3784">
        <f>ROUND(IF([2]项目基本情况!$B$8="出让",SUMPRODUCT(PRODUCT(1+M31:M$40)),SUMPRODUCT(PRODUCT(1+M31:M$39))),4)</f>
        <v>1.0269999999999999</v>
      </c>
      <c r="U31" s="3784">
        <f>ROUND(IF([2]项目基本情况!$B$8="出让",SUMPRODUCT(PRODUCT(1+N31:N$40)),SUMPRODUCT(PRODUCT(1+N31:N$39))),4)</f>
        <v>1.0668</v>
      </c>
      <c r="V31" s="3784"/>
      <c r="W31" s="3784">
        <f t="shared" si="22"/>
        <v>1.0269999999999999</v>
      </c>
      <c r="X31" s="3782"/>
      <c r="Y31" s="3785"/>
      <c r="Z31" s="3803"/>
      <c r="AA31" s="3805"/>
      <c r="AB31" s="3785"/>
      <c r="AC31" s="3804"/>
      <c r="AD31" s="3785"/>
    </row>
    <row r="32" spans="1:30" s="3786" customFormat="1" ht="12.75">
      <c r="A32" s="3793" t="s">
        <v>3332</v>
      </c>
      <c r="B32" s="3781">
        <v>2023</v>
      </c>
      <c r="C32" s="3136">
        <v>1</v>
      </c>
      <c r="D32" s="3136"/>
      <c r="E32" s="3136">
        <v>0.55000000000000004</v>
      </c>
      <c r="F32" s="3136">
        <v>0.59</v>
      </c>
      <c r="G32" s="3136">
        <v>0.64</v>
      </c>
      <c r="H32" s="3141"/>
      <c r="I32" s="3137">
        <f t="shared" si="19"/>
        <v>0.59</v>
      </c>
      <c r="J32" s="3782"/>
      <c r="K32" s="3783"/>
      <c r="L32" s="3776">
        <f t="shared" si="20"/>
        <v>5.5000000000000005E-3</v>
      </c>
      <c r="M32" s="3776">
        <f t="shared" si="20"/>
        <v>5.8999999999999999E-3</v>
      </c>
      <c r="N32" s="3776">
        <f t="shared" si="20"/>
        <v>6.4000000000000003E-3</v>
      </c>
      <c r="O32" s="3776"/>
      <c r="P32" s="3776">
        <f t="shared" si="21"/>
        <v>5.8999999999999999E-3</v>
      </c>
      <c r="Q32" s="3782"/>
      <c r="R32" s="3784"/>
      <c r="S32" s="3784">
        <f>ROUND(IF([2]项目基本情况!$B$8="出让",SUMPRODUCT(PRODUCT(1+L32:L$40)),SUMPRODUCT(PRODUCT(1+L32:L$39))),4)</f>
        <v>1.0344</v>
      </c>
      <c r="T32" s="3784">
        <f>ROUND(IF([2]项目基本情况!$B$8="出让",SUMPRODUCT(PRODUCT(1+M32:M$40)),SUMPRODUCT(PRODUCT(1+M32:M$39))),4)</f>
        <v>1.0224</v>
      </c>
      <c r="U32" s="3784">
        <f>ROUND(IF([2]项目基本情况!$B$8="出让",SUMPRODUCT(PRODUCT(1+N32:N$40)),SUMPRODUCT(PRODUCT(1+N32:N$39))),4)</f>
        <v>1.0573999999999999</v>
      </c>
      <c r="V32" s="3784"/>
      <c r="W32" s="3784">
        <f t="shared" si="22"/>
        <v>1.0224</v>
      </c>
      <c r="X32" s="3782"/>
      <c r="Y32" s="3785"/>
      <c r="Z32" s="3803"/>
      <c r="AA32" s="3805"/>
      <c r="AB32" s="3785"/>
      <c r="AC32" s="3804"/>
      <c r="AD32" s="3785"/>
    </row>
    <row r="33" spans="1:30" s="3786" customFormat="1" ht="12.75">
      <c r="A33" s="3793" t="s">
        <v>3327</v>
      </c>
      <c r="B33" s="3781">
        <v>2022</v>
      </c>
      <c r="C33" s="3136">
        <v>4</v>
      </c>
      <c r="D33" s="3136"/>
      <c r="E33" s="3136">
        <v>0.45</v>
      </c>
      <c r="F33" s="3136">
        <v>0.2</v>
      </c>
      <c r="G33" s="3136">
        <v>0.38</v>
      </c>
      <c r="H33" s="3141"/>
      <c r="I33" s="3137">
        <f t="shared" si="19"/>
        <v>0.2</v>
      </c>
      <c r="J33" s="3782"/>
      <c r="K33" s="3783"/>
      <c r="L33" s="3776">
        <f t="shared" si="20"/>
        <v>4.5000000000000005E-3</v>
      </c>
      <c r="M33" s="3776">
        <f t="shared" si="20"/>
        <v>2E-3</v>
      </c>
      <c r="N33" s="3776">
        <f t="shared" si="20"/>
        <v>3.8E-3</v>
      </c>
      <c r="O33" s="3776"/>
      <c r="P33" s="3776">
        <f t="shared" si="21"/>
        <v>2E-3</v>
      </c>
      <c r="Q33" s="3782"/>
      <c r="R33" s="3784"/>
      <c r="S33" s="3784">
        <f>ROUND(IF([2]项目基本情况!$B$8="出让",SUMPRODUCT(PRODUCT(1+L33:L$40)),SUMPRODUCT(PRODUCT(1+L33:L$39))),4)</f>
        <v>1.0286999999999999</v>
      </c>
      <c r="T33" s="3784">
        <f>ROUND(IF([2]项目基本情况!$B$8="出让",SUMPRODUCT(PRODUCT(1+M33:M$40)),SUMPRODUCT(PRODUCT(1+M33:M$39))),4)</f>
        <v>1.0164</v>
      </c>
      <c r="U33" s="3784">
        <f>ROUND(IF([2]项目基本情况!$B$8="出让",SUMPRODUCT(PRODUCT(1+N33:N$40)),SUMPRODUCT(PRODUCT(1+N33:N$39))),4)</f>
        <v>1.0506</v>
      </c>
      <c r="V33" s="3784"/>
      <c r="W33" s="3784">
        <f t="shared" si="22"/>
        <v>1.0164</v>
      </c>
      <c r="X33" s="3782"/>
      <c r="Y33" s="3785"/>
      <c r="Z33" s="3803">
        <f t="shared" ref="Z33:AD40" si="23">IF(E33=0,0,ROUND(AVERAGE(E33:E41)/100,4))</f>
        <v>4.0000000000000001E-3</v>
      </c>
      <c r="AA33" s="3805">
        <f t="shared" si="23"/>
        <v>2.5999999999999999E-3</v>
      </c>
      <c r="AB33" s="3785">
        <f t="shared" si="23"/>
        <v>7.4000000000000003E-3</v>
      </c>
      <c r="AC33" s="3804"/>
      <c r="AD33" s="3785">
        <f t="shared" si="23"/>
        <v>2.5999999999999999E-3</v>
      </c>
    </row>
    <row r="34" spans="1:30" s="3786" customFormat="1" ht="12.75">
      <c r="A34" s="3793" t="s">
        <v>3328</v>
      </c>
      <c r="B34" s="3781">
        <v>2022</v>
      </c>
      <c r="C34" s="3136">
        <v>3</v>
      </c>
      <c r="D34" s="3136"/>
      <c r="E34" s="3136">
        <v>0.3</v>
      </c>
      <c r="F34" s="3136">
        <v>0.28999999999999998</v>
      </c>
      <c r="G34" s="3136">
        <v>0.83</v>
      </c>
      <c r="H34" s="3141"/>
      <c r="I34" s="3137">
        <f t="shared" si="19"/>
        <v>0.28999999999999998</v>
      </c>
      <c r="J34" s="3782"/>
      <c r="K34" s="3783"/>
      <c r="L34" s="3776">
        <f t="shared" si="20"/>
        <v>3.0000000000000001E-3</v>
      </c>
      <c r="M34" s="3776">
        <f t="shared" si="20"/>
        <v>2.8999999999999998E-3</v>
      </c>
      <c r="N34" s="3776">
        <f t="shared" si="20"/>
        <v>8.3000000000000001E-3</v>
      </c>
      <c r="O34" s="3776"/>
      <c r="P34" s="3776">
        <f t="shared" si="21"/>
        <v>2.8999999999999998E-3</v>
      </c>
      <c r="Q34" s="3782"/>
      <c r="R34" s="3784"/>
      <c r="S34" s="3784">
        <f>ROUND(IF([2]项目基本情况!$B$8="出让",SUMPRODUCT(PRODUCT(1+L34:L$40)),SUMPRODUCT(PRODUCT(1+L34:L$39))),4)</f>
        <v>1.0241</v>
      </c>
      <c r="T34" s="3784">
        <f>ROUND(IF([2]项目基本情况!$B$8="出让",SUMPRODUCT(PRODUCT(1+M34:M$40)),SUMPRODUCT(PRODUCT(1+M34:M$39))),4)</f>
        <v>1.0144</v>
      </c>
      <c r="U34" s="3784">
        <f>ROUND(IF([2]项目基本情况!$B$8="出让",SUMPRODUCT(PRODUCT(1+N34:N$40)),SUMPRODUCT(PRODUCT(1+N34:N$39))),4)</f>
        <v>1.0467</v>
      </c>
      <c r="V34" s="3784"/>
      <c r="W34" s="3784">
        <f t="shared" si="22"/>
        <v>1.0144</v>
      </c>
      <c r="X34" s="3782"/>
      <c r="Y34" s="3785"/>
      <c r="Z34" s="3803">
        <f t="shared" si="23"/>
        <v>3.8999999999999998E-3</v>
      </c>
      <c r="AA34" s="3805">
        <f t="shared" si="23"/>
        <v>2.7000000000000001E-3</v>
      </c>
      <c r="AB34" s="3785">
        <f t="shared" si="23"/>
        <v>7.9000000000000008E-3</v>
      </c>
      <c r="AC34" s="3804"/>
      <c r="AD34" s="3785">
        <f t="shared" si="23"/>
        <v>2.7000000000000001E-3</v>
      </c>
    </row>
    <row r="35" spans="1:30" s="3786" customFormat="1" ht="12.75">
      <c r="A35" s="3793" t="s">
        <v>3320</v>
      </c>
      <c r="B35" s="3781">
        <v>2022</v>
      </c>
      <c r="C35" s="3136">
        <v>2</v>
      </c>
      <c r="D35" s="3136"/>
      <c r="E35" s="3136">
        <v>-0.11</v>
      </c>
      <c r="F35" s="3136">
        <v>-0.13</v>
      </c>
      <c r="G35" s="3136">
        <v>0.53</v>
      </c>
      <c r="H35" s="3141"/>
      <c r="I35" s="3137">
        <f t="shared" si="19"/>
        <v>-0.13</v>
      </c>
      <c r="J35" s="3782"/>
      <c r="K35" s="3783"/>
      <c r="L35" s="3776">
        <f t="shared" si="20"/>
        <v>-1.1000000000000001E-3</v>
      </c>
      <c r="M35" s="3776">
        <f t="shared" si="20"/>
        <v>-1.2999999999999999E-3</v>
      </c>
      <c r="N35" s="3776">
        <f t="shared" si="20"/>
        <v>5.3E-3</v>
      </c>
      <c r="O35" s="3776"/>
      <c r="P35" s="3776">
        <f t="shared" si="21"/>
        <v>-1.2999999999999999E-3</v>
      </c>
      <c r="Q35" s="3782"/>
      <c r="R35" s="3784"/>
      <c r="S35" s="3784">
        <f>ROUND(IF([2]项目基本情况!$B$8="出让",SUMPRODUCT(PRODUCT(1+L35:L$40)),SUMPRODUCT(PRODUCT(1+L35:L$39))),4)</f>
        <v>1.0210999999999999</v>
      </c>
      <c r="T35" s="3784">
        <f>ROUND(IF([2]项目基本情况!$B$8="出让",SUMPRODUCT(PRODUCT(1+M35:M$40)),SUMPRODUCT(PRODUCT(1+M35:M$39))),4)</f>
        <v>1.0114000000000001</v>
      </c>
      <c r="U35" s="3784">
        <f>ROUND(IF([2]项目基本情况!$B$8="出让",SUMPRODUCT(PRODUCT(1+N35:N$40)),SUMPRODUCT(PRODUCT(1+N35:N$39))),4)</f>
        <v>1.0381</v>
      </c>
      <c r="V35" s="3784"/>
      <c r="W35" s="3784">
        <f t="shared" si="22"/>
        <v>1.0114000000000001</v>
      </c>
      <c r="X35" s="3782"/>
      <c r="Y35" s="3785"/>
      <c r="Z35" s="3803">
        <f t="shared" si="23"/>
        <v>4.1000000000000003E-3</v>
      </c>
      <c r="AA35" s="3805">
        <f t="shared" si="23"/>
        <v>2.7000000000000001E-3</v>
      </c>
      <c r="AB35" s="3785">
        <f t="shared" si="23"/>
        <v>7.9000000000000008E-3</v>
      </c>
      <c r="AC35" s="3804"/>
      <c r="AD35" s="3785">
        <f t="shared" si="23"/>
        <v>2.7000000000000001E-3</v>
      </c>
    </row>
    <row r="36" spans="1:30" s="3786" customFormat="1" ht="12.75">
      <c r="A36" s="3793" t="s">
        <v>2801</v>
      </c>
      <c r="B36" s="3781">
        <v>2022</v>
      </c>
      <c r="C36" s="3136">
        <v>1</v>
      </c>
      <c r="D36" s="3136"/>
      <c r="E36" s="3136">
        <v>0.6</v>
      </c>
      <c r="F36" s="3136">
        <v>0.45</v>
      </c>
      <c r="G36" s="3136">
        <v>0.53</v>
      </c>
      <c r="H36" s="3141"/>
      <c r="I36" s="3137">
        <f t="shared" si="19"/>
        <v>0.45</v>
      </c>
      <c r="J36" s="3782"/>
      <c r="K36" s="3783"/>
      <c r="L36" s="3776">
        <f t="shared" si="20"/>
        <v>6.0000000000000001E-3</v>
      </c>
      <c r="M36" s="3776">
        <f t="shared" si="20"/>
        <v>4.5000000000000005E-3</v>
      </c>
      <c r="N36" s="3776">
        <f t="shared" si="20"/>
        <v>5.3E-3</v>
      </c>
      <c r="O36" s="3776"/>
      <c r="P36" s="3776">
        <f t="shared" si="21"/>
        <v>4.5000000000000005E-3</v>
      </c>
      <c r="Q36" s="3782"/>
      <c r="R36" s="3784"/>
      <c r="S36" s="3784">
        <f>ROUND(IF([2]项目基本情况!$B$8="出让",SUMPRODUCT(PRODUCT(1+L36:L$40)),SUMPRODUCT(PRODUCT(1+L36:L$39))),4)</f>
        <v>1.0222</v>
      </c>
      <c r="T36" s="3784">
        <f>ROUND(IF([2]项目基本情况!$B$8="出让",SUMPRODUCT(PRODUCT(1+M36:M$40)),SUMPRODUCT(PRODUCT(1+M36:M$39))),4)</f>
        <v>1.0127999999999999</v>
      </c>
      <c r="U36" s="3784">
        <f>ROUND(IF([2]项目基本情况!$B$8="出让",SUMPRODUCT(PRODUCT(1+N36:N$40)),SUMPRODUCT(PRODUCT(1+N36:N$39))),4)</f>
        <v>1.0326</v>
      </c>
      <c r="V36" s="3784"/>
      <c r="W36" s="3784">
        <f t="shared" si="22"/>
        <v>1.0127999999999999</v>
      </c>
      <c r="X36" s="3782"/>
      <c r="Y36" s="3785"/>
      <c r="Z36" s="3803">
        <f t="shared" si="23"/>
        <v>5.1000000000000004E-3</v>
      </c>
      <c r="AA36" s="3805">
        <f t="shared" si="23"/>
        <v>3.5000000000000001E-3</v>
      </c>
      <c r="AB36" s="3785">
        <f t="shared" si="23"/>
        <v>8.3999999999999995E-3</v>
      </c>
      <c r="AC36" s="3804"/>
      <c r="AD36" s="3785">
        <f t="shared" si="23"/>
        <v>3.5000000000000001E-3</v>
      </c>
    </row>
    <row r="37" spans="1:30" s="3786" customFormat="1" ht="12.75">
      <c r="A37" s="3793" t="s">
        <v>2423</v>
      </c>
      <c r="B37" s="3781">
        <v>2021</v>
      </c>
      <c r="C37" s="3136">
        <v>4</v>
      </c>
      <c r="D37" s="3136"/>
      <c r="E37" s="3136">
        <v>0.57999999999999996</v>
      </c>
      <c r="F37" s="3136">
        <v>0.08</v>
      </c>
      <c r="G37" s="3136">
        <v>0.68</v>
      </c>
      <c r="H37" s="3141"/>
      <c r="I37" s="3137">
        <f t="shared" si="19"/>
        <v>0.08</v>
      </c>
      <c r="J37" s="3782"/>
      <c r="K37" s="3783"/>
      <c r="L37" s="3776">
        <f t="shared" si="20"/>
        <v>5.7999999999999996E-3</v>
      </c>
      <c r="M37" s="3776">
        <f t="shared" si="20"/>
        <v>8.0000000000000004E-4</v>
      </c>
      <c r="N37" s="3776">
        <f t="shared" si="20"/>
        <v>6.8000000000000005E-3</v>
      </c>
      <c r="O37" s="3776"/>
      <c r="P37" s="3776">
        <f t="shared" si="21"/>
        <v>8.0000000000000004E-4</v>
      </c>
      <c r="Q37" s="3782"/>
      <c r="R37" s="3784"/>
      <c r="S37" s="3784">
        <f>ROUND(IF([2]项目基本情况!$B$8="出让",SUMPRODUCT(PRODUCT(1+L37:L$40)),SUMPRODUCT(PRODUCT(1+L37:L$39))),4)</f>
        <v>1.0161</v>
      </c>
      <c r="T37" s="3784">
        <f>ROUND(IF([2]项目基本情况!$B$8="出让",SUMPRODUCT(PRODUCT(1+M37:M$40)),SUMPRODUCT(PRODUCT(1+M37:M$39))),4)</f>
        <v>1.0082</v>
      </c>
      <c r="U37" s="3784">
        <f>ROUND(IF([2]项目基本情况!$B$8="出让",SUMPRODUCT(PRODUCT(1+N37:N$40)),SUMPRODUCT(PRODUCT(1+N37:N$39))),4)</f>
        <v>1.0270999999999999</v>
      </c>
      <c r="V37" s="3784"/>
      <c r="W37" s="3784">
        <f t="shared" si="22"/>
        <v>1.0082</v>
      </c>
      <c r="X37" s="3782"/>
      <c r="Y37" s="3785"/>
      <c r="Z37" s="3803">
        <f t="shared" si="23"/>
        <v>4.8999999999999998E-3</v>
      </c>
      <c r="AA37" s="3805">
        <f t="shared" si="23"/>
        <v>3.3E-3</v>
      </c>
      <c r="AB37" s="3785">
        <f t="shared" si="23"/>
        <v>9.1999999999999998E-3</v>
      </c>
      <c r="AC37" s="3804"/>
      <c r="AD37" s="3785">
        <f t="shared" si="23"/>
        <v>3.3E-3</v>
      </c>
    </row>
    <row r="38" spans="1:30" s="3786" customFormat="1" ht="12.75">
      <c r="A38" s="3793" t="s">
        <v>2308</v>
      </c>
      <c r="B38" s="3781">
        <v>2021</v>
      </c>
      <c r="C38" s="3136">
        <v>3</v>
      </c>
      <c r="D38" s="3136"/>
      <c r="E38" s="3136">
        <v>0.47</v>
      </c>
      <c r="F38" s="3136">
        <v>0.28000000000000003</v>
      </c>
      <c r="G38" s="3136">
        <v>0.91</v>
      </c>
      <c r="H38" s="3141"/>
      <c r="I38" s="3137">
        <f t="shared" si="19"/>
        <v>0.28000000000000003</v>
      </c>
      <c r="J38" s="3782"/>
      <c r="K38" s="3783"/>
      <c r="L38" s="3776">
        <f t="shared" si="20"/>
        <v>4.6999999999999993E-3</v>
      </c>
      <c r="M38" s="3776">
        <f t="shared" si="20"/>
        <v>2.8000000000000004E-3</v>
      </c>
      <c r="N38" s="3776">
        <f t="shared" si="20"/>
        <v>9.1000000000000004E-3</v>
      </c>
      <c r="O38" s="3776"/>
      <c r="P38" s="3776">
        <f t="shared" si="21"/>
        <v>2.8000000000000004E-3</v>
      </c>
      <c r="Q38" s="3782"/>
      <c r="R38" s="3784"/>
      <c r="S38" s="3784">
        <f>ROUND(IF([2]项目基本情况!$B$8="出让",SUMPRODUCT(PRODUCT(1+L38:L$40)),SUMPRODUCT(PRODUCT(1+L38:L$39))),4)</f>
        <v>1.0102</v>
      </c>
      <c r="T38" s="3784">
        <f>ROUND(IF([2]项目基本情况!$B$8="出让",SUMPRODUCT(PRODUCT(1+M38:M$40)),SUMPRODUCT(PRODUCT(1+M38:M$39))),4)</f>
        <v>1.0074000000000001</v>
      </c>
      <c r="U38" s="3784">
        <f>ROUND(IF([2]项目基本情况!$B$8="出让",SUMPRODUCT(PRODUCT(1+N38:N$40)),SUMPRODUCT(PRODUCT(1+N38:N$39))),4)</f>
        <v>1.0202</v>
      </c>
      <c r="V38" s="3784"/>
      <c r="W38" s="3784">
        <f t="shared" si="22"/>
        <v>1.0074000000000001</v>
      </c>
      <c r="X38" s="3782"/>
      <c r="Y38" s="3785"/>
      <c r="Z38" s="3803">
        <f t="shared" si="23"/>
        <v>4.5999999999999999E-3</v>
      </c>
      <c r="AA38" s="3805">
        <f t="shared" si="23"/>
        <v>4.1000000000000003E-3</v>
      </c>
      <c r="AB38" s="3785">
        <f t="shared" si="23"/>
        <v>0.01</v>
      </c>
      <c r="AC38" s="3804"/>
      <c r="AD38" s="3785">
        <f t="shared" si="23"/>
        <v>4.1000000000000003E-3</v>
      </c>
    </row>
    <row r="39" spans="1:30" s="3786" customFormat="1" ht="12.75">
      <c r="A39" s="3793" t="s">
        <v>2307</v>
      </c>
      <c r="B39" s="3781">
        <v>2021</v>
      </c>
      <c r="C39" s="3136">
        <v>2</v>
      </c>
      <c r="D39" s="3136"/>
      <c r="E39" s="3136">
        <v>0.55000000000000004</v>
      </c>
      <c r="F39" s="3136">
        <v>0.46</v>
      </c>
      <c r="G39" s="3136">
        <v>1.1000000000000001</v>
      </c>
      <c r="H39" s="3141"/>
      <c r="I39" s="3137">
        <f t="shared" si="19"/>
        <v>0.46</v>
      </c>
      <c r="J39" s="3782"/>
      <c r="K39" s="3783"/>
      <c r="L39" s="3776">
        <f t="shared" si="20"/>
        <v>5.5000000000000005E-3</v>
      </c>
      <c r="M39" s="3776">
        <f t="shared" si="20"/>
        <v>4.5999999999999999E-3</v>
      </c>
      <c r="N39" s="3776">
        <f t="shared" si="20"/>
        <v>1.1000000000000001E-2</v>
      </c>
      <c r="O39" s="3776"/>
      <c r="P39" s="3776">
        <f t="shared" si="21"/>
        <v>4.5999999999999999E-3</v>
      </c>
      <c r="Q39" s="3782"/>
      <c r="R39" s="3784"/>
      <c r="S39" s="3784">
        <f>ROUND(IF([2]项目基本情况!$B$8="出让",SUMPRODUCT(PRODUCT(1+L39:L$40)),SUMPRODUCT(PRODUCT(1+L39:L$39))),4)</f>
        <v>1.0055000000000001</v>
      </c>
      <c r="T39" s="3784">
        <f>ROUND(IF([2]项目基本情况!$B$8="出让",SUMPRODUCT(PRODUCT(1+M39:M$40)),SUMPRODUCT(PRODUCT(1+M39:M$39))),4)</f>
        <v>1.0045999999999999</v>
      </c>
      <c r="U39" s="3784">
        <f>ROUND(IF([2]项目基本情况!$B$8="出让",SUMPRODUCT(PRODUCT(1+N39:N$40)),SUMPRODUCT(PRODUCT(1+N39:N$39))),4)</f>
        <v>1.0109999999999999</v>
      </c>
      <c r="V39" s="3784"/>
      <c r="W39" s="3784">
        <f t="shared" si="22"/>
        <v>1.0045999999999999</v>
      </c>
      <c r="X39" s="3782"/>
      <c r="Y39" s="3785"/>
      <c r="Z39" s="3803">
        <f t="shared" si="23"/>
        <v>4.4999999999999997E-3</v>
      </c>
      <c r="AA39" s="3805">
        <f t="shared" si="23"/>
        <v>4.7000000000000002E-3</v>
      </c>
      <c r="AB39" s="3785">
        <f t="shared" si="23"/>
        <v>1.04E-2</v>
      </c>
      <c r="AC39" s="3804"/>
      <c r="AD39" s="3785">
        <f t="shared" si="23"/>
        <v>4.7000000000000002E-3</v>
      </c>
    </row>
    <row r="40" spans="1:30" s="3800" customFormat="1" thickBot="1">
      <c r="A40" s="3794" t="s">
        <v>2306</v>
      </c>
      <c r="B40" s="3795">
        <v>2021</v>
      </c>
      <c r="C40" s="3142">
        <v>1</v>
      </c>
      <c r="D40" s="3142"/>
      <c r="E40" s="3142">
        <v>0.35</v>
      </c>
      <c r="F40" s="3142">
        <v>0.48</v>
      </c>
      <c r="G40" s="3142">
        <v>0.98</v>
      </c>
      <c r="H40" s="3143"/>
      <c r="I40" s="3144">
        <f t="shared" si="19"/>
        <v>0.48</v>
      </c>
      <c r="J40" s="3796"/>
      <c r="K40" s="3797"/>
      <c r="L40" s="3798">
        <f t="shared" si="20"/>
        <v>3.4999999999999996E-3</v>
      </c>
      <c r="M40" s="3798">
        <f>F40/100</f>
        <v>4.7999999999999996E-3</v>
      </c>
      <c r="N40" s="3798">
        <f t="shared" si="20"/>
        <v>9.7999999999999997E-3</v>
      </c>
      <c r="O40" s="3798"/>
      <c r="P40" s="3798">
        <f t="shared" si="21"/>
        <v>4.7999999999999996E-3</v>
      </c>
      <c r="Q40" s="3796"/>
      <c r="R40" s="3799"/>
      <c r="S40" s="3799">
        <v>1</v>
      </c>
      <c r="T40" s="3799">
        <v>1</v>
      </c>
      <c r="U40" s="3799">
        <v>1</v>
      </c>
      <c r="V40" s="3799"/>
      <c r="W40" s="3799">
        <f t="shared" si="22"/>
        <v>1</v>
      </c>
      <c r="X40" s="3796"/>
      <c r="Y40" s="3798"/>
      <c r="Z40" s="3809">
        <f t="shared" si="23"/>
        <v>3.5000000000000001E-3</v>
      </c>
      <c r="AA40" s="3810">
        <f t="shared" si="23"/>
        <v>4.7999999999999996E-3</v>
      </c>
      <c r="AB40" s="3798">
        <f t="shared" si="23"/>
        <v>9.7999999999999997E-3</v>
      </c>
      <c r="AC40" s="3811"/>
      <c r="AD40" s="3798">
        <f t="shared" si="23"/>
        <v>4.7999999999999996E-3</v>
      </c>
    </row>
    <row r="41" spans="1:30" ht="14.25" thickTop="1"/>
    <row r="42" spans="1:30">
      <c r="A42" s="3801" t="s">
        <v>3330</v>
      </c>
    </row>
  </sheetData>
  <mergeCells count="4">
    <mergeCell ref="R1:W1"/>
    <mergeCell ref="Y1:AD1"/>
    <mergeCell ref="R23:W23"/>
    <mergeCell ref="Y23:AD23"/>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830" t="str">
        <f>IF(项目基本情况!B9="房地产市场价值","估价结果一览表","结果表-2")</f>
        <v>估价结果一览表</v>
      </c>
      <c r="B1" s="3830"/>
      <c r="C1" s="3830"/>
      <c r="D1" s="3830"/>
      <c r="E1" s="3830"/>
      <c r="F1" s="3830"/>
      <c r="G1" s="3830"/>
      <c r="H1" s="3830"/>
      <c r="I1" s="3830"/>
    </row>
    <row r="2" spans="1:9" ht="30" customHeight="1" thickTop="1">
      <c r="A2" s="3831" t="s">
        <v>928</v>
      </c>
      <c r="B2" s="3831" t="s">
        <v>929</v>
      </c>
      <c r="C2" s="3831" t="s">
        <v>930</v>
      </c>
      <c r="D2" s="3831" t="str">
        <f>结果表!D116</f>
        <v>出让国有建设用地使用权价值</v>
      </c>
      <c r="E2" s="3831"/>
      <c r="F2" s="3831" t="str">
        <f>结果表!F116</f>
        <v>在建建筑物价值</v>
      </c>
      <c r="G2" s="3831"/>
      <c r="H2" s="3831" t="str">
        <f>IF(项目基本情况!B9="房地产市场价值","房地产市场价值","房地产价值")</f>
        <v>房地产市场价值</v>
      </c>
      <c r="I2" s="3831"/>
    </row>
    <row r="3" spans="1:9" ht="15">
      <c r="A3" s="3826"/>
      <c r="B3" s="3826"/>
      <c r="C3" s="3826"/>
      <c r="D3" s="849" t="s">
        <v>925</v>
      </c>
      <c r="E3" s="849" t="s">
        <v>931</v>
      </c>
      <c r="F3" s="849" t="s">
        <v>925</v>
      </c>
      <c r="G3" s="849" t="s">
        <v>926</v>
      </c>
      <c r="H3" s="849" t="s">
        <v>925</v>
      </c>
      <c r="I3" s="849" t="s">
        <v>926</v>
      </c>
    </row>
    <row r="4" spans="1:9" ht="15">
      <c r="A4" s="1500" t="str">
        <f>项目基本情况!S2</f>
        <v>北京市房地产</v>
      </c>
      <c r="B4" s="849">
        <f>项目基本情况!C17</f>
        <v>61136.619999999995</v>
      </c>
      <c r="C4" s="849">
        <f>项目基本情况!C18</f>
        <v>6245.0829999999996</v>
      </c>
      <c r="D4" s="849">
        <f ca="1">结果表!D118</f>
        <v>196445</v>
      </c>
      <c r="E4" s="849">
        <f ca="1">结果表!E118</f>
        <v>32132</v>
      </c>
      <c r="F4" s="849">
        <f ca="1">结果表!F118</f>
        <v>31979</v>
      </c>
      <c r="G4" s="849">
        <f ca="1">结果表!G118</f>
        <v>5231</v>
      </c>
      <c r="H4" s="849">
        <f ca="1">结果表!H118</f>
        <v>228424</v>
      </c>
      <c r="I4" s="849">
        <f ca="1">结果表!I118</f>
        <v>37363</v>
      </c>
    </row>
    <row r="5" spans="1:9" ht="30" customHeight="1">
      <c r="A5" s="3826" t="s">
        <v>927</v>
      </c>
      <c r="B5" s="3826"/>
      <c r="C5" s="3826"/>
      <c r="D5" s="3826" t="str">
        <f ca="1">结果表!D119</f>
        <v>壹拾玖亿陆仟肆佰肆拾伍万元整</v>
      </c>
      <c r="E5" s="3826"/>
      <c r="F5" s="3826" t="str">
        <f ca="1">结果表!F119</f>
        <v>叁亿壹仟玖佰柒拾玖万元整</v>
      </c>
      <c r="G5" s="3826"/>
      <c r="H5" s="3826" t="str">
        <f ca="1">结果表!H119</f>
        <v>贰拾贰亿捌仟肆佰贰拾肆万元整</v>
      </c>
      <c r="I5" s="3826"/>
    </row>
    <row r="6" spans="1:9" ht="15.75">
      <c r="A6" s="3825" t="str">
        <f>结果表!A120</f>
        <v/>
      </c>
      <c r="B6" s="3825"/>
      <c r="C6" s="3825"/>
      <c r="D6" s="3825">
        <f>结果表!D120</f>
        <v>0</v>
      </c>
      <c r="E6" s="3825"/>
      <c r="F6" s="3825"/>
      <c r="G6" s="3825"/>
      <c r="H6" s="3825"/>
      <c r="I6" s="3825"/>
    </row>
    <row r="7" spans="1:9" ht="15">
      <c r="A7" s="3826" t="s">
        <v>927</v>
      </c>
      <c r="B7" s="3826"/>
      <c r="C7" s="3826"/>
      <c r="D7" s="3827" t="str">
        <f>结果表!D121</f>
        <v>零元整</v>
      </c>
      <c r="E7" s="3828"/>
      <c r="F7" s="3828"/>
      <c r="G7" s="3828"/>
      <c r="H7" s="3828"/>
      <c r="I7" s="3829"/>
    </row>
    <row r="8" spans="1:9" ht="15.75">
      <c r="A8" s="3825" t="str">
        <f>结果表!A122</f>
        <v/>
      </c>
      <c r="B8" s="3825"/>
      <c r="C8" s="3825"/>
      <c r="D8" s="3825">
        <f ca="1">结果表!D122</f>
        <v>228424</v>
      </c>
      <c r="E8" s="3825"/>
      <c r="F8" s="3825"/>
      <c r="G8" s="3825"/>
      <c r="H8" s="3825"/>
      <c r="I8" s="3825"/>
    </row>
    <row r="9" spans="1:9" ht="15">
      <c r="A9" s="3826" t="s">
        <v>927</v>
      </c>
      <c r="B9" s="3826"/>
      <c r="C9" s="3826"/>
      <c r="D9" s="3826" t="str">
        <f ca="1">结果表!D123</f>
        <v>贰拾贰亿捌仟肆佰贰拾肆万元整</v>
      </c>
      <c r="E9" s="3826"/>
      <c r="F9" s="3826"/>
      <c r="G9" s="3826"/>
      <c r="H9" s="3826"/>
      <c r="I9" s="3826"/>
    </row>
    <row r="10" spans="1:9" ht="15.75">
      <c r="A10" s="3825" t="str">
        <f>结果表!A124</f>
        <v/>
      </c>
      <c r="B10" s="3825"/>
      <c r="C10" s="3825"/>
      <c r="D10" s="3825" t="str">
        <f>结果表!D124</f>
        <v>——</v>
      </c>
      <c r="E10" s="3825"/>
      <c r="F10" s="3825"/>
      <c r="G10" s="3825"/>
      <c r="H10" s="3825"/>
      <c r="I10" s="3825"/>
    </row>
    <row r="11" spans="1:9" ht="15">
      <c r="A11" s="3826" t="s">
        <v>927</v>
      </c>
      <c r="B11" s="3826"/>
      <c r="C11" s="3826"/>
      <c r="D11" s="3826" t="e">
        <f>结果表!D125</f>
        <v>#VALUE!</v>
      </c>
      <c r="E11" s="3826"/>
      <c r="F11" s="3826"/>
      <c r="G11" s="3826"/>
      <c r="H11" s="3826"/>
      <c r="I11" s="3826"/>
    </row>
    <row r="12" spans="1:9" ht="15.75">
      <c r="A12" s="3825" t="str">
        <f>结果表!A126</f>
        <v/>
      </c>
      <c r="B12" s="3825"/>
      <c r="C12" s="3825"/>
      <c r="D12" s="3825" t="str">
        <f>结果表!D126</f>
        <v>——</v>
      </c>
      <c r="E12" s="3825"/>
      <c r="F12" s="3825"/>
      <c r="G12" s="3825"/>
      <c r="H12" s="3825"/>
      <c r="I12" s="3825"/>
    </row>
    <row r="13" spans="1:9" ht="15.75" thickBot="1">
      <c r="A13" s="3823" t="s">
        <v>927</v>
      </c>
      <c r="B13" s="3823"/>
      <c r="C13" s="3823"/>
      <c r="D13" s="3823" t="e">
        <f>结果表!D127</f>
        <v>#VALUE!</v>
      </c>
      <c r="E13" s="3823"/>
      <c r="F13" s="3823"/>
      <c r="G13" s="3823"/>
      <c r="H13" s="3823"/>
      <c r="I13" s="3823"/>
    </row>
    <row r="14" spans="1:9" ht="15" thickTop="1">
      <c r="A14" s="3824" t="s">
        <v>932</v>
      </c>
      <c r="B14" s="3824"/>
      <c r="C14" s="3824"/>
      <c r="D14" s="3824"/>
      <c r="E14" s="3824"/>
      <c r="F14" s="3824"/>
      <c r="G14" s="3824"/>
      <c r="H14" s="3824"/>
      <c r="I14" s="3824"/>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23" sqref="K23"/>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4186" t="s">
        <v>452</v>
      </c>
      <c r="C1" s="4186"/>
      <c r="D1" s="4186"/>
      <c r="E1" s="4186"/>
      <c r="F1" s="4186"/>
      <c r="G1" s="4185" t="s">
        <v>453</v>
      </c>
      <c r="H1" s="4185"/>
      <c r="I1" s="4185"/>
      <c r="J1" s="4185"/>
      <c r="K1" s="4185"/>
      <c r="L1" s="4185"/>
      <c r="N1" s="4185" t="s">
        <v>454</v>
      </c>
      <c r="O1" s="4185"/>
      <c r="P1" s="4185"/>
      <c r="Q1" s="4185"/>
      <c r="S1" s="4185" t="s">
        <v>455</v>
      </c>
      <c r="T1" s="4185"/>
      <c r="U1" s="4185"/>
      <c r="V1" s="4185"/>
      <c r="X1" s="4184" t="s">
        <v>456</v>
      </c>
      <c r="Y1" s="4185"/>
      <c r="Z1" s="4185"/>
      <c r="AA1" s="4185"/>
      <c r="AB1" s="4185"/>
      <c r="AD1" s="4184" t="s">
        <v>457</v>
      </c>
      <c r="AE1" s="4185"/>
      <c r="AF1" s="4185"/>
      <c r="AG1" s="4185"/>
      <c r="AH1" s="4185"/>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3327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36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3324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36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3325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36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3326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36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4182">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4182"/>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4182"/>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419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418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4182"/>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4182"/>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419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418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4182"/>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4182"/>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4183"/>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4181">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4182"/>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4182"/>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4183"/>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4181">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4182"/>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4182"/>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4183"/>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418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418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418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419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4181">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4182"/>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4182"/>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4183"/>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4181">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4182">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4182">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4183">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4181">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4182">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4182">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4183">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4181">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4182">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4182">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4183">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4181">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4182">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4182">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4183">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4181">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4182">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4182">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4183">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4181">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4182">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4182">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4183">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4181">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4182">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4182">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4183">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4181">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4182">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4182">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4183">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4181">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4182">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4182">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4183">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4181">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4182">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4182">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4183">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36" sqref="E36"/>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45226</v>
      </c>
      <c r="D1" s="1297" t="s">
        <v>603</v>
      </c>
      <c r="E1" s="1292">
        <f>'数据-取费表'!B22</f>
        <v>3</v>
      </c>
      <c r="F1" s="1297" t="s">
        <v>604</v>
      </c>
      <c r="G1" s="1293">
        <f ca="1">INDIRECT("d"&amp;$K$1)/100</f>
        <v>3.4500000000000003E-2</v>
      </c>
      <c r="H1" s="1297" t="s">
        <v>634</v>
      </c>
      <c r="I1" s="1293">
        <f ca="1">F4/100</f>
        <v>1.4999999999999999E-2</v>
      </c>
      <c r="J1" s="1298">
        <f>IF(C1&gt;C13,0,MATCH(C1,C$13:C$111,-1))+IF(SUMIF(C13:C111,C1,D13:D111)=0,13,12)</f>
        <v>13</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V93"/>
  <sheetViews>
    <sheetView topLeftCell="A37" zoomScale="85" zoomScaleNormal="85" workbookViewId="0">
      <selection activeCell="M78" sqref="M78"/>
    </sheetView>
  </sheetViews>
  <sheetFormatPr defaultRowHeight="13.5"/>
  <cols>
    <col min="1" max="1" width="3.5" style="3633" bestFit="1" customWidth="1"/>
    <col min="2" max="2" width="6.5" style="3642" bestFit="1" customWidth="1"/>
    <col min="3" max="3" width="7.5" style="3633" bestFit="1" customWidth="1"/>
    <col min="4" max="4" width="12.75" style="3637" bestFit="1" customWidth="1"/>
    <col min="5" max="5" width="12" style="3637" customWidth="1"/>
    <col min="6" max="6" width="12.625" style="3637" customWidth="1"/>
    <col min="7" max="7" width="12" style="3637" customWidth="1"/>
    <col min="8" max="8" width="33.75" style="3633" customWidth="1"/>
    <col min="9" max="9" width="22.125" style="3633" customWidth="1"/>
    <col min="10" max="10" width="16.875" style="3635" customWidth="1"/>
    <col min="11" max="11" width="10.375" style="3636" customWidth="1"/>
    <col min="12" max="12" width="13.125" style="3635" customWidth="1"/>
    <col min="13" max="13" width="14.5" style="3635" customWidth="1"/>
    <col min="14" max="16" width="11.5" style="3635" hidden="1" customWidth="1"/>
    <col min="17" max="17" width="8.25" style="3635" hidden="1" customWidth="1"/>
    <col min="18" max="18" width="9.25" style="3635" hidden="1" customWidth="1"/>
    <col min="19" max="19" width="12.625" style="3635" hidden="1" customWidth="1"/>
    <col min="20" max="20" width="10.25" style="3635" hidden="1" customWidth="1"/>
    <col min="21" max="21" width="14.375" style="3635" customWidth="1"/>
    <col min="22" max="22" width="18.25" style="3626" customWidth="1"/>
    <col min="23" max="23" width="21.625" style="3626" customWidth="1"/>
    <col min="24" max="24" width="17.375" style="3626" customWidth="1"/>
    <col min="25" max="25" width="14.625" style="3626" customWidth="1"/>
    <col min="26" max="26" width="12.5" style="3399" bestFit="1" customWidth="1"/>
    <col min="27" max="34" width="16.125" style="3506" bestFit="1" customWidth="1"/>
    <col min="35" max="38" width="16.125" style="3657" bestFit="1" customWidth="1"/>
    <col min="39" max="78" width="12.5" style="3397" bestFit="1" customWidth="1"/>
    <col min="79" max="256" width="9" style="3633"/>
    <col min="257" max="257" width="3.5" style="3633" bestFit="1" customWidth="1"/>
    <col min="258" max="258" width="6.5" style="3633" bestFit="1" customWidth="1"/>
    <col min="259" max="259" width="7.5" style="3633" bestFit="1" customWidth="1"/>
    <col min="260" max="260" width="11" style="3633" customWidth="1"/>
    <col min="261" max="261" width="12" style="3633" bestFit="1" customWidth="1"/>
    <col min="262" max="262" width="12.625" style="3633" bestFit="1" customWidth="1"/>
    <col min="263" max="263" width="12" style="3633" bestFit="1" customWidth="1"/>
    <col min="264" max="264" width="48" style="3633" bestFit="1" customWidth="1"/>
    <col min="265" max="265" width="31.625" style="3633" bestFit="1" customWidth="1"/>
    <col min="266" max="266" width="17" style="3633" bestFit="1" customWidth="1"/>
    <col min="267" max="267" width="13.875" style="3633" bestFit="1" customWidth="1"/>
    <col min="268" max="268" width="15" style="3633" bestFit="1" customWidth="1"/>
    <col min="269" max="269" width="14.5" style="3633" bestFit="1" customWidth="1"/>
    <col min="270" max="272" width="11.5" style="3633" bestFit="1" customWidth="1"/>
    <col min="273" max="273" width="15.125" style="3633" bestFit="1" customWidth="1"/>
    <col min="274" max="274" width="11.5" style="3633" bestFit="1" customWidth="1"/>
    <col min="275" max="275" width="12.625" style="3633" bestFit="1" customWidth="1"/>
    <col min="276" max="276" width="10.25" style="3633" bestFit="1" customWidth="1"/>
    <col min="277" max="277" width="17" style="3633" bestFit="1" customWidth="1"/>
    <col min="278" max="278" width="18.25" style="3633" bestFit="1" customWidth="1"/>
    <col min="279" max="279" width="55.625" style="3633" customWidth="1"/>
    <col min="280" max="280" width="43.875" style="3633" bestFit="1" customWidth="1"/>
    <col min="281" max="281" width="19.5" style="3633" bestFit="1" customWidth="1"/>
    <col min="282" max="282" width="9" style="3633"/>
    <col min="283" max="283" width="12.125" style="3633" bestFit="1" customWidth="1"/>
    <col min="284" max="512" width="9" style="3633"/>
    <col min="513" max="513" width="3.5" style="3633" bestFit="1" customWidth="1"/>
    <col min="514" max="514" width="6.5" style="3633" bestFit="1" customWidth="1"/>
    <col min="515" max="515" width="7.5" style="3633" bestFit="1" customWidth="1"/>
    <col min="516" max="516" width="11" style="3633" customWidth="1"/>
    <col min="517" max="517" width="12" style="3633" bestFit="1" customWidth="1"/>
    <col min="518" max="518" width="12.625" style="3633" bestFit="1" customWidth="1"/>
    <col min="519" max="519" width="12" style="3633" bestFit="1" customWidth="1"/>
    <col min="520" max="520" width="48" style="3633" bestFit="1" customWidth="1"/>
    <col min="521" max="521" width="31.625" style="3633" bestFit="1" customWidth="1"/>
    <col min="522" max="522" width="17" style="3633" bestFit="1" customWidth="1"/>
    <col min="523" max="523" width="13.875" style="3633" bestFit="1" customWidth="1"/>
    <col min="524" max="524" width="15" style="3633" bestFit="1" customWidth="1"/>
    <col min="525" max="525" width="14.5" style="3633" bestFit="1" customWidth="1"/>
    <col min="526" max="528" width="11.5" style="3633" bestFit="1" customWidth="1"/>
    <col min="529" max="529" width="15.125" style="3633" bestFit="1" customWidth="1"/>
    <col min="530" max="530" width="11.5" style="3633" bestFit="1" customWidth="1"/>
    <col min="531" max="531" width="12.625" style="3633" bestFit="1" customWidth="1"/>
    <col min="532" max="532" width="10.25" style="3633" bestFit="1" customWidth="1"/>
    <col min="533" max="533" width="17" style="3633" bestFit="1" customWidth="1"/>
    <col min="534" max="534" width="18.25" style="3633" bestFit="1" customWidth="1"/>
    <col min="535" max="535" width="55.625" style="3633" customWidth="1"/>
    <col min="536" max="536" width="43.875" style="3633" bestFit="1" customWidth="1"/>
    <col min="537" max="537" width="19.5" style="3633" bestFit="1" customWidth="1"/>
    <col min="538" max="538" width="9" style="3633"/>
    <col min="539" max="539" width="12.125" style="3633" bestFit="1" customWidth="1"/>
    <col min="540" max="768" width="9" style="3633"/>
    <col min="769" max="769" width="3.5" style="3633" bestFit="1" customWidth="1"/>
    <col min="770" max="770" width="6.5" style="3633" bestFit="1" customWidth="1"/>
    <col min="771" max="771" width="7.5" style="3633" bestFit="1" customWidth="1"/>
    <col min="772" max="772" width="11" style="3633" customWidth="1"/>
    <col min="773" max="773" width="12" style="3633" bestFit="1" customWidth="1"/>
    <col min="774" max="774" width="12.625" style="3633" bestFit="1" customWidth="1"/>
    <col min="775" max="775" width="12" style="3633" bestFit="1" customWidth="1"/>
    <col min="776" max="776" width="48" style="3633" bestFit="1" customWidth="1"/>
    <col min="777" max="777" width="31.625" style="3633" bestFit="1" customWidth="1"/>
    <col min="778" max="778" width="17" style="3633" bestFit="1" customWidth="1"/>
    <col min="779" max="779" width="13.875" style="3633" bestFit="1" customWidth="1"/>
    <col min="780" max="780" width="15" style="3633" bestFit="1" customWidth="1"/>
    <col min="781" max="781" width="14.5" style="3633" bestFit="1" customWidth="1"/>
    <col min="782" max="784" width="11.5" style="3633" bestFit="1" customWidth="1"/>
    <col min="785" max="785" width="15.125" style="3633" bestFit="1" customWidth="1"/>
    <col min="786" max="786" width="11.5" style="3633" bestFit="1" customWidth="1"/>
    <col min="787" max="787" width="12.625" style="3633" bestFit="1" customWidth="1"/>
    <col min="788" max="788" width="10.25" style="3633" bestFit="1" customWidth="1"/>
    <col min="789" max="789" width="17" style="3633" bestFit="1" customWidth="1"/>
    <col min="790" max="790" width="18.25" style="3633" bestFit="1" customWidth="1"/>
    <col min="791" max="791" width="55.625" style="3633" customWidth="1"/>
    <col min="792" max="792" width="43.875" style="3633" bestFit="1" customWidth="1"/>
    <col min="793" max="793" width="19.5" style="3633" bestFit="1" customWidth="1"/>
    <col min="794" max="794" width="9" style="3633"/>
    <col min="795" max="795" width="12.125" style="3633" bestFit="1" customWidth="1"/>
    <col min="796" max="1024" width="9" style="3633"/>
    <col min="1025" max="1025" width="3.5" style="3633" bestFit="1" customWidth="1"/>
    <col min="1026" max="1026" width="6.5" style="3633" bestFit="1" customWidth="1"/>
    <col min="1027" max="1027" width="7.5" style="3633" bestFit="1" customWidth="1"/>
    <col min="1028" max="1028" width="11" style="3633" customWidth="1"/>
    <col min="1029" max="1029" width="12" style="3633" bestFit="1" customWidth="1"/>
    <col min="1030" max="1030" width="12.625" style="3633" bestFit="1" customWidth="1"/>
    <col min="1031" max="1031" width="12" style="3633" bestFit="1" customWidth="1"/>
    <col min="1032" max="1032" width="48" style="3633" bestFit="1" customWidth="1"/>
    <col min="1033" max="1033" width="31.625" style="3633" bestFit="1" customWidth="1"/>
    <col min="1034" max="1034" width="17" style="3633" bestFit="1" customWidth="1"/>
    <col min="1035" max="1035" width="13.875" style="3633" bestFit="1" customWidth="1"/>
    <col min="1036" max="1036" width="15" style="3633" bestFit="1" customWidth="1"/>
    <col min="1037" max="1037" width="14.5" style="3633" bestFit="1" customWidth="1"/>
    <col min="1038" max="1040" width="11.5" style="3633" bestFit="1" customWidth="1"/>
    <col min="1041" max="1041" width="15.125" style="3633" bestFit="1" customWidth="1"/>
    <col min="1042" max="1042" width="11.5" style="3633" bestFit="1" customWidth="1"/>
    <col min="1043" max="1043" width="12.625" style="3633" bestFit="1" customWidth="1"/>
    <col min="1044" max="1044" width="10.25" style="3633" bestFit="1" customWidth="1"/>
    <col min="1045" max="1045" width="17" style="3633" bestFit="1" customWidth="1"/>
    <col min="1046" max="1046" width="18.25" style="3633" bestFit="1" customWidth="1"/>
    <col min="1047" max="1047" width="55.625" style="3633" customWidth="1"/>
    <col min="1048" max="1048" width="43.875" style="3633" bestFit="1" customWidth="1"/>
    <col min="1049" max="1049" width="19.5" style="3633" bestFit="1" customWidth="1"/>
    <col min="1050" max="1050" width="9" style="3633"/>
    <col min="1051" max="1051" width="12.125" style="3633" bestFit="1" customWidth="1"/>
    <col min="1052" max="1280" width="9" style="3633"/>
    <col min="1281" max="1281" width="3.5" style="3633" bestFit="1" customWidth="1"/>
    <col min="1282" max="1282" width="6.5" style="3633" bestFit="1" customWidth="1"/>
    <col min="1283" max="1283" width="7.5" style="3633" bestFit="1" customWidth="1"/>
    <col min="1284" max="1284" width="11" style="3633" customWidth="1"/>
    <col min="1285" max="1285" width="12" style="3633" bestFit="1" customWidth="1"/>
    <col min="1286" max="1286" width="12.625" style="3633" bestFit="1" customWidth="1"/>
    <col min="1287" max="1287" width="12" style="3633" bestFit="1" customWidth="1"/>
    <col min="1288" max="1288" width="48" style="3633" bestFit="1" customWidth="1"/>
    <col min="1289" max="1289" width="31.625" style="3633" bestFit="1" customWidth="1"/>
    <col min="1290" max="1290" width="17" style="3633" bestFit="1" customWidth="1"/>
    <col min="1291" max="1291" width="13.875" style="3633" bestFit="1" customWidth="1"/>
    <col min="1292" max="1292" width="15" style="3633" bestFit="1" customWidth="1"/>
    <col min="1293" max="1293" width="14.5" style="3633" bestFit="1" customWidth="1"/>
    <col min="1294" max="1296" width="11.5" style="3633" bestFit="1" customWidth="1"/>
    <col min="1297" max="1297" width="15.125" style="3633" bestFit="1" customWidth="1"/>
    <col min="1298" max="1298" width="11.5" style="3633" bestFit="1" customWidth="1"/>
    <col min="1299" max="1299" width="12.625" style="3633" bestFit="1" customWidth="1"/>
    <col min="1300" max="1300" width="10.25" style="3633" bestFit="1" customWidth="1"/>
    <col min="1301" max="1301" width="17" style="3633" bestFit="1" customWidth="1"/>
    <col min="1302" max="1302" width="18.25" style="3633" bestFit="1" customWidth="1"/>
    <col min="1303" max="1303" width="55.625" style="3633" customWidth="1"/>
    <col min="1304" max="1304" width="43.875" style="3633" bestFit="1" customWidth="1"/>
    <col min="1305" max="1305" width="19.5" style="3633" bestFit="1" customWidth="1"/>
    <col min="1306" max="1306" width="9" style="3633"/>
    <col min="1307" max="1307" width="12.125" style="3633" bestFit="1" customWidth="1"/>
    <col min="1308" max="1536" width="9" style="3633"/>
    <col min="1537" max="1537" width="3.5" style="3633" bestFit="1" customWidth="1"/>
    <col min="1538" max="1538" width="6.5" style="3633" bestFit="1" customWidth="1"/>
    <col min="1539" max="1539" width="7.5" style="3633" bestFit="1" customWidth="1"/>
    <col min="1540" max="1540" width="11" style="3633" customWidth="1"/>
    <col min="1541" max="1541" width="12" style="3633" bestFit="1" customWidth="1"/>
    <col min="1542" max="1542" width="12.625" style="3633" bestFit="1" customWidth="1"/>
    <col min="1543" max="1543" width="12" style="3633" bestFit="1" customWidth="1"/>
    <col min="1544" max="1544" width="48" style="3633" bestFit="1" customWidth="1"/>
    <col min="1545" max="1545" width="31.625" style="3633" bestFit="1" customWidth="1"/>
    <col min="1546" max="1546" width="17" style="3633" bestFit="1" customWidth="1"/>
    <col min="1547" max="1547" width="13.875" style="3633" bestFit="1" customWidth="1"/>
    <col min="1548" max="1548" width="15" style="3633" bestFit="1" customWidth="1"/>
    <col min="1549" max="1549" width="14.5" style="3633" bestFit="1" customWidth="1"/>
    <col min="1550" max="1552" width="11.5" style="3633" bestFit="1" customWidth="1"/>
    <col min="1553" max="1553" width="15.125" style="3633" bestFit="1" customWidth="1"/>
    <col min="1554" max="1554" width="11.5" style="3633" bestFit="1" customWidth="1"/>
    <col min="1555" max="1555" width="12.625" style="3633" bestFit="1" customWidth="1"/>
    <col min="1556" max="1556" width="10.25" style="3633" bestFit="1" customWidth="1"/>
    <col min="1557" max="1557" width="17" style="3633" bestFit="1" customWidth="1"/>
    <col min="1558" max="1558" width="18.25" style="3633" bestFit="1" customWidth="1"/>
    <col min="1559" max="1559" width="55.625" style="3633" customWidth="1"/>
    <col min="1560" max="1560" width="43.875" style="3633" bestFit="1" customWidth="1"/>
    <col min="1561" max="1561" width="19.5" style="3633" bestFit="1" customWidth="1"/>
    <col min="1562" max="1562" width="9" style="3633"/>
    <col min="1563" max="1563" width="12.125" style="3633" bestFit="1" customWidth="1"/>
    <col min="1564" max="1792" width="9" style="3633"/>
    <col min="1793" max="1793" width="3.5" style="3633" bestFit="1" customWidth="1"/>
    <col min="1794" max="1794" width="6.5" style="3633" bestFit="1" customWidth="1"/>
    <col min="1795" max="1795" width="7.5" style="3633" bestFit="1" customWidth="1"/>
    <col min="1796" max="1796" width="11" style="3633" customWidth="1"/>
    <col min="1797" max="1797" width="12" style="3633" bestFit="1" customWidth="1"/>
    <col min="1798" max="1798" width="12.625" style="3633" bestFit="1" customWidth="1"/>
    <col min="1799" max="1799" width="12" style="3633" bestFit="1" customWidth="1"/>
    <col min="1800" max="1800" width="48" style="3633" bestFit="1" customWidth="1"/>
    <col min="1801" max="1801" width="31.625" style="3633" bestFit="1" customWidth="1"/>
    <col min="1802" max="1802" width="17" style="3633" bestFit="1" customWidth="1"/>
    <col min="1803" max="1803" width="13.875" style="3633" bestFit="1" customWidth="1"/>
    <col min="1804" max="1804" width="15" style="3633" bestFit="1" customWidth="1"/>
    <col min="1805" max="1805" width="14.5" style="3633" bestFit="1" customWidth="1"/>
    <col min="1806" max="1808" width="11.5" style="3633" bestFit="1" customWidth="1"/>
    <col min="1809" max="1809" width="15.125" style="3633" bestFit="1" customWidth="1"/>
    <col min="1810" max="1810" width="11.5" style="3633" bestFit="1" customWidth="1"/>
    <col min="1811" max="1811" width="12.625" style="3633" bestFit="1" customWidth="1"/>
    <col min="1812" max="1812" width="10.25" style="3633" bestFit="1" customWidth="1"/>
    <col min="1813" max="1813" width="17" style="3633" bestFit="1" customWidth="1"/>
    <col min="1814" max="1814" width="18.25" style="3633" bestFit="1" customWidth="1"/>
    <col min="1815" max="1815" width="55.625" style="3633" customWidth="1"/>
    <col min="1816" max="1816" width="43.875" style="3633" bestFit="1" customWidth="1"/>
    <col min="1817" max="1817" width="19.5" style="3633" bestFit="1" customWidth="1"/>
    <col min="1818" max="1818" width="9" style="3633"/>
    <col min="1819" max="1819" width="12.125" style="3633" bestFit="1" customWidth="1"/>
    <col min="1820" max="2048" width="9" style="3633"/>
    <col min="2049" max="2049" width="3.5" style="3633" bestFit="1" customWidth="1"/>
    <col min="2050" max="2050" width="6.5" style="3633" bestFit="1" customWidth="1"/>
    <col min="2051" max="2051" width="7.5" style="3633" bestFit="1" customWidth="1"/>
    <col min="2052" max="2052" width="11" style="3633" customWidth="1"/>
    <col min="2053" max="2053" width="12" style="3633" bestFit="1" customWidth="1"/>
    <col min="2054" max="2054" width="12.625" style="3633" bestFit="1" customWidth="1"/>
    <col min="2055" max="2055" width="12" style="3633" bestFit="1" customWidth="1"/>
    <col min="2056" max="2056" width="48" style="3633" bestFit="1" customWidth="1"/>
    <col min="2057" max="2057" width="31.625" style="3633" bestFit="1" customWidth="1"/>
    <col min="2058" max="2058" width="17" style="3633" bestFit="1" customWidth="1"/>
    <col min="2059" max="2059" width="13.875" style="3633" bestFit="1" customWidth="1"/>
    <col min="2060" max="2060" width="15" style="3633" bestFit="1" customWidth="1"/>
    <col min="2061" max="2061" width="14.5" style="3633" bestFit="1" customWidth="1"/>
    <col min="2062" max="2064" width="11.5" style="3633" bestFit="1" customWidth="1"/>
    <col min="2065" max="2065" width="15.125" style="3633" bestFit="1" customWidth="1"/>
    <col min="2066" max="2066" width="11.5" style="3633" bestFit="1" customWidth="1"/>
    <col min="2067" max="2067" width="12.625" style="3633" bestFit="1" customWidth="1"/>
    <col min="2068" max="2068" width="10.25" style="3633" bestFit="1" customWidth="1"/>
    <col min="2069" max="2069" width="17" style="3633" bestFit="1" customWidth="1"/>
    <col min="2070" max="2070" width="18.25" style="3633" bestFit="1" customWidth="1"/>
    <col min="2071" max="2071" width="55.625" style="3633" customWidth="1"/>
    <col min="2072" max="2072" width="43.875" style="3633" bestFit="1" customWidth="1"/>
    <col min="2073" max="2073" width="19.5" style="3633" bestFit="1" customWidth="1"/>
    <col min="2074" max="2074" width="9" style="3633"/>
    <col min="2075" max="2075" width="12.125" style="3633" bestFit="1" customWidth="1"/>
    <col min="2076" max="2304" width="9" style="3633"/>
    <col min="2305" max="2305" width="3.5" style="3633" bestFit="1" customWidth="1"/>
    <col min="2306" max="2306" width="6.5" style="3633" bestFit="1" customWidth="1"/>
    <col min="2307" max="2307" width="7.5" style="3633" bestFit="1" customWidth="1"/>
    <col min="2308" max="2308" width="11" style="3633" customWidth="1"/>
    <col min="2309" max="2309" width="12" style="3633" bestFit="1" customWidth="1"/>
    <col min="2310" max="2310" width="12.625" style="3633" bestFit="1" customWidth="1"/>
    <col min="2311" max="2311" width="12" style="3633" bestFit="1" customWidth="1"/>
    <col min="2312" max="2312" width="48" style="3633" bestFit="1" customWidth="1"/>
    <col min="2313" max="2313" width="31.625" style="3633" bestFit="1" customWidth="1"/>
    <col min="2314" max="2314" width="17" style="3633" bestFit="1" customWidth="1"/>
    <col min="2315" max="2315" width="13.875" style="3633" bestFit="1" customWidth="1"/>
    <col min="2316" max="2316" width="15" style="3633" bestFit="1" customWidth="1"/>
    <col min="2317" max="2317" width="14.5" style="3633" bestFit="1" customWidth="1"/>
    <col min="2318" max="2320" width="11.5" style="3633" bestFit="1" customWidth="1"/>
    <col min="2321" max="2321" width="15.125" style="3633" bestFit="1" customWidth="1"/>
    <col min="2322" max="2322" width="11.5" style="3633" bestFit="1" customWidth="1"/>
    <col min="2323" max="2323" width="12.625" style="3633" bestFit="1" customWidth="1"/>
    <col min="2324" max="2324" width="10.25" style="3633" bestFit="1" customWidth="1"/>
    <col min="2325" max="2325" width="17" style="3633" bestFit="1" customWidth="1"/>
    <col min="2326" max="2326" width="18.25" style="3633" bestFit="1" customWidth="1"/>
    <col min="2327" max="2327" width="55.625" style="3633" customWidth="1"/>
    <col min="2328" max="2328" width="43.875" style="3633" bestFit="1" customWidth="1"/>
    <col min="2329" max="2329" width="19.5" style="3633" bestFit="1" customWidth="1"/>
    <col min="2330" max="2330" width="9" style="3633"/>
    <col min="2331" max="2331" width="12.125" style="3633" bestFit="1" customWidth="1"/>
    <col min="2332" max="2560" width="9" style="3633"/>
    <col min="2561" max="2561" width="3.5" style="3633" bestFit="1" customWidth="1"/>
    <col min="2562" max="2562" width="6.5" style="3633" bestFit="1" customWidth="1"/>
    <col min="2563" max="2563" width="7.5" style="3633" bestFit="1" customWidth="1"/>
    <col min="2564" max="2564" width="11" style="3633" customWidth="1"/>
    <col min="2565" max="2565" width="12" style="3633" bestFit="1" customWidth="1"/>
    <col min="2566" max="2566" width="12.625" style="3633" bestFit="1" customWidth="1"/>
    <col min="2567" max="2567" width="12" style="3633" bestFit="1" customWidth="1"/>
    <col min="2568" max="2568" width="48" style="3633" bestFit="1" customWidth="1"/>
    <col min="2569" max="2569" width="31.625" style="3633" bestFit="1" customWidth="1"/>
    <col min="2570" max="2570" width="17" style="3633" bestFit="1" customWidth="1"/>
    <col min="2571" max="2571" width="13.875" style="3633" bestFit="1" customWidth="1"/>
    <col min="2572" max="2572" width="15" style="3633" bestFit="1" customWidth="1"/>
    <col min="2573" max="2573" width="14.5" style="3633" bestFit="1" customWidth="1"/>
    <col min="2574" max="2576" width="11.5" style="3633" bestFit="1" customWidth="1"/>
    <col min="2577" max="2577" width="15.125" style="3633" bestFit="1" customWidth="1"/>
    <col min="2578" max="2578" width="11.5" style="3633" bestFit="1" customWidth="1"/>
    <col min="2579" max="2579" width="12.625" style="3633" bestFit="1" customWidth="1"/>
    <col min="2580" max="2580" width="10.25" style="3633" bestFit="1" customWidth="1"/>
    <col min="2581" max="2581" width="17" style="3633" bestFit="1" customWidth="1"/>
    <col min="2582" max="2582" width="18.25" style="3633" bestFit="1" customWidth="1"/>
    <col min="2583" max="2583" width="55.625" style="3633" customWidth="1"/>
    <col min="2584" max="2584" width="43.875" style="3633" bestFit="1" customWidth="1"/>
    <col min="2585" max="2585" width="19.5" style="3633" bestFit="1" customWidth="1"/>
    <col min="2586" max="2586" width="9" style="3633"/>
    <col min="2587" max="2587" width="12.125" style="3633" bestFit="1" customWidth="1"/>
    <col min="2588" max="2816" width="9" style="3633"/>
    <col min="2817" max="2817" width="3.5" style="3633" bestFit="1" customWidth="1"/>
    <col min="2818" max="2818" width="6.5" style="3633" bestFit="1" customWidth="1"/>
    <col min="2819" max="2819" width="7.5" style="3633" bestFit="1" customWidth="1"/>
    <col min="2820" max="2820" width="11" style="3633" customWidth="1"/>
    <col min="2821" max="2821" width="12" style="3633" bestFit="1" customWidth="1"/>
    <col min="2822" max="2822" width="12.625" style="3633" bestFit="1" customWidth="1"/>
    <col min="2823" max="2823" width="12" style="3633" bestFit="1" customWidth="1"/>
    <col min="2824" max="2824" width="48" style="3633" bestFit="1" customWidth="1"/>
    <col min="2825" max="2825" width="31.625" style="3633" bestFit="1" customWidth="1"/>
    <col min="2826" max="2826" width="17" style="3633" bestFit="1" customWidth="1"/>
    <col min="2827" max="2827" width="13.875" style="3633" bestFit="1" customWidth="1"/>
    <col min="2828" max="2828" width="15" style="3633" bestFit="1" customWidth="1"/>
    <col min="2829" max="2829" width="14.5" style="3633" bestFit="1" customWidth="1"/>
    <col min="2830" max="2832" width="11.5" style="3633" bestFit="1" customWidth="1"/>
    <col min="2833" max="2833" width="15.125" style="3633" bestFit="1" customWidth="1"/>
    <col min="2834" max="2834" width="11.5" style="3633" bestFit="1" customWidth="1"/>
    <col min="2835" max="2835" width="12.625" style="3633" bestFit="1" customWidth="1"/>
    <col min="2836" max="2836" width="10.25" style="3633" bestFit="1" customWidth="1"/>
    <col min="2837" max="2837" width="17" style="3633" bestFit="1" customWidth="1"/>
    <col min="2838" max="2838" width="18.25" style="3633" bestFit="1" customWidth="1"/>
    <col min="2839" max="2839" width="55.625" style="3633" customWidth="1"/>
    <col min="2840" max="2840" width="43.875" style="3633" bestFit="1" customWidth="1"/>
    <col min="2841" max="2841" width="19.5" style="3633" bestFit="1" customWidth="1"/>
    <col min="2842" max="2842" width="9" style="3633"/>
    <col min="2843" max="2843" width="12.125" style="3633" bestFit="1" customWidth="1"/>
    <col min="2844" max="3072" width="9" style="3633"/>
    <col min="3073" max="3073" width="3.5" style="3633" bestFit="1" customWidth="1"/>
    <col min="3074" max="3074" width="6.5" style="3633" bestFit="1" customWidth="1"/>
    <col min="3075" max="3075" width="7.5" style="3633" bestFit="1" customWidth="1"/>
    <col min="3076" max="3076" width="11" style="3633" customWidth="1"/>
    <col min="3077" max="3077" width="12" style="3633" bestFit="1" customWidth="1"/>
    <col min="3078" max="3078" width="12.625" style="3633" bestFit="1" customWidth="1"/>
    <col min="3079" max="3079" width="12" style="3633" bestFit="1" customWidth="1"/>
    <col min="3080" max="3080" width="48" style="3633" bestFit="1" customWidth="1"/>
    <col min="3081" max="3081" width="31.625" style="3633" bestFit="1" customWidth="1"/>
    <col min="3082" max="3082" width="17" style="3633" bestFit="1" customWidth="1"/>
    <col min="3083" max="3083" width="13.875" style="3633" bestFit="1" customWidth="1"/>
    <col min="3084" max="3084" width="15" style="3633" bestFit="1" customWidth="1"/>
    <col min="3085" max="3085" width="14.5" style="3633" bestFit="1" customWidth="1"/>
    <col min="3086" max="3088" width="11.5" style="3633" bestFit="1" customWidth="1"/>
    <col min="3089" max="3089" width="15.125" style="3633" bestFit="1" customWidth="1"/>
    <col min="3090" max="3090" width="11.5" style="3633" bestFit="1" customWidth="1"/>
    <col min="3091" max="3091" width="12.625" style="3633" bestFit="1" customWidth="1"/>
    <col min="3092" max="3092" width="10.25" style="3633" bestFit="1" customWidth="1"/>
    <col min="3093" max="3093" width="17" style="3633" bestFit="1" customWidth="1"/>
    <col min="3094" max="3094" width="18.25" style="3633" bestFit="1" customWidth="1"/>
    <col min="3095" max="3095" width="55.625" style="3633" customWidth="1"/>
    <col min="3096" max="3096" width="43.875" style="3633" bestFit="1" customWidth="1"/>
    <col min="3097" max="3097" width="19.5" style="3633" bestFit="1" customWidth="1"/>
    <col min="3098" max="3098" width="9" style="3633"/>
    <col min="3099" max="3099" width="12.125" style="3633" bestFit="1" customWidth="1"/>
    <col min="3100" max="3328" width="9" style="3633"/>
    <col min="3329" max="3329" width="3.5" style="3633" bestFit="1" customWidth="1"/>
    <col min="3330" max="3330" width="6.5" style="3633" bestFit="1" customWidth="1"/>
    <col min="3331" max="3331" width="7.5" style="3633" bestFit="1" customWidth="1"/>
    <col min="3332" max="3332" width="11" style="3633" customWidth="1"/>
    <col min="3333" max="3333" width="12" style="3633" bestFit="1" customWidth="1"/>
    <col min="3334" max="3334" width="12.625" style="3633" bestFit="1" customWidth="1"/>
    <col min="3335" max="3335" width="12" style="3633" bestFit="1" customWidth="1"/>
    <col min="3336" max="3336" width="48" style="3633" bestFit="1" customWidth="1"/>
    <col min="3337" max="3337" width="31.625" style="3633" bestFit="1" customWidth="1"/>
    <col min="3338" max="3338" width="17" style="3633" bestFit="1" customWidth="1"/>
    <col min="3339" max="3339" width="13.875" style="3633" bestFit="1" customWidth="1"/>
    <col min="3340" max="3340" width="15" style="3633" bestFit="1" customWidth="1"/>
    <col min="3341" max="3341" width="14.5" style="3633" bestFit="1" customWidth="1"/>
    <col min="3342" max="3344" width="11.5" style="3633" bestFit="1" customWidth="1"/>
    <col min="3345" max="3345" width="15.125" style="3633" bestFit="1" customWidth="1"/>
    <col min="3346" max="3346" width="11.5" style="3633" bestFit="1" customWidth="1"/>
    <col min="3347" max="3347" width="12.625" style="3633" bestFit="1" customWidth="1"/>
    <col min="3348" max="3348" width="10.25" style="3633" bestFit="1" customWidth="1"/>
    <col min="3349" max="3349" width="17" style="3633" bestFit="1" customWidth="1"/>
    <col min="3350" max="3350" width="18.25" style="3633" bestFit="1" customWidth="1"/>
    <col min="3351" max="3351" width="55.625" style="3633" customWidth="1"/>
    <col min="3352" max="3352" width="43.875" style="3633" bestFit="1" customWidth="1"/>
    <col min="3353" max="3353" width="19.5" style="3633" bestFit="1" customWidth="1"/>
    <col min="3354" max="3354" width="9" style="3633"/>
    <col min="3355" max="3355" width="12.125" style="3633" bestFit="1" customWidth="1"/>
    <col min="3356" max="3584" width="9" style="3633"/>
    <col min="3585" max="3585" width="3.5" style="3633" bestFit="1" customWidth="1"/>
    <col min="3586" max="3586" width="6.5" style="3633" bestFit="1" customWidth="1"/>
    <col min="3587" max="3587" width="7.5" style="3633" bestFit="1" customWidth="1"/>
    <col min="3588" max="3588" width="11" style="3633" customWidth="1"/>
    <col min="3589" max="3589" width="12" style="3633" bestFit="1" customWidth="1"/>
    <col min="3590" max="3590" width="12.625" style="3633" bestFit="1" customWidth="1"/>
    <col min="3591" max="3591" width="12" style="3633" bestFit="1" customWidth="1"/>
    <col min="3592" max="3592" width="48" style="3633" bestFit="1" customWidth="1"/>
    <col min="3593" max="3593" width="31.625" style="3633" bestFit="1" customWidth="1"/>
    <col min="3594" max="3594" width="17" style="3633" bestFit="1" customWidth="1"/>
    <col min="3595" max="3595" width="13.875" style="3633" bestFit="1" customWidth="1"/>
    <col min="3596" max="3596" width="15" style="3633" bestFit="1" customWidth="1"/>
    <col min="3597" max="3597" width="14.5" style="3633" bestFit="1" customWidth="1"/>
    <col min="3598" max="3600" width="11.5" style="3633" bestFit="1" customWidth="1"/>
    <col min="3601" max="3601" width="15.125" style="3633" bestFit="1" customWidth="1"/>
    <col min="3602" max="3602" width="11.5" style="3633" bestFit="1" customWidth="1"/>
    <col min="3603" max="3603" width="12.625" style="3633" bestFit="1" customWidth="1"/>
    <col min="3604" max="3604" width="10.25" style="3633" bestFit="1" customWidth="1"/>
    <col min="3605" max="3605" width="17" style="3633" bestFit="1" customWidth="1"/>
    <col min="3606" max="3606" width="18.25" style="3633" bestFit="1" customWidth="1"/>
    <col min="3607" max="3607" width="55.625" style="3633" customWidth="1"/>
    <col min="3608" max="3608" width="43.875" style="3633" bestFit="1" customWidth="1"/>
    <col min="3609" max="3609" width="19.5" style="3633" bestFit="1" customWidth="1"/>
    <col min="3610" max="3610" width="9" style="3633"/>
    <col min="3611" max="3611" width="12.125" style="3633" bestFit="1" customWidth="1"/>
    <col min="3612" max="3840" width="9" style="3633"/>
    <col min="3841" max="3841" width="3.5" style="3633" bestFit="1" customWidth="1"/>
    <col min="3842" max="3842" width="6.5" style="3633" bestFit="1" customWidth="1"/>
    <col min="3843" max="3843" width="7.5" style="3633" bestFit="1" customWidth="1"/>
    <col min="3844" max="3844" width="11" style="3633" customWidth="1"/>
    <col min="3845" max="3845" width="12" style="3633" bestFit="1" customWidth="1"/>
    <col min="3846" max="3846" width="12.625" style="3633" bestFit="1" customWidth="1"/>
    <col min="3847" max="3847" width="12" style="3633" bestFit="1" customWidth="1"/>
    <col min="3848" max="3848" width="48" style="3633" bestFit="1" customWidth="1"/>
    <col min="3849" max="3849" width="31.625" style="3633" bestFit="1" customWidth="1"/>
    <col min="3850" max="3850" width="17" style="3633" bestFit="1" customWidth="1"/>
    <col min="3851" max="3851" width="13.875" style="3633" bestFit="1" customWidth="1"/>
    <col min="3852" max="3852" width="15" style="3633" bestFit="1" customWidth="1"/>
    <col min="3853" max="3853" width="14.5" style="3633" bestFit="1" customWidth="1"/>
    <col min="3854" max="3856" width="11.5" style="3633" bestFit="1" customWidth="1"/>
    <col min="3857" max="3857" width="15.125" style="3633" bestFit="1" customWidth="1"/>
    <col min="3858" max="3858" width="11.5" style="3633" bestFit="1" customWidth="1"/>
    <col min="3859" max="3859" width="12.625" style="3633" bestFit="1" customWidth="1"/>
    <col min="3860" max="3860" width="10.25" style="3633" bestFit="1" customWidth="1"/>
    <col min="3861" max="3861" width="17" style="3633" bestFit="1" customWidth="1"/>
    <col min="3862" max="3862" width="18.25" style="3633" bestFit="1" customWidth="1"/>
    <col min="3863" max="3863" width="55.625" style="3633" customWidth="1"/>
    <col min="3864" max="3864" width="43.875" style="3633" bestFit="1" customWidth="1"/>
    <col min="3865" max="3865" width="19.5" style="3633" bestFit="1" customWidth="1"/>
    <col min="3866" max="3866" width="9" style="3633"/>
    <col min="3867" max="3867" width="12.125" style="3633" bestFit="1" customWidth="1"/>
    <col min="3868" max="4096" width="9" style="3633"/>
    <col min="4097" max="4097" width="3.5" style="3633" bestFit="1" customWidth="1"/>
    <col min="4098" max="4098" width="6.5" style="3633" bestFit="1" customWidth="1"/>
    <col min="4099" max="4099" width="7.5" style="3633" bestFit="1" customWidth="1"/>
    <col min="4100" max="4100" width="11" style="3633" customWidth="1"/>
    <col min="4101" max="4101" width="12" style="3633" bestFit="1" customWidth="1"/>
    <col min="4102" max="4102" width="12.625" style="3633" bestFit="1" customWidth="1"/>
    <col min="4103" max="4103" width="12" style="3633" bestFit="1" customWidth="1"/>
    <col min="4104" max="4104" width="48" style="3633" bestFit="1" customWidth="1"/>
    <col min="4105" max="4105" width="31.625" style="3633" bestFit="1" customWidth="1"/>
    <col min="4106" max="4106" width="17" style="3633" bestFit="1" customWidth="1"/>
    <col min="4107" max="4107" width="13.875" style="3633" bestFit="1" customWidth="1"/>
    <col min="4108" max="4108" width="15" style="3633" bestFit="1" customWidth="1"/>
    <col min="4109" max="4109" width="14.5" style="3633" bestFit="1" customWidth="1"/>
    <col min="4110" max="4112" width="11.5" style="3633" bestFit="1" customWidth="1"/>
    <col min="4113" max="4113" width="15.125" style="3633" bestFit="1" customWidth="1"/>
    <col min="4114" max="4114" width="11.5" style="3633" bestFit="1" customWidth="1"/>
    <col min="4115" max="4115" width="12.625" style="3633" bestFit="1" customWidth="1"/>
    <col min="4116" max="4116" width="10.25" style="3633" bestFit="1" customWidth="1"/>
    <col min="4117" max="4117" width="17" style="3633" bestFit="1" customWidth="1"/>
    <col min="4118" max="4118" width="18.25" style="3633" bestFit="1" customWidth="1"/>
    <col min="4119" max="4119" width="55.625" style="3633" customWidth="1"/>
    <col min="4120" max="4120" width="43.875" style="3633" bestFit="1" customWidth="1"/>
    <col min="4121" max="4121" width="19.5" style="3633" bestFit="1" customWidth="1"/>
    <col min="4122" max="4122" width="9" style="3633"/>
    <col min="4123" max="4123" width="12.125" style="3633" bestFit="1" customWidth="1"/>
    <col min="4124" max="4352" width="9" style="3633"/>
    <col min="4353" max="4353" width="3.5" style="3633" bestFit="1" customWidth="1"/>
    <col min="4354" max="4354" width="6.5" style="3633" bestFit="1" customWidth="1"/>
    <col min="4355" max="4355" width="7.5" style="3633" bestFit="1" customWidth="1"/>
    <col min="4356" max="4356" width="11" style="3633" customWidth="1"/>
    <col min="4357" max="4357" width="12" style="3633" bestFit="1" customWidth="1"/>
    <col min="4358" max="4358" width="12.625" style="3633" bestFit="1" customWidth="1"/>
    <col min="4359" max="4359" width="12" style="3633" bestFit="1" customWidth="1"/>
    <col min="4360" max="4360" width="48" style="3633" bestFit="1" customWidth="1"/>
    <col min="4361" max="4361" width="31.625" style="3633" bestFit="1" customWidth="1"/>
    <col min="4362" max="4362" width="17" style="3633" bestFit="1" customWidth="1"/>
    <col min="4363" max="4363" width="13.875" style="3633" bestFit="1" customWidth="1"/>
    <col min="4364" max="4364" width="15" style="3633" bestFit="1" customWidth="1"/>
    <col min="4365" max="4365" width="14.5" style="3633" bestFit="1" customWidth="1"/>
    <col min="4366" max="4368" width="11.5" style="3633" bestFit="1" customWidth="1"/>
    <col min="4369" max="4369" width="15.125" style="3633" bestFit="1" customWidth="1"/>
    <col min="4370" max="4370" width="11.5" style="3633" bestFit="1" customWidth="1"/>
    <col min="4371" max="4371" width="12.625" style="3633" bestFit="1" customWidth="1"/>
    <col min="4372" max="4372" width="10.25" style="3633" bestFit="1" customWidth="1"/>
    <col min="4373" max="4373" width="17" style="3633" bestFit="1" customWidth="1"/>
    <col min="4374" max="4374" width="18.25" style="3633" bestFit="1" customWidth="1"/>
    <col min="4375" max="4375" width="55.625" style="3633" customWidth="1"/>
    <col min="4376" max="4376" width="43.875" style="3633" bestFit="1" customWidth="1"/>
    <col min="4377" max="4377" width="19.5" style="3633" bestFit="1" customWidth="1"/>
    <col min="4378" max="4378" width="9" style="3633"/>
    <col min="4379" max="4379" width="12.125" style="3633" bestFit="1" customWidth="1"/>
    <col min="4380" max="4608" width="9" style="3633"/>
    <col min="4609" max="4609" width="3.5" style="3633" bestFit="1" customWidth="1"/>
    <col min="4610" max="4610" width="6.5" style="3633" bestFit="1" customWidth="1"/>
    <col min="4611" max="4611" width="7.5" style="3633" bestFit="1" customWidth="1"/>
    <col min="4612" max="4612" width="11" style="3633" customWidth="1"/>
    <col min="4613" max="4613" width="12" style="3633" bestFit="1" customWidth="1"/>
    <col min="4614" max="4614" width="12.625" style="3633" bestFit="1" customWidth="1"/>
    <col min="4615" max="4615" width="12" style="3633" bestFit="1" customWidth="1"/>
    <col min="4616" max="4616" width="48" style="3633" bestFit="1" customWidth="1"/>
    <col min="4617" max="4617" width="31.625" style="3633" bestFit="1" customWidth="1"/>
    <col min="4618" max="4618" width="17" style="3633" bestFit="1" customWidth="1"/>
    <col min="4619" max="4619" width="13.875" style="3633" bestFit="1" customWidth="1"/>
    <col min="4620" max="4620" width="15" style="3633" bestFit="1" customWidth="1"/>
    <col min="4621" max="4621" width="14.5" style="3633" bestFit="1" customWidth="1"/>
    <col min="4622" max="4624" width="11.5" style="3633" bestFit="1" customWidth="1"/>
    <col min="4625" max="4625" width="15.125" style="3633" bestFit="1" customWidth="1"/>
    <col min="4626" max="4626" width="11.5" style="3633" bestFit="1" customWidth="1"/>
    <col min="4627" max="4627" width="12.625" style="3633" bestFit="1" customWidth="1"/>
    <col min="4628" max="4628" width="10.25" style="3633" bestFit="1" customWidth="1"/>
    <col min="4629" max="4629" width="17" style="3633" bestFit="1" customWidth="1"/>
    <col min="4630" max="4630" width="18.25" style="3633" bestFit="1" customWidth="1"/>
    <col min="4631" max="4631" width="55.625" style="3633" customWidth="1"/>
    <col min="4632" max="4632" width="43.875" style="3633" bestFit="1" customWidth="1"/>
    <col min="4633" max="4633" width="19.5" style="3633" bestFit="1" customWidth="1"/>
    <col min="4634" max="4634" width="9" style="3633"/>
    <col min="4635" max="4635" width="12.125" style="3633" bestFit="1" customWidth="1"/>
    <col min="4636" max="4864" width="9" style="3633"/>
    <col min="4865" max="4865" width="3.5" style="3633" bestFit="1" customWidth="1"/>
    <col min="4866" max="4866" width="6.5" style="3633" bestFit="1" customWidth="1"/>
    <col min="4867" max="4867" width="7.5" style="3633" bestFit="1" customWidth="1"/>
    <col min="4868" max="4868" width="11" style="3633" customWidth="1"/>
    <col min="4869" max="4869" width="12" style="3633" bestFit="1" customWidth="1"/>
    <col min="4870" max="4870" width="12.625" style="3633" bestFit="1" customWidth="1"/>
    <col min="4871" max="4871" width="12" style="3633" bestFit="1" customWidth="1"/>
    <col min="4872" max="4872" width="48" style="3633" bestFit="1" customWidth="1"/>
    <col min="4873" max="4873" width="31.625" style="3633" bestFit="1" customWidth="1"/>
    <col min="4874" max="4874" width="17" style="3633" bestFit="1" customWidth="1"/>
    <col min="4875" max="4875" width="13.875" style="3633" bestFit="1" customWidth="1"/>
    <col min="4876" max="4876" width="15" style="3633" bestFit="1" customWidth="1"/>
    <col min="4877" max="4877" width="14.5" style="3633" bestFit="1" customWidth="1"/>
    <col min="4878" max="4880" width="11.5" style="3633" bestFit="1" customWidth="1"/>
    <col min="4881" max="4881" width="15.125" style="3633" bestFit="1" customWidth="1"/>
    <col min="4882" max="4882" width="11.5" style="3633" bestFit="1" customWidth="1"/>
    <col min="4883" max="4883" width="12.625" style="3633" bestFit="1" customWidth="1"/>
    <col min="4884" max="4884" width="10.25" style="3633" bestFit="1" customWidth="1"/>
    <col min="4885" max="4885" width="17" style="3633" bestFit="1" customWidth="1"/>
    <col min="4886" max="4886" width="18.25" style="3633" bestFit="1" customWidth="1"/>
    <col min="4887" max="4887" width="55.625" style="3633" customWidth="1"/>
    <col min="4888" max="4888" width="43.875" style="3633" bestFit="1" customWidth="1"/>
    <col min="4889" max="4889" width="19.5" style="3633" bestFit="1" customWidth="1"/>
    <col min="4890" max="4890" width="9" style="3633"/>
    <col min="4891" max="4891" width="12.125" style="3633" bestFit="1" customWidth="1"/>
    <col min="4892" max="5120" width="9" style="3633"/>
    <col min="5121" max="5121" width="3.5" style="3633" bestFit="1" customWidth="1"/>
    <col min="5122" max="5122" width="6.5" style="3633" bestFit="1" customWidth="1"/>
    <col min="5123" max="5123" width="7.5" style="3633" bestFit="1" customWidth="1"/>
    <col min="5124" max="5124" width="11" style="3633" customWidth="1"/>
    <col min="5125" max="5125" width="12" style="3633" bestFit="1" customWidth="1"/>
    <col min="5126" max="5126" width="12.625" style="3633" bestFit="1" customWidth="1"/>
    <col min="5127" max="5127" width="12" style="3633" bestFit="1" customWidth="1"/>
    <col min="5128" max="5128" width="48" style="3633" bestFit="1" customWidth="1"/>
    <col min="5129" max="5129" width="31.625" style="3633" bestFit="1" customWidth="1"/>
    <col min="5130" max="5130" width="17" style="3633" bestFit="1" customWidth="1"/>
    <col min="5131" max="5131" width="13.875" style="3633" bestFit="1" customWidth="1"/>
    <col min="5132" max="5132" width="15" style="3633" bestFit="1" customWidth="1"/>
    <col min="5133" max="5133" width="14.5" style="3633" bestFit="1" customWidth="1"/>
    <col min="5134" max="5136" width="11.5" style="3633" bestFit="1" customWidth="1"/>
    <col min="5137" max="5137" width="15.125" style="3633" bestFit="1" customWidth="1"/>
    <col min="5138" max="5138" width="11.5" style="3633" bestFit="1" customWidth="1"/>
    <col min="5139" max="5139" width="12.625" style="3633" bestFit="1" customWidth="1"/>
    <col min="5140" max="5140" width="10.25" style="3633" bestFit="1" customWidth="1"/>
    <col min="5141" max="5141" width="17" style="3633" bestFit="1" customWidth="1"/>
    <col min="5142" max="5142" width="18.25" style="3633" bestFit="1" customWidth="1"/>
    <col min="5143" max="5143" width="55.625" style="3633" customWidth="1"/>
    <col min="5144" max="5144" width="43.875" style="3633" bestFit="1" customWidth="1"/>
    <col min="5145" max="5145" width="19.5" style="3633" bestFit="1" customWidth="1"/>
    <col min="5146" max="5146" width="9" style="3633"/>
    <col min="5147" max="5147" width="12.125" style="3633" bestFit="1" customWidth="1"/>
    <col min="5148" max="5376" width="9" style="3633"/>
    <col min="5377" max="5377" width="3.5" style="3633" bestFit="1" customWidth="1"/>
    <col min="5378" max="5378" width="6.5" style="3633" bestFit="1" customWidth="1"/>
    <col min="5379" max="5379" width="7.5" style="3633" bestFit="1" customWidth="1"/>
    <col min="5380" max="5380" width="11" style="3633" customWidth="1"/>
    <col min="5381" max="5381" width="12" style="3633" bestFit="1" customWidth="1"/>
    <col min="5382" max="5382" width="12.625" style="3633" bestFit="1" customWidth="1"/>
    <col min="5383" max="5383" width="12" style="3633" bestFit="1" customWidth="1"/>
    <col min="5384" max="5384" width="48" style="3633" bestFit="1" customWidth="1"/>
    <col min="5385" max="5385" width="31.625" style="3633" bestFit="1" customWidth="1"/>
    <col min="5386" max="5386" width="17" style="3633" bestFit="1" customWidth="1"/>
    <col min="5387" max="5387" width="13.875" style="3633" bestFit="1" customWidth="1"/>
    <col min="5388" max="5388" width="15" style="3633" bestFit="1" customWidth="1"/>
    <col min="5389" max="5389" width="14.5" style="3633" bestFit="1" customWidth="1"/>
    <col min="5390" max="5392" width="11.5" style="3633" bestFit="1" customWidth="1"/>
    <col min="5393" max="5393" width="15.125" style="3633" bestFit="1" customWidth="1"/>
    <col min="5394" max="5394" width="11.5" style="3633" bestFit="1" customWidth="1"/>
    <col min="5395" max="5395" width="12.625" style="3633" bestFit="1" customWidth="1"/>
    <col min="5396" max="5396" width="10.25" style="3633" bestFit="1" customWidth="1"/>
    <col min="5397" max="5397" width="17" style="3633" bestFit="1" customWidth="1"/>
    <col min="5398" max="5398" width="18.25" style="3633" bestFit="1" customWidth="1"/>
    <col min="5399" max="5399" width="55.625" style="3633" customWidth="1"/>
    <col min="5400" max="5400" width="43.875" style="3633" bestFit="1" customWidth="1"/>
    <col min="5401" max="5401" width="19.5" style="3633" bestFit="1" customWidth="1"/>
    <col min="5402" max="5402" width="9" style="3633"/>
    <col min="5403" max="5403" width="12.125" style="3633" bestFit="1" customWidth="1"/>
    <col min="5404" max="5632" width="9" style="3633"/>
    <col min="5633" max="5633" width="3.5" style="3633" bestFit="1" customWidth="1"/>
    <col min="5634" max="5634" width="6.5" style="3633" bestFit="1" customWidth="1"/>
    <col min="5635" max="5635" width="7.5" style="3633" bestFit="1" customWidth="1"/>
    <col min="5636" max="5636" width="11" style="3633" customWidth="1"/>
    <col min="5637" max="5637" width="12" style="3633" bestFit="1" customWidth="1"/>
    <col min="5638" max="5638" width="12.625" style="3633" bestFit="1" customWidth="1"/>
    <col min="5639" max="5639" width="12" style="3633" bestFit="1" customWidth="1"/>
    <col min="5640" max="5640" width="48" style="3633" bestFit="1" customWidth="1"/>
    <col min="5641" max="5641" width="31.625" style="3633" bestFit="1" customWidth="1"/>
    <col min="5642" max="5642" width="17" style="3633" bestFit="1" customWidth="1"/>
    <col min="5643" max="5643" width="13.875" style="3633" bestFit="1" customWidth="1"/>
    <col min="5644" max="5644" width="15" style="3633" bestFit="1" customWidth="1"/>
    <col min="5645" max="5645" width="14.5" style="3633" bestFit="1" customWidth="1"/>
    <col min="5646" max="5648" width="11.5" style="3633" bestFit="1" customWidth="1"/>
    <col min="5649" max="5649" width="15.125" style="3633" bestFit="1" customWidth="1"/>
    <col min="5650" max="5650" width="11.5" style="3633" bestFit="1" customWidth="1"/>
    <col min="5651" max="5651" width="12.625" style="3633" bestFit="1" customWidth="1"/>
    <col min="5652" max="5652" width="10.25" style="3633" bestFit="1" customWidth="1"/>
    <col min="5653" max="5653" width="17" style="3633" bestFit="1" customWidth="1"/>
    <col min="5654" max="5654" width="18.25" style="3633" bestFit="1" customWidth="1"/>
    <col min="5655" max="5655" width="55.625" style="3633" customWidth="1"/>
    <col min="5656" max="5656" width="43.875" style="3633" bestFit="1" customWidth="1"/>
    <col min="5657" max="5657" width="19.5" style="3633" bestFit="1" customWidth="1"/>
    <col min="5658" max="5658" width="9" style="3633"/>
    <col min="5659" max="5659" width="12.125" style="3633" bestFit="1" customWidth="1"/>
    <col min="5660" max="5888" width="9" style="3633"/>
    <col min="5889" max="5889" width="3.5" style="3633" bestFit="1" customWidth="1"/>
    <col min="5890" max="5890" width="6.5" style="3633" bestFit="1" customWidth="1"/>
    <col min="5891" max="5891" width="7.5" style="3633" bestFit="1" customWidth="1"/>
    <col min="5892" max="5892" width="11" style="3633" customWidth="1"/>
    <col min="5893" max="5893" width="12" style="3633" bestFit="1" customWidth="1"/>
    <col min="5894" max="5894" width="12.625" style="3633" bestFit="1" customWidth="1"/>
    <col min="5895" max="5895" width="12" style="3633" bestFit="1" customWidth="1"/>
    <col min="5896" max="5896" width="48" style="3633" bestFit="1" customWidth="1"/>
    <col min="5897" max="5897" width="31.625" style="3633" bestFit="1" customWidth="1"/>
    <col min="5898" max="5898" width="17" style="3633" bestFit="1" customWidth="1"/>
    <col min="5899" max="5899" width="13.875" style="3633" bestFit="1" customWidth="1"/>
    <col min="5900" max="5900" width="15" style="3633" bestFit="1" customWidth="1"/>
    <col min="5901" max="5901" width="14.5" style="3633" bestFit="1" customWidth="1"/>
    <col min="5902" max="5904" width="11.5" style="3633" bestFit="1" customWidth="1"/>
    <col min="5905" max="5905" width="15.125" style="3633" bestFit="1" customWidth="1"/>
    <col min="5906" max="5906" width="11.5" style="3633" bestFit="1" customWidth="1"/>
    <col min="5907" max="5907" width="12.625" style="3633" bestFit="1" customWidth="1"/>
    <col min="5908" max="5908" width="10.25" style="3633" bestFit="1" customWidth="1"/>
    <col min="5909" max="5909" width="17" style="3633" bestFit="1" customWidth="1"/>
    <col min="5910" max="5910" width="18.25" style="3633" bestFit="1" customWidth="1"/>
    <col min="5911" max="5911" width="55.625" style="3633" customWidth="1"/>
    <col min="5912" max="5912" width="43.875" style="3633" bestFit="1" customWidth="1"/>
    <col min="5913" max="5913" width="19.5" style="3633" bestFit="1" customWidth="1"/>
    <col min="5914" max="5914" width="9" style="3633"/>
    <col min="5915" max="5915" width="12.125" style="3633" bestFit="1" customWidth="1"/>
    <col min="5916" max="6144" width="9" style="3633"/>
    <col min="6145" max="6145" width="3.5" style="3633" bestFit="1" customWidth="1"/>
    <col min="6146" max="6146" width="6.5" style="3633" bestFit="1" customWidth="1"/>
    <col min="6147" max="6147" width="7.5" style="3633" bestFit="1" customWidth="1"/>
    <col min="6148" max="6148" width="11" style="3633" customWidth="1"/>
    <col min="6149" max="6149" width="12" style="3633" bestFit="1" customWidth="1"/>
    <col min="6150" max="6150" width="12.625" style="3633" bestFit="1" customWidth="1"/>
    <col min="6151" max="6151" width="12" style="3633" bestFit="1" customWidth="1"/>
    <col min="6152" max="6152" width="48" style="3633" bestFit="1" customWidth="1"/>
    <col min="6153" max="6153" width="31.625" style="3633" bestFit="1" customWidth="1"/>
    <col min="6154" max="6154" width="17" style="3633" bestFit="1" customWidth="1"/>
    <col min="6155" max="6155" width="13.875" style="3633" bestFit="1" customWidth="1"/>
    <col min="6156" max="6156" width="15" style="3633" bestFit="1" customWidth="1"/>
    <col min="6157" max="6157" width="14.5" style="3633" bestFit="1" customWidth="1"/>
    <col min="6158" max="6160" width="11.5" style="3633" bestFit="1" customWidth="1"/>
    <col min="6161" max="6161" width="15.125" style="3633" bestFit="1" customWidth="1"/>
    <col min="6162" max="6162" width="11.5" style="3633" bestFit="1" customWidth="1"/>
    <col min="6163" max="6163" width="12.625" style="3633" bestFit="1" customWidth="1"/>
    <col min="6164" max="6164" width="10.25" style="3633" bestFit="1" customWidth="1"/>
    <col min="6165" max="6165" width="17" style="3633" bestFit="1" customWidth="1"/>
    <col min="6166" max="6166" width="18.25" style="3633" bestFit="1" customWidth="1"/>
    <col min="6167" max="6167" width="55.625" style="3633" customWidth="1"/>
    <col min="6168" max="6168" width="43.875" style="3633" bestFit="1" customWidth="1"/>
    <col min="6169" max="6169" width="19.5" style="3633" bestFit="1" customWidth="1"/>
    <col min="6170" max="6170" width="9" style="3633"/>
    <col min="6171" max="6171" width="12.125" style="3633" bestFit="1" customWidth="1"/>
    <col min="6172" max="6400" width="9" style="3633"/>
    <col min="6401" max="6401" width="3.5" style="3633" bestFit="1" customWidth="1"/>
    <col min="6402" max="6402" width="6.5" style="3633" bestFit="1" customWidth="1"/>
    <col min="6403" max="6403" width="7.5" style="3633" bestFit="1" customWidth="1"/>
    <col min="6404" max="6404" width="11" style="3633" customWidth="1"/>
    <col min="6405" max="6405" width="12" style="3633" bestFit="1" customWidth="1"/>
    <col min="6406" max="6406" width="12.625" style="3633" bestFit="1" customWidth="1"/>
    <col min="6407" max="6407" width="12" style="3633" bestFit="1" customWidth="1"/>
    <col min="6408" max="6408" width="48" style="3633" bestFit="1" customWidth="1"/>
    <col min="6409" max="6409" width="31.625" style="3633" bestFit="1" customWidth="1"/>
    <col min="6410" max="6410" width="17" style="3633" bestFit="1" customWidth="1"/>
    <col min="6411" max="6411" width="13.875" style="3633" bestFit="1" customWidth="1"/>
    <col min="6412" max="6412" width="15" style="3633" bestFit="1" customWidth="1"/>
    <col min="6413" max="6413" width="14.5" style="3633" bestFit="1" customWidth="1"/>
    <col min="6414" max="6416" width="11.5" style="3633" bestFit="1" customWidth="1"/>
    <col min="6417" max="6417" width="15.125" style="3633" bestFit="1" customWidth="1"/>
    <col min="6418" max="6418" width="11.5" style="3633" bestFit="1" customWidth="1"/>
    <col min="6419" max="6419" width="12.625" style="3633" bestFit="1" customWidth="1"/>
    <col min="6420" max="6420" width="10.25" style="3633" bestFit="1" customWidth="1"/>
    <col min="6421" max="6421" width="17" style="3633" bestFit="1" customWidth="1"/>
    <col min="6422" max="6422" width="18.25" style="3633" bestFit="1" customWidth="1"/>
    <col min="6423" max="6423" width="55.625" style="3633" customWidth="1"/>
    <col min="6424" max="6424" width="43.875" style="3633" bestFit="1" customWidth="1"/>
    <col min="6425" max="6425" width="19.5" style="3633" bestFit="1" customWidth="1"/>
    <col min="6426" max="6426" width="9" style="3633"/>
    <col min="6427" max="6427" width="12.125" style="3633" bestFit="1" customWidth="1"/>
    <col min="6428" max="6656" width="9" style="3633"/>
    <col min="6657" max="6657" width="3.5" style="3633" bestFit="1" customWidth="1"/>
    <col min="6658" max="6658" width="6.5" style="3633" bestFit="1" customWidth="1"/>
    <col min="6659" max="6659" width="7.5" style="3633" bestFit="1" customWidth="1"/>
    <col min="6660" max="6660" width="11" style="3633" customWidth="1"/>
    <col min="6661" max="6661" width="12" style="3633" bestFit="1" customWidth="1"/>
    <col min="6662" max="6662" width="12.625" style="3633" bestFit="1" customWidth="1"/>
    <col min="6663" max="6663" width="12" style="3633" bestFit="1" customWidth="1"/>
    <col min="6664" max="6664" width="48" style="3633" bestFit="1" customWidth="1"/>
    <col min="6665" max="6665" width="31.625" style="3633" bestFit="1" customWidth="1"/>
    <col min="6666" max="6666" width="17" style="3633" bestFit="1" customWidth="1"/>
    <col min="6667" max="6667" width="13.875" style="3633" bestFit="1" customWidth="1"/>
    <col min="6668" max="6668" width="15" style="3633" bestFit="1" customWidth="1"/>
    <col min="6669" max="6669" width="14.5" style="3633" bestFit="1" customWidth="1"/>
    <col min="6670" max="6672" width="11.5" style="3633" bestFit="1" customWidth="1"/>
    <col min="6673" max="6673" width="15.125" style="3633" bestFit="1" customWidth="1"/>
    <col min="6674" max="6674" width="11.5" style="3633" bestFit="1" customWidth="1"/>
    <col min="6675" max="6675" width="12.625" style="3633" bestFit="1" customWidth="1"/>
    <col min="6676" max="6676" width="10.25" style="3633" bestFit="1" customWidth="1"/>
    <col min="6677" max="6677" width="17" style="3633" bestFit="1" customWidth="1"/>
    <col min="6678" max="6678" width="18.25" style="3633" bestFit="1" customWidth="1"/>
    <col min="6679" max="6679" width="55.625" style="3633" customWidth="1"/>
    <col min="6680" max="6680" width="43.875" style="3633" bestFit="1" customWidth="1"/>
    <col min="6681" max="6681" width="19.5" style="3633" bestFit="1" customWidth="1"/>
    <col min="6682" max="6682" width="9" style="3633"/>
    <col min="6683" max="6683" width="12.125" style="3633" bestFit="1" customWidth="1"/>
    <col min="6684" max="6912" width="9" style="3633"/>
    <col min="6913" max="6913" width="3.5" style="3633" bestFit="1" customWidth="1"/>
    <col min="6914" max="6914" width="6.5" style="3633" bestFit="1" customWidth="1"/>
    <col min="6915" max="6915" width="7.5" style="3633" bestFit="1" customWidth="1"/>
    <col min="6916" max="6916" width="11" style="3633" customWidth="1"/>
    <col min="6917" max="6917" width="12" style="3633" bestFit="1" customWidth="1"/>
    <col min="6918" max="6918" width="12.625" style="3633" bestFit="1" customWidth="1"/>
    <col min="6919" max="6919" width="12" style="3633" bestFit="1" customWidth="1"/>
    <col min="6920" max="6920" width="48" style="3633" bestFit="1" customWidth="1"/>
    <col min="6921" max="6921" width="31.625" style="3633" bestFit="1" customWidth="1"/>
    <col min="6922" max="6922" width="17" style="3633" bestFit="1" customWidth="1"/>
    <col min="6923" max="6923" width="13.875" style="3633" bestFit="1" customWidth="1"/>
    <col min="6924" max="6924" width="15" style="3633" bestFit="1" customWidth="1"/>
    <col min="6925" max="6925" width="14.5" style="3633" bestFit="1" customWidth="1"/>
    <col min="6926" max="6928" width="11.5" style="3633" bestFit="1" customWidth="1"/>
    <col min="6929" max="6929" width="15.125" style="3633" bestFit="1" customWidth="1"/>
    <col min="6930" max="6930" width="11.5" style="3633" bestFit="1" customWidth="1"/>
    <col min="6931" max="6931" width="12.625" style="3633" bestFit="1" customWidth="1"/>
    <col min="6932" max="6932" width="10.25" style="3633" bestFit="1" customWidth="1"/>
    <col min="6933" max="6933" width="17" style="3633" bestFit="1" customWidth="1"/>
    <col min="6934" max="6934" width="18.25" style="3633" bestFit="1" customWidth="1"/>
    <col min="6935" max="6935" width="55.625" style="3633" customWidth="1"/>
    <col min="6936" max="6936" width="43.875" style="3633" bestFit="1" customWidth="1"/>
    <col min="6937" max="6937" width="19.5" style="3633" bestFit="1" customWidth="1"/>
    <col min="6938" max="6938" width="9" style="3633"/>
    <col min="6939" max="6939" width="12.125" style="3633" bestFit="1" customWidth="1"/>
    <col min="6940" max="7168" width="9" style="3633"/>
    <col min="7169" max="7169" width="3.5" style="3633" bestFit="1" customWidth="1"/>
    <col min="7170" max="7170" width="6.5" style="3633" bestFit="1" customWidth="1"/>
    <col min="7171" max="7171" width="7.5" style="3633" bestFit="1" customWidth="1"/>
    <col min="7172" max="7172" width="11" style="3633" customWidth="1"/>
    <col min="7173" max="7173" width="12" style="3633" bestFit="1" customWidth="1"/>
    <col min="7174" max="7174" width="12.625" style="3633" bestFit="1" customWidth="1"/>
    <col min="7175" max="7175" width="12" style="3633" bestFit="1" customWidth="1"/>
    <col min="7176" max="7176" width="48" style="3633" bestFit="1" customWidth="1"/>
    <col min="7177" max="7177" width="31.625" style="3633" bestFit="1" customWidth="1"/>
    <col min="7178" max="7178" width="17" style="3633" bestFit="1" customWidth="1"/>
    <col min="7179" max="7179" width="13.875" style="3633" bestFit="1" customWidth="1"/>
    <col min="7180" max="7180" width="15" style="3633" bestFit="1" customWidth="1"/>
    <col min="7181" max="7181" width="14.5" style="3633" bestFit="1" customWidth="1"/>
    <col min="7182" max="7184" width="11.5" style="3633" bestFit="1" customWidth="1"/>
    <col min="7185" max="7185" width="15.125" style="3633" bestFit="1" customWidth="1"/>
    <col min="7186" max="7186" width="11.5" style="3633" bestFit="1" customWidth="1"/>
    <col min="7187" max="7187" width="12.625" style="3633" bestFit="1" customWidth="1"/>
    <col min="7188" max="7188" width="10.25" style="3633" bestFit="1" customWidth="1"/>
    <col min="7189" max="7189" width="17" style="3633" bestFit="1" customWidth="1"/>
    <col min="7190" max="7190" width="18.25" style="3633" bestFit="1" customWidth="1"/>
    <col min="7191" max="7191" width="55.625" style="3633" customWidth="1"/>
    <col min="7192" max="7192" width="43.875" style="3633" bestFit="1" customWidth="1"/>
    <col min="7193" max="7193" width="19.5" style="3633" bestFit="1" customWidth="1"/>
    <col min="7194" max="7194" width="9" style="3633"/>
    <col min="7195" max="7195" width="12.125" style="3633" bestFit="1" customWidth="1"/>
    <col min="7196" max="7424" width="9" style="3633"/>
    <col min="7425" max="7425" width="3.5" style="3633" bestFit="1" customWidth="1"/>
    <col min="7426" max="7426" width="6.5" style="3633" bestFit="1" customWidth="1"/>
    <col min="7427" max="7427" width="7.5" style="3633" bestFit="1" customWidth="1"/>
    <col min="7428" max="7428" width="11" style="3633" customWidth="1"/>
    <col min="7429" max="7429" width="12" style="3633" bestFit="1" customWidth="1"/>
    <col min="7430" max="7430" width="12.625" style="3633" bestFit="1" customWidth="1"/>
    <col min="7431" max="7431" width="12" style="3633" bestFit="1" customWidth="1"/>
    <col min="7432" max="7432" width="48" style="3633" bestFit="1" customWidth="1"/>
    <col min="7433" max="7433" width="31.625" style="3633" bestFit="1" customWidth="1"/>
    <col min="7434" max="7434" width="17" style="3633" bestFit="1" customWidth="1"/>
    <col min="7435" max="7435" width="13.875" style="3633" bestFit="1" customWidth="1"/>
    <col min="7436" max="7436" width="15" style="3633" bestFit="1" customWidth="1"/>
    <col min="7437" max="7437" width="14.5" style="3633" bestFit="1" customWidth="1"/>
    <col min="7438" max="7440" width="11.5" style="3633" bestFit="1" customWidth="1"/>
    <col min="7441" max="7441" width="15.125" style="3633" bestFit="1" customWidth="1"/>
    <col min="7442" max="7442" width="11.5" style="3633" bestFit="1" customWidth="1"/>
    <col min="7443" max="7443" width="12.625" style="3633" bestFit="1" customWidth="1"/>
    <col min="7444" max="7444" width="10.25" style="3633" bestFit="1" customWidth="1"/>
    <col min="7445" max="7445" width="17" style="3633" bestFit="1" customWidth="1"/>
    <col min="7446" max="7446" width="18.25" style="3633" bestFit="1" customWidth="1"/>
    <col min="7447" max="7447" width="55.625" style="3633" customWidth="1"/>
    <col min="7448" max="7448" width="43.875" style="3633" bestFit="1" customWidth="1"/>
    <col min="7449" max="7449" width="19.5" style="3633" bestFit="1" customWidth="1"/>
    <col min="7450" max="7450" width="9" style="3633"/>
    <col min="7451" max="7451" width="12.125" style="3633" bestFit="1" customWidth="1"/>
    <col min="7452" max="7680" width="9" style="3633"/>
    <col min="7681" max="7681" width="3.5" style="3633" bestFit="1" customWidth="1"/>
    <col min="7682" max="7682" width="6.5" style="3633" bestFit="1" customWidth="1"/>
    <col min="7683" max="7683" width="7.5" style="3633" bestFit="1" customWidth="1"/>
    <col min="7684" max="7684" width="11" style="3633" customWidth="1"/>
    <col min="7685" max="7685" width="12" style="3633" bestFit="1" customWidth="1"/>
    <col min="7686" max="7686" width="12.625" style="3633" bestFit="1" customWidth="1"/>
    <col min="7687" max="7687" width="12" style="3633" bestFit="1" customWidth="1"/>
    <col min="7688" max="7688" width="48" style="3633" bestFit="1" customWidth="1"/>
    <col min="7689" max="7689" width="31.625" style="3633" bestFit="1" customWidth="1"/>
    <col min="7690" max="7690" width="17" style="3633" bestFit="1" customWidth="1"/>
    <col min="7691" max="7691" width="13.875" style="3633" bestFit="1" customWidth="1"/>
    <col min="7692" max="7692" width="15" style="3633" bestFit="1" customWidth="1"/>
    <col min="7693" max="7693" width="14.5" style="3633" bestFit="1" customWidth="1"/>
    <col min="7694" max="7696" width="11.5" style="3633" bestFit="1" customWidth="1"/>
    <col min="7697" max="7697" width="15.125" style="3633" bestFit="1" customWidth="1"/>
    <col min="7698" max="7698" width="11.5" style="3633" bestFit="1" customWidth="1"/>
    <col min="7699" max="7699" width="12.625" style="3633" bestFit="1" customWidth="1"/>
    <col min="7700" max="7700" width="10.25" style="3633" bestFit="1" customWidth="1"/>
    <col min="7701" max="7701" width="17" style="3633" bestFit="1" customWidth="1"/>
    <col min="7702" max="7702" width="18.25" style="3633" bestFit="1" customWidth="1"/>
    <col min="7703" max="7703" width="55.625" style="3633" customWidth="1"/>
    <col min="7704" max="7704" width="43.875" style="3633" bestFit="1" customWidth="1"/>
    <col min="7705" max="7705" width="19.5" style="3633" bestFit="1" customWidth="1"/>
    <col min="7706" max="7706" width="9" style="3633"/>
    <col min="7707" max="7707" width="12.125" style="3633" bestFit="1" customWidth="1"/>
    <col min="7708" max="7936" width="9" style="3633"/>
    <col min="7937" max="7937" width="3.5" style="3633" bestFit="1" customWidth="1"/>
    <col min="7938" max="7938" width="6.5" style="3633" bestFit="1" customWidth="1"/>
    <col min="7939" max="7939" width="7.5" style="3633" bestFit="1" customWidth="1"/>
    <col min="7940" max="7940" width="11" style="3633" customWidth="1"/>
    <col min="7941" max="7941" width="12" style="3633" bestFit="1" customWidth="1"/>
    <col min="7942" max="7942" width="12.625" style="3633" bestFit="1" customWidth="1"/>
    <col min="7943" max="7943" width="12" style="3633" bestFit="1" customWidth="1"/>
    <col min="7944" max="7944" width="48" style="3633" bestFit="1" customWidth="1"/>
    <col min="7945" max="7945" width="31.625" style="3633" bestFit="1" customWidth="1"/>
    <col min="7946" max="7946" width="17" style="3633" bestFit="1" customWidth="1"/>
    <col min="7947" max="7947" width="13.875" style="3633" bestFit="1" customWidth="1"/>
    <col min="7948" max="7948" width="15" style="3633" bestFit="1" customWidth="1"/>
    <col min="7949" max="7949" width="14.5" style="3633" bestFit="1" customWidth="1"/>
    <col min="7950" max="7952" width="11.5" style="3633" bestFit="1" customWidth="1"/>
    <col min="7953" max="7953" width="15.125" style="3633" bestFit="1" customWidth="1"/>
    <col min="7954" max="7954" width="11.5" style="3633" bestFit="1" customWidth="1"/>
    <col min="7955" max="7955" width="12.625" style="3633" bestFit="1" customWidth="1"/>
    <col min="7956" max="7956" width="10.25" style="3633" bestFit="1" customWidth="1"/>
    <col min="7957" max="7957" width="17" style="3633" bestFit="1" customWidth="1"/>
    <col min="7958" max="7958" width="18.25" style="3633" bestFit="1" customWidth="1"/>
    <col min="7959" max="7959" width="55.625" style="3633" customWidth="1"/>
    <col min="7960" max="7960" width="43.875" style="3633" bestFit="1" customWidth="1"/>
    <col min="7961" max="7961" width="19.5" style="3633" bestFit="1" customWidth="1"/>
    <col min="7962" max="7962" width="9" style="3633"/>
    <col min="7963" max="7963" width="12.125" style="3633" bestFit="1" customWidth="1"/>
    <col min="7964" max="8192" width="9" style="3633"/>
    <col min="8193" max="8193" width="3.5" style="3633" bestFit="1" customWidth="1"/>
    <col min="8194" max="8194" width="6.5" style="3633" bestFit="1" customWidth="1"/>
    <col min="8195" max="8195" width="7.5" style="3633" bestFit="1" customWidth="1"/>
    <col min="8196" max="8196" width="11" style="3633" customWidth="1"/>
    <col min="8197" max="8197" width="12" style="3633" bestFit="1" customWidth="1"/>
    <col min="8198" max="8198" width="12.625" style="3633" bestFit="1" customWidth="1"/>
    <col min="8199" max="8199" width="12" style="3633" bestFit="1" customWidth="1"/>
    <col min="8200" max="8200" width="48" style="3633" bestFit="1" customWidth="1"/>
    <col min="8201" max="8201" width="31.625" style="3633" bestFit="1" customWidth="1"/>
    <col min="8202" max="8202" width="17" style="3633" bestFit="1" customWidth="1"/>
    <col min="8203" max="8203" width="13.875" style="3633" bestFit="1" customWidth="1"/>
    <col min="8204" max="8204" width="15" style="3633" bestFit="1" customWidth="1"/>
    <col min="8205" max="8205" width="14.5" style="3633" bestFit="1" customWidth="1"/>
    <col min="8206" max="8208" width="11.5" style="3633" bestFit="1" customWidth="1"/>
    <col min="8209" max="8209" width="15.125" style="3633" bestFit="1" customWidth="1"/>
    <col min="8210" max="8210" width="11.5" style="3633" bestFit="1" customWidth="1"/>
    <col min="8211" max="8211" width="12.625" style="3633" bestFit="1" customWidth="1"/>
    <col min="8212" max="8212" width="10.25" style="3633" bestFit="1" customWidth="1"/>
    <col min="8213" max="8213" width="17" style="3633" bestFit="1" customWidth="1"/>
    <col min="8214" max="8214" width="18.25" style="3633" bestFit="1" customWidth="1"/>
    <col min="8215" max="8215" width="55.625" style="3633" customWidth="1"/>
    <col min="8216" max="8216" width="43.875" style="3633" bestFit="1" customWidth="1"/>
    <col min="8217" max="8217" width="19.5" style="3633" bestFit="1" customWidth="1"/>
    <col min="8218" max="8218" width="9" style="3633"/>
    <col min="8219" max="8219" width="12.125" style="3633" bestFit="1" customWidth="1"/>
    <col min="8220" max="8448" width="9" style="3633"/>
    <col min="8449" max="8449" width="3.5" style="3633" bestFit="1" customWidth="1"/>
    <col min="8450" max="8450" width="6.5" style="3633" bestFit="1" customWidth="1"/>
    <col min="8451" max="8451" width="7.5" style="3633" bestFit="1" customWidth="1"/>
    <col min="8452" max="8452" width="11" style="3633" customWidth="1"/>
    <col min="8453" max="8453" width="12" style="3633" bestFit="1" customWidth="1"/>
    <col min="8454" max="8454" width="12.625" style="3633" bestFit="1" customWidth="1"/>
    <col min="8455" max="8455" width="12" style="3633" bestFit="1" customWidth="1"/>
    <col min="8456" max="8456" width="48" style="3633" bestFit="1" customWidth="1"/>
    <col min="8457" max="8457" width="31.625" style="3633" bestFit="1" customWidth="1"/>
    <col min="8458" max="8458" width="17" style="3633" bestFit="1" customWidth="1"/>
    <col min="8459" max="8459" width="13.875" style="3633" bestFit="1" customWidth="1"/>
    <col min="8460" max="8460" width="15" style="3633" bestFit="1" customWidth="1"/>
    <col min="8461" max="8461" width="14.5" style="3633" bestFit="1" customWidth="1"/>
    <col min="8462" max="8464" width="11.5" style="3633" bestFit="1" customWidth="1"/>
    <col min="8465" max="8465" width="15.125" style="3633" bestFit="1" customWidth="1"/>
    <col min="8466" max="8466" width="11.5" style="3633" bestFit="1" customWidth="1"/>
    <col min="8467" max="8467" width="12.625" style="3633" bestFit="1" customWidth="1"/>
    <col min="8468" max="8468" width="10.25" style="3633" bestFit="1" customWidth="1"/>
    <col min="8469" max="8469" width="17" style="3633" bestFit="1" customWidth="1"/>
    <col min="8470" max="8470" width="18.25" style="3633" bestFit="1" customWidth="1"/>
    <col min="8471" max="8471" width="55.625" style="3633" customWidth="1"/>
    <col min="8472" max="8472" width="43.875" style="3633" bestFit="1" customWidth="1"/>
    <col min="8473" max="8473" width="19.5" style="3633" bestFit="1" customWidth="1"/>
    <col min="8474" max="8474" width="9" style="3633"/>
    <col min="8475" max="8475" width="12.125" style="3633" bestFit="1" customWidth="1"/>
    <col min="8476" max="8704" width="9" style="3633"/>
    <col min="8705" max="8705" width="3.5" style="3633" bestFit="1" customWidth="1"/>
    <col min="8706" max="8706" width="6.5" style="3633" bestFit="1" customWidth="1"/>
    <col min="8707" max="8707" width="7.5" style="3633" bestFit="1" customWidth="1"/>
    <col min="8708" max="8708" width="11" style="3633" customWidth="1"/>
    <col min="8709" max="8709" width="12" style="3633" bestFit="1" customWidth="1"/>
    <col min="8710" max="8710" width="12.625" style="3633" bestFit="1" customWidth="1"/>
    <col min="8711" max="8711" width="12" style="3633" bestFit="1" customWidth="1"/>
    <col min="8712" max="8712" width="48" style="3633" bestFit="1" customWidth="1"/>
    <col min="8713" max="8713" width="31.625" style="3633" bestFit="1" customWidth="1"/>
    <col min="8714" max="8714" width="17" style="3633" bestFit="1" customWidth="1"/>
    <col min="8715" max="8715" width="13.875" style="3633" bestFit="1" customWidth="1"/>
    <col min="8716" max="8716" width="15" style="3633" bestFit="1" customWidth="1"/>
    <col min="8717" max="8717" width="14.5" style="3633" bestFit="1" customWidth="1"/>
    <col min="8718" max="8720" width="11.5" style="3633" bestFit="1" customWidth="1"/>
    <col min="8721" max="8721" width="15.125" style="3633" bestFit="1" customWidth="1"/>
    <col min="8722" max="8722" width="11.5" style="3633" bestFit="1" customWidth="1"/>
    <col min="8723" max="8723" width="12.625" style="3633" bestFit="1" customWidth="1"/>
    <col min="8724" max="8724" width="10.25" style="3633" bestFit="1" customWidth="1"/>
    <col min="8725" max="8725" width="17" style="3633" bestFit="1" customWidth="1"/>
    <col min="8726" max="8726" width="18.25" style="3633" bestFit="1" customWidth="1"/>
    <col min="8727" max="8727" width="55.625" style="3633" customWidth="1"/>
    <col min="8728" max="8728" width="43.875" style="3633" bestFit="1" customWidth="1"/>
    <col min="8729" max="8729" width="19.5" style="3633" bestFit="1" customWidth="1"/>
    <col min="8730" max="8730" width="9" style="3633"/>
    <col min="8731" max="8731" width="12.125" style="3633" bestFit="1" customWidth="1"/>
    <col min="8732" max="8960" width="9" style="3633"/>
    <col min="8961" max="8961" width="3.5" style="3633" bestFit="1" customWidth="1"/>
    <col min="8962" max="8962" width="6.5" style="3633" bestFit="1" customWidth="1"/>
    <col min="8963" max="8963" width="7.5" style="3633" bestFit="1" customWidth="1"/>
    <col min="8964" max="8964" width="11" style="3633" customWidth="1"/>
    <col min="8965" max="8965" width="12" style="3633" bestFit="1" customWidth="1"/>
    <col min="8966" max="8966" width="12.625" style="3633" bestFit="1" customWidth="1"/>
    <col min="8967" max="8967" width="12" style="3633" bestFit="1" customWidth="1"/>
    <col min="8968" max="8968" width="48" style="3633" bestFit="1" customWidth="1"/>
    <col min="8969" max="8969" width="31.625" style="3633" bestFit="1" customWidth="1"/>
    <col min="8970" max="8970" width="17" style="3633" bestFit="1" customWidth="1"/>
    <col min="8971" max="8971" width="13.875" style="3633" bestFit="1" customWidth="1"/>
    <col min="8972" max="8972" width="15" style="3633" bestFit="1" customWidth="1"/>
    <col min="8973" max="8973" width="14.5" style="3633" bestFit="1" customWidth="1"/>
    <col min="8974" max="8976" width="11.5" style="3633" bestFit="1" customWidth="1"/>
    <col min="8977" max="8977" width="15.125" style="3633" bestFit="1" customWidth="1"/>
    <col min="8978" max="8978" width="11.5" style="3633" bestFit="1" customWidth="1"/>
    <col min="8979" max="8979" width="12.625" style="3633" bestFit="1" customWidth="1"/>
    <col min="8980" max="8980" width="10.25" style="3633" bestFit="1" customWidth="1"/>
    <col min="8981" max="8981" width="17" style="3633" bestFit="1" customWidth="1"/>
    <col min="8982" max="8982" width="18.25" style="3633" bestFit="1" customWidth="1"/>
    <col min="8983" max="8983" width="55.625" style="3633" customWidth="1"/>
    <col min="8984" max="8984" width="43.875" style="3633" bestFit="1" customWidth="1"/>
    <col min="8985" max="8985" width="19.5" style="3633" bestFit="1" customWidth="1"/>
    <col min="8986" max="8986" width="9" style="3633"/>
    <col min="8987" max="8987" width="12.125" style="3633" bestFit="1" customWidth="1"/>
    <col min="8988" max="9216" width="9" style="3633"/>
    <col min="9217" max="9217" width="3.5" style="3633" bestFit="1" customWidth="1"/>
    <col min="9218" max="9218" width="6.5" style="3633" bestFit="1" customWidth="1"/>
    <col min="9219" max="9219" width="7.5" style="3633" bestFit="1" customWidth="1"/>
    <col min="9220" max="9220" width="11" style="3633" customWidth="1"/>
    <col min="9221" max="9221" width="12" style="3633" bestFit="1" customWidth="1"/>
    <col min="9222" max="9222" width="12.625" style="3633" bestFit="1" customWidth="1"/>
    <col min="9223" max="9223" width="12" style="3633" bestFit="1" customWidth="1"/>
    <col min="9224" max="9224" width="48" style="3633" bestFit="1" customWidth="1"/>
    <col min="9225" max="9225" width="31.625" style="3633" bestFit="1" customWidth="1"/>
    <col min="9226" max="9226" width="17" style="3633" bestFit="1" customWidth="1"/>
    <col min="9227" max="9227" width="13.875" style="3633" bestFit="1" customWidth="1"/>
    <col min="9228" max="9228" width="15" style="3633" bestFit="1" customWidth="1"/>
    <col min="9229" max="9229" width="14.5" style="3633" bestFit="1" customWidth="1"/>
    <col min="9230" max="9232" width="11.5" style="3633" bestFit="1" customWidth="1"/>
    <col min="9233" max="9233" width="15.125" style="3633" bestFit="1" customWidth="1"/>
    <col min="9234" max="9234" width="11.5" style="3633" bestFit="1" customWidth="1"/>
    <col min="9235" max="9235" width="12.625" style="3633" bestFit="1" customWidth="1"/>
    <col min="9236" max="9236" width="10.25" style="3633" bestFit="1" customWidth="1"/>
    <col min="9237" max="9237" width="17" style="3633" bestFit="1" customWidth="1"/>
    <col min="9238" max="9238" width="18.25" style="3633" bestFit="1" customWidth="1"/>
    <col min="9239" max="9239" width="55.625" style="3633" customWidth="1"/>
    <col min="9240" max="9240" width="43.875" style="3633" bestFit="1" customWidth="1"/>
    <col min="9241" max="9241" width="19.5" style="3633" bestFit="1" customWidth="1"/>
    <col min="9242" max="9242" width="9" style="3633"/>
    <col min="9243" max="9243" width="12.125" style="3633" bestFit="1" customWidth="1"/>
    <col min="9244" max="9472" width="9" style="3633"/>
    <col min="9473" max="9473" width="3.5" style="3633" bestFit="1" customWidth="1"/>
    <col min="9474" max="9474" width="6.5" style="3633" bestFit="1" customWidth="1"/>
    <col min="9475" max="9475" width="7.5" style="3633" bestFit="1" customWidth="1"/>
    <col min="9476" max="9476" width="11" style="3633" customWidth="1"/>
    <col min="9477" max="9477" width="12" style="3633" bestFit="1" customWidth="1"/>
    <col min="9478" max="9478" width="12.625" style="3633" bestFit="1" customWidth="1"/>
    <col min="9479" max="9479" width="12" style="3633" bestFit="1" customWidth="1"/>
    <col min="9480" max="9480" width="48" style="3633" bestFit="1" customWidth="1"/>
    <col min="9481" max="9481" width="31.625" style="3633" bestFit="1" customWidth="1"/>
    <col min="9482" max="9482" width="17" style="3633" bestFit="1" customWidth="1"/>
    <col min="9483" max="9483" width="13.875" style="3633" bestFit="1" customWidth="1"/>
    <col min="9484" max="9484" width="15" style="3633" bestFit="1" customWidth="1"/>
    <col min="9485" max="9485" width="14.5" style="3633" bestFit="1" customWidth="1"/>
    <col min="9486" max="9488" width="11.5" style="3633" bestFit="1" customWidth="1"/>
    <col min="9489" max="9489" width="15.125" style="3633" bestFit="1" customWidth="1"/>
    <col min="9490" max="9490" width="11.5" style="3633" bestFit="1" customWidth="1"/>
    <col min="9491" max="9491" width="12.625" style="3633" bestFit="1" customWidth="1"/>
    <col min="9492" max="9492" width="10.25" style="3633" bestFit="1" customWidth="1"/>
    <col min="9493" max="9493" width="17" style="3633" bestFit="1" customWidth="1"/>
    <col min="9494" max="9494" width="18.25" style="3633" bestFit="1" customWidth="1"/>
    <col min="9495" max="9495" width="55.625" style="3633" customWidth="1"/>
    <col min="9496" max="9496" width="43.875" style="3633" bestFit="1" customWidth="1"/>
    <col min="9497" max="9497" width="19.5" style="3633" bestFit="1" customWidth="1"/>
    <col min="9498" max="9498" width="9" style="3633"/>
    <col min="9499" max="9499" width="12.125" style="3633" bestFit="1" customWidth="1"/>
    <col min="9500" max="9728" width="9" style="3633"/>
    <col min="9729" max="9729" width="3.5" style="3633" bestFit="1" customWidth="1"/>
    <col min="9730" max="9730" width="6.5" style="3633" bestFit="1" customWidth="1"/>
    <col min="9731" max="9731" width="7.5" style="3633" bestFit="1" customWidth="1"/>
    <col min="9732" max="9732" width="11" style="3633" customWidth="1"/>
    <col min="9733" max="9733" width="12" style="3633" bestFit="1" customWidth="1"/>
    <col min="9734" max="9734" width="12.625" style="3633" bestFit="1" customWidth="1"/>
    <col min="9735" max="9735" width="12" style="3633" bestFit="1" customWidth="1"/>
    <col min="9736" max="9736" width="48" style="3633" bestFit="1" customWidth="1"/>
    <col min="9737" max="9737" width="31.625" style="3633" bestFit="1" customWidth="1"/>
    <col min="9738" max="9738" width="17" style="3633" bestFit="1" customWidth="1"/>
    <col min="9739" max="9739" width="13.875" style="3633" bestFit="1" customWidth="1"/>
    <col min="9740" max="9740" width="15" style="3633" bestFit="1" customWidth="1"/>
    <col min="9741" max="9741" width="14.5" style="3633" bestFit="1" customWidth="1"/>
    <col min="9742" max="9744" width="11.5" style="3633" bestFit="1" customWidth="1"/>
    <col min="9745" max="9745" width="15.125" style="3633" bestFit="1" customWidth="1"/>
    <col min="9746" max="9746" width="11.5" style="3633" bestFit="1" customWidth="1"/>
    <col min="9747" max="9747" width="12.625" style="3633" bestFit="1" customWidth="1"/>
    <col min="9748" max="9748" width="10.25" style="3633" bestFit="1" customWidth="1"/>
    <col min="9749" max="9749" width="17" style="3633" bestFit="1" customWidth="1"/>
    <col min="9750" max="9750" width="18.25" style="3633" bestFit="1" customWidth="1"/>
    <col min="9751" max="9751" width="55.625" style="3633" customWidth="1"/>
    <col min="9752" max="9752" width="43.875" style="3633" bestFit="1" customWidth="1"/>
    <col min="9753" max="9753" width="19.5" style="3633" bestFit="1" customWidth="1"/>
    <col min="9754" max="9754" width="9" style="3633"/>
    <col min="9755" max="9755" width="12.125" style="3633" bestFit="1" customWidth="1"/>
    <col min="9756" max="9984" width="9" style="3633"/>
    <col min="9985" max="9985" width="3.5" style="3633" bestFit="1" customWidth="1"/>
    <col min="9986" max="9986" width="6.5" style="3633" bestFit="1" customWidth="1"/>
    <col min="9987" max="9987" width="7.5" style="3633" bestFit="1" customWidth="1"/>
    <col min="9988" max="9988" width="11" style="3633" customWidth="1"/>
    <col min="9989" max="9989" width="12" style="3633" bestFit="1" customWidth="1"/>
    <col min="9990" max="9990" width="12.625" style="3633" bestFit="1" customWidth="1"/>
    <col min="9991" max="9991" width="12" style="3633" bestFit="1" customWidth="1"/>
    <col min="9992" max="9992" width="48" style="3633" bestFit="1" customWidth="1"/>
    <col min="9993" max="9993" width="31.625" style="3633" bestFit="1" customWidth="1"/>
    <col min="9994" max="9994" width="17" style="3633" bestFit="1" customWidth="1"/>
    <col min="9995" max="9995" width="13.875" style="3633" bestFit="1" customWidth="1"/>
    <col min="9996" max="9996" width="15" style="3633" bestFit="1" customWidth="1"/>
    <col min="9997" max="9997" width="14.5" style="3633" bestFit="1" customWidth="1"/>
    <col min="9998" max="10000" width="11.5" style="3633" bestFit="1" customWidth="1"/>
    <col min="10001" max="10001" width="15.125" style="3633" bestFit="1" customWidth="1"/>
    <col min="10002" max="10002" width="11.5" style="3633" bestFit="1" customWidth="1"/>
    <col min="10003" max="10003" width="12.625" style="3633" bestFit="1" customWidth="1"/>
    <col min="10004" max="10004" width="10.25" style="3633" bestFit="1" customWidth="1"/>
    <col min="10005" max="10005" width="17" style="3633" bestFit="1" customWidth="1"/>
    <col min="10006" max="10006" width="18.25" style="3633" bestFit="1" customWidth="1"/>
    <col min="10007" max="10007" width="55.625" style="3633" customWidth="1"/>
    <col min="10008" max="10008" width="43.875" style="3633" bestFit="1" customWidth="1"/>
    <col min="10009" max="10009" width="19.5" style="3633" bestFit="1" customWidth="1"/>
    <col min="10010" max="10010" width="9" style="3633"/>
    <col min="10011" max="10011" width="12.125" style="3633" bestFit="1" customWidth="1"/>
    <col min="10012" max="10240" width="9" style="3633"/>
    <col min="10241" max="10241" width="3.5" style="3633" bestFit="1" customWidth="1"/>
    <col min="10242" max="10242" width="6.5" style="3633" bestFit="1" customWidth="1"/>
    <col min="10243" max="10243" width="7.5" style="3633" bestFit="1" customWidth="1"/>
    <col min="10244" max="10244" width="11" style="3633" customWidth="1"/>
    <col min="10245" max="10245" width="12" style="3633" bestFit="1" customWidth="1"/>
    <col min="10246" max="10246" width="12.625" style="3633" bestFit="1" customWidth="1"/>
    <col min="10247" max="10247" width="12" style="3633" bestFit="1" customWidth="1"/>
    <col min="10248" max="10248" width="48" style="3633" bestFit="1" customWidth="1"/>
    <col min="10249" max="10249" width="31.625" style="3633" bestFit="1" customWidth="1"/>
    <col min="10250" max="10250" width="17" style="3633" bestFit="1" customWidth="1"/>
    <col min="10251" max="10251" width="13.875" style="3633" bestFit="1" customWidth="1"/>
    <col min="10252" max="10252" width="15" style="3633" bestFit="1" customWidth="1"/>
    <col min="10253" max="10253" width="14.5" style="3633" bestFit="1" customWidth="1"/>
    <col min="10254" max="10256" width="11.5" style="3633" bestFit="1" customWidth="1"/>
    <col min="10257" max="10257" width="15.125" style="3633" bestFit="1" customWidth="1"/>
    <col min="10258" max="10258" width="11.5" style="3633" bestFit="1" customWidth="1"/>
    <col min="10259" max="10259" width="12.625" style="3633" bestFit="1" customWidth="1"/>
    <col min="10260" max="10260" width="10.25" style="3633" bestFit="1" customWidth="1"/>
    <col min="10261" max="10261" width="17" style="3633" bestFit="1" customWidth="1"/>
    <col min="10262" max="10262" width="18.25" style="3633" bestFit="1" customWidth="1"/>
    <col min="10263" max="10263" width="55.625" style="3633" customWidth="1"/>
    <col min="10264" max="10264" width="43.875" style="3633" bestFit="1" customWidth="1"/>
    <col min="10265" max="10265" width="19.5" style="3633" bestFit="1" customWidth="1"/>
    <col min="10266" max="10266" width="9" style="3633"/>
    <col min="10267" max="10267" width="12.125" style="3633" bestFit="1" customWidth="1"/>
    <col min="10268" max="10496" width="9" style="3633"/>
    <col min="10497" max="10497" width="3.5" style="3633" bestFit="1" customWidth="1"/>
    <col min="10498" max="10498" width="6.5" style="3633" bestFit="1" customWidth="1"/>
    <col min="10499" max="10499" width="7.5" style="3633" bestFit="1" customWidth="1"/>
    <col min="10500" max="10500" width="11" style="3633" customWidth="1"/>
    <col min="10501" max="10501" width="12" style="3633" bestFit="1" customWidth="1"/>
    <col min="10502" max="10502" width="12.625" style="3633" bestFit="1" customWidth="1"/>
    <col min="10503" max="10503" width="12" style="3633" bestFit="1" customWidth="1"/>
    <col min="10504" max="10504" width="48" style="3633" bestFit="1" customWidth="1"/>
    <col min="10505" max="10505" width="31.625" style="3633" bestFit="1" customWidth="1"/>
    <col min="10506" max="10506" width="17" style="3633" bestFit="1" customWidth="1"/>
    <col min="10507" max="10507" width="13.875" style="3633" bestFit="1" customWidth="1"/>
    <col min="10508" max="10508" width="15" style="3633" bestFit="1" customWidth="1"/>
    <col min="10509" max="10509" width="14.5" style="3633" bestFit="1" customWidth="1"/>
    <col min="10510" max="10512" width="11.5" style="3633" bestFit="1" customWidth="1"/>
    <col min="10513" max="10513" width="15.125" style="3633" bestFit="1" customWidth="1"/>
    <col min="10514" max="10514" width="11.5" style="3633" bestFit="1" customWidth="1"/>
    <col min="10515" max="10515" width="12.625" style="3633" bestFit="1" customWidth="1"/>
    <col min="10516" max="10516" width="10.25" style="3633" bestFit="1" customWidth="1"/>
    <col min="10517" max="10517" width="17" style="3633" bestFit="1" customWidth="1"/>
    <col min="10518" max="10518" width="18.25" style="3633" bestFit="1" customWidth="1"/>
    <col min="10519" max="10519" width="55.625" style="3633" customWidth="1"/>
    <col min="10520" max="10520" width="43.875" style="3633" bestFit="1" customWidth="1"/>
    <col min="10521" max="10521" width="19.5" style="3633" bestFit="1" customWidth="1"/>
    <col min="10522" max="10522" width="9" style="3633"/>
    <col min="10523" max="10523" width="12.125" style="3633" bestFit="1" customWidth="1"/>
    <col min="10524" max="10752" width="9" style="3633"/>
    <col min="10753" max="10753" width="3.5" style="3633" bestFit="1" customWidth="1"/>
    <col min="10754" max="10754" width="6.5" style="3633" bestFit="1" customWidth="1"/>
    <col min="10755" max="10755" width="7.5" style="3633" bestFit="1" customWidth="1"/>
    <col min="10756" max="10756" width="11" style="3633" customWidth="1"/>
    <col min="10757" max="10757" width="12" style="3633" bestFit="1" customWidth="1"/>
    <col min="10758" max="10758" width="12.625" style="3633" bestFit="1" customWidth="1"/>
    <col min="10759" max="10759" width="12" style="3633" bestFit="1" customWidth="1"/>
    <col min="10760" max="10760" width="48" style="3633" bestFit="1" customWidth="1"/>
    <col min="10761" max="10761" width="31.625" style="3633" bestFit="1" customWidth="1"/>
    <col min="10762" max="10762" width="17" style="3633" bestFit="1" customWidth="1"/>
    <col min="10763" max="10763" width="13.875" style="3633" bestFit="1" customWidth="1"/>
    <col min="10764" max="10764" width="15" style="3633" bestFit="1" customWidth="1"/>
    <col min="10765" max="10765" width="14.5" style="3633" bestFit="1" customWidth="1"/>
    <col min="10766" max="10768" width="11.5" style="3633" bestFit="1" customWidth="1"/>
    <col min="10769" max="10769" width="15.125" style="3633" bestFit="1" customWidth="1"/>
    <col min="10770" max="10770" width="11.5" style="3633" bestFit="1" customWidth="1"/>
    <col min="10771" max="10771" width="12.625" style="3633" bestFit="1" customWidth="1"/>
    <col min="10772" max="10772" width="10.25" style="3633" bestFit="1" customWidth="1"/>
    <col min="10773" max="10773" width="17" style="3633" bestFit="1" customWidth="1"/>
    <col min="10774" max="10774" width="18.25" style="3633" bestFit="1" customWidth="1"/>
    <col min="10775" max="10775" width="55.625" style="3633" customWidth="1"/>
    <col min="10776" max="10776" width="43.875" style="3633" bestFit="1" customWidth="1"/>
    <col min="10777" max="10777" width="19.5" style="3633" bestFit="1" customWidth="1"/>
    <col min="10778" max="10778" width="9" style="3633"/>
    <col min="10779" max="10779" width="12.125" style="3633" bestFit="1" customWidth="1"/>
    <col min="10780" max="11008" width="9" style="3633"/>
    <col min="11009" max="11009" width="3.5" style="3633" bestFit="1" customWidth="1"/>
    <col min="11010" max="11010" width="6.5" style="3633" bestFit="1" customWidth="1"/>
    <col min="11011" max="11011" width="7.5" style="3633" bestFit="1" customWidth="1"/>
    <col min="11012" max="11012" width="11" style="3633" customWidth="1"/>
    <col min="11013" max="11013" width="12" style="3633" bestFit="1" customWidth="1"/>
    <col min="11014" max="11014" width="12.625" style="3633" bestFit="1" customWidth="1"/>
    <col min="11015" max="11015" width="12" style="3633" bestFit="1" customWidth="1"/>
    <col min="11016" max="11016" width="48" style="3633" bestFit="1" customWidth="1"/>
    <col min="11017" max="11017" width="31.625" style="3633" bestFit="1" customWidth="1"/>
    <col min="11018" max="11018" width="17" style="3633" bestFit="1" customWidth="1"/>
    <col min="11019" max="11019" width="13.875" style="3633" bestFit="1" customWidth="1"/>
    <col min="11020" max="11020" width="15" style="3633" bestFit="1" customWidth="1"/>
    <col min="11021" max="11021" width="14.5" style="3633" bestFit="1" customWidth="1"/>
    <col min="11022" max="11024" width="11.5" style="3633" bestFit="1" customWidth="1"/>
    <col min="11025" max="11025" width="15.125" style="3633" bestFit="1" customWidth="1"/>
    <col min="11026" max="11026" width="11.5" style="3633" bestFit="1" customWidth="1"/>
    <col min="11027" max="11027" width="12.625" style="3633" bestFit="1" customWidth="1"/>
    <col min="11028" max="11028" width="10.25" style="3633" bestFit="1" customWidth="1"/>
    <col min="11029" max="11029" width="17" style="3633" bestFit="1" customWidth="1"/>
    <col min="11030" max="11030" width="18.25" style="3633" bestFit="1" customWidth="1"/>
    <col min="11031" max="11031" width="55.625" style="3633" customWidth="1"/>
    <col min="11032" max="11032" width="43.875" style="3633" bestFit="1" customWidth="1"/>
    <col min="11033" max="11033" width="19.5" style="3633" bestFit="1" customWidth="1"/>
    <col min="11034" max="11034" width="9" style="3633"/>
    <col min="11035" max="11035" width="12.125" style="3633" bestFit="1" customWidth="1"/>
    <col min="11036" max="11264" width="9" style="3633"/>
    <col min="11265" max="11265" width="3.5" style="3633" bestFit="1" customWidth="1"/>
    <col min="11266" max="11266" width="6.5" style="3633" bestFit="1" customWidth="1"/>
    <col min="11267" max="11267" width="7.5" style="3633" bestFit="1" customWidth="1"/>
    <col min="11268" max="11268" width="11" style="3633" customWidth="1"/>
    <col min="11269" max="11269" width="12" style="3633" bestFit="1" customWidth="1"/>
    <col min="11270" max="11270" width="12.625" style="3633" bestFit="1" customWidth="1"/>
    <col min="11271" max="11271" width="12" style="3633" bestFit="1" customWidth="1"/>
    <col min="11272" max="11272" width="48" style="3633" bestFit="1" customWidth="1"/>
    <col min="11273" max="11273" width="31.625" style="3633" bestFit="1" customWidth="1"/>
    <col min="11274" max="11274" width="17" style="3633" bestFit="1" customWidth="1"/>
    <col min="11275" max="11275" width="13.875" style="3633" bestFit="1" customWidth="1"/>
    <col min="11276" max="11276" width="15" style="3633" bestFit="1" customWidth="1"/>
    <col min="11277" max="11277" width="14.5" style="3633" bestFit="1" customWidth="1"/>
    <col min="11278" max="11280" width="11.5" style="3633" bestFit="1" customWidth="1"/>
    <col min="11281" max="11281" width="15.125" style="3633" bestFit="1" customWidth="1"/>
    <col min="11282" max="11282" width="11.5" style="3633" bestFit="1" customWidth="1"/>
    <col min="11283" max="11283" width="12.625" style="3633" bestFit="1" customWidth="1"/>
    <col min="11284" max="11284" width="10.25" style="3633" bestFit="1" customWidth="1"/>
    <col min="11285" max="11285" width="17" style="3633" bestFit="1" customWidth="1"/>
    <col min="11286" max="11286" width="18.25" style="3633" bestFit="1" customWidth="1"/>
    <col min="11287" max="11287" width="55.625" style="3633" customWidth="1"/>
    <col min="11288" max="11288" width="43.875" style="3633" bestFit="1" customWidth="1"/>
    <col min="11289" max="11289" width="19.5" style="3633" bestFit="1" customWidth="1"/>
    <col min="11290" max="11290" width="9" style="3633"/>
    <col min="11291" max="11291" width="12.125" style="3633" bestFit="1" customWidth="1"/>
    <col min="11292" max="11520" width="9" style="3633"/>
    <col min="11521" max="11521" width="3.5" style="3633" bestFit="1" customWidth="1"/>
    <col min="11522" max="11522" width="6.5" style="3633" bestFit="1" customWidth="1"/>
    <col min="11523" max="11523" width="7.5" style="3633" bestFit="1" customWidth="1"/>
    <col min="11524" max="11524" width="11" style="3633" customWidth="1"/>
    <col min="11525" max="11525" width="12" style="3633" bestFit="1" customWidth="1"/>
    <col min="11526" max="11526" width="12.625" style="3633" bestFit="1" customWidth="1"/>
    <col min="11527" max="11527" width="12" style="3633" bestFit="1" customWidth="1"/>
    <col min="11528" max="11528" width="48" style="3633" bestFit="1" customWidth="1"/>
    <col min="11529" max="11529" width="31.625" style="3633" bestFit="1" customWidth="1"/>
    <col min="11530" max="11530" width="17" style="3633" bestFit="1" customWidth="1"/>
    <col min="11531" max="11531" width="13.875" style="3633" bestFit="1" customWidth="1"/>
    <col min="11532" max="11532" width="15" style="3633" bestFit="1" customWidth="1"/>
    <col min="11533" max="11533" width="14.5" style="3633" bestFit="1" customWidth="1"/>
    <col min="11534" max="11536" width="11.5" style="3633" bestFit="1" customWidth="1"/>
    <col min="11537" max="11537" width="15.125" style="3633" bestFit="1" customWidth="1"/>
    <col min="11538" max="11538" width="11.5" style="3633" bestFit="1" customWidth="1"/>
    <col min="11539" max="11539" width="12.625" style="3633" bestFit="1" customWidth="1"/>
    <col min="11540" max="11540" width="10.25" style="3633" bestFit="1" customWidth="1"/>
    <col min="11541" max="11541" width="17" style="3633" bestFit="1" customWidth="1"/>
    <col min="11542" max="11542" width="18.25" style="3633" bestFit="1" customWidth="1"/>
    <col min="11543" max="11543" width="55.625" style="3633" customWidth="1"/>
    <col min="11544" max="11544" width="43.875" style="3633" bestFit="1" customWidth="1"/>
    <col min="11545" max="11545" width="19.5" style="3633" bestFit="1" customWidth="1"/>
    <col min="11546" max="11546" width="9" style="3633"/>
    <col min="11547" max="11547" width="12.125" style="3633" bestFit="1" customWidth="1"/>
    <col min="11548" max="11776" width="9" style="3633"/>
    <col min="11777" max="11777" width="3.5" style="3633" bestFit="1" customWidth="1"/>
    <col min="11778" max="11778" width="6.5" style="3633" bestFit="1" customWidth="1"/>
    <col min="11779" max="11779" width="7.5" style="3633" bestFit="1" customWidth="1"/>
    <col min="11780" max="11780" width="11" style="3633" customWidth="1"/>
    <col min="11781" max="11781" width="12" style="3633" bestFit="1" customWidth="1"/>
    <col min="11782" max="11782" width="12.625" style="3633" bestFit="1" customWidth="1"/>
    <col min="11783" max="11783" width="12" style="3633" bestFit="1" customWidth="1"/>
    <col min="11784" max="11784" width="48" style="3633" bestFit="1" customWidth="1"/>
    <col min="11785" max="11785" width="31.625" style="3633" bestFit="1" customWidth="1"/>
    <col min="11786" max="11786" width="17" style="3633" bestFit="1" customWidth="1"/>
    <col min="11787" max="11787" width="13.875" style="3633" bestFit="1" customWidth="1"/>
    <col min="11788" max="11788" width="15" style="3633" bestFit="1" customWidth="1"/>
    <col min="11789" max="11789" width="14.5" style="3633" bestFit="1" customWidth="1"/>
    <col min="11790" max="11792" width="11.5" style="3633" bestFit="1" customWidth="1"/>
    <col min="11793" max="11793" width="15.125" style="3633" bestFit="1" customWidth="1"/>
    <col min="11794" max="11794" width="11.5" style="3633" bestFit="1" customWidth="1"/>
    <col min="11795" max="11795" width="12.625" style="3633" bestFit="1" customWidth="1"/>
    <col min="11796" max="11796" width="10.25" style="3633" bestFit="1" customWidth="1"/>
    <col min="11797" max="11797" width="17" style="3633" bestFit="1" customWidth="1"/>
    <col min="11798" max="11798" width="18.25" style="3633" bestFit="1" customWidth="1"/>
    <col min="11799" max="11799" width="55.625" style="3633" customWidth="1"/>
    <col min="11800" max="11800" width="43.875" style="3633" bestFit="1" customWidth="1"/>
    <col min="11801" max="11801" width="19.5" style="3633" bestFit="1" customWidth="1"/>
    <col min="11802" max="11802" width="9" style="3633"/>
    <col min="11803" max="11803" width="12.125" style="3633" bestFit="1" customWidth="1"/>
    <col min="11804" max="12032" width="9" style="3633"/>
    <col min="12033" max="12033" width="3.5" style="3633" bestFit="1" customWidth="1"/>
    <col min="12034" max="12034" width="6.5" style="3633" bestFit="1" customWidth="1"/>
    <col min="12035" max="12035" width="7.5" style="3633" bestFit="1" customWidth="1"/>
    <col min="12036" max="12036" width="11" style="3633" customWidth="1"/>
    <col min="12037" max="12037" width="12" style="3633" bestFit="1" customWidth="1"/>
    <col min="12038" max="12038" width="12.625" style="3633" bestFit="1" customWidth="1"/>
    <col min="12039" max="12039" width="12" style="3633" bestFit="1" customWidth="1"/>
    <col min="12040" max="12040" width="48" style="3633" bestFit="1" customWidth="1"/>
    <col min="12041" max="12041" width="31.625" style="3633" bestFit="1" customWidth="1"/>
    <col min="12042" max="12042" width="17" style="3633" bestFit="1" customWidth="1"/>
    <col min="12043" max="12043" width="13.875" style="3633" bestFit="1" customWidth="1"/>
    <col min="12044" max="12044" width="15" style="3633" bestFit="1" customWidth="1"/>
    <col min="12045" max="12045" width="14.5" style="3633" bestFit="1" customWidth="1"/>
    <col min="12046" max="12048" width="11.5" style="3633" bestFit="1" customWidth="1"/>
    <col min="12049" max="12049" width="15.125" style="3633" bestFit="1" customWidth="1"/>
    <col min="12050" max="12050" width="11.5" style="3633" bestFit="1" customWidth="1"/>
    <col min="12051" max="12051" width="12.625" style="3633" bestFit="1" customWidth="1"/>
    <col min="12052" max="12052" width="10.25" style="3633" bestFit="1" customWidth="1"/>
    <col min="12053" max="12053" width="17" style="3633" bestFit="1" customWidth="1"/>
    <col min="12054" max="12054" width="18.25" style="3633" bestFit="1" customWidth="1"/>
    <col min="12055" max="12055" width="55.625" style="3633" customWidth="1"/>
    <col min="12056" max="12056" width="43.875" style="3633" bestFit="1" customWidth="1"/>
    <col min="12057" max="12057" width="19.5" style="3633" bestFit="1" customWidth="1"/>
    <col min="12058" max="12058" width="9" style="3633"/>
    <col min="12059" max="12059" width="12.125" style="3633" bestFit="1" customWidth="1"/>
    <col min="12060" max="12288" width="9" style="3633"/>
    <col min="12289" max="12289" width="3.5" style="3633" bestFit="1" customWidth="1"/>
    <col min="12290" max="12290" width="6.5" style="3633" bestFit="1" customWidth="1"/>
    <col min="12291" max="12291" width="7.5" style="3633" bestFit="1" customWidth="1"/>
    <col min="12292" max="12292" width="11" style="3633" customWidth="1"/>
    <col min="12293" max="12293" width="12" style="3633" bestFit="1" customWidth="1"/>
    <col min="12294" max="12294" width="12.625" style="3633" bestFit="1" customWidth="1"/>
    <col min="12295" max="12295" width="12" style="3633" bestFit="1" customWidth="1"/>
    <col min="12296" max="12296" width="48" style="3633" bestFit="1" customWidth="1"/>
    <col min="12297" max="12297" width="31.625" style="3633" bestFit="1" customWidth="1"/>
    <col min="12298" max="12298" width="17" style="3633" bestFit="1" customWidth="1"/>
    <col min="12299" max="12299" width="13.875" style="3633" bestFit="1" customWidth="1"/>
    <col min="12300" max="12300" width="15" style="3633" bestFit="1" customWidth="1"/>
    <col min="12301" max="12301" width="14.5" style="3633" bestFit="1" customWidth="1"/>
    <col min="12302" max="12304" width="11.5" style="3633" bestFit="1" customWidth="1"/>
    <col min="12305" max="12305" width="15.125" style="3633" bestFit="1" customWidth="1"/>
    <col min="12306" max="12306" width="11.5" style="3633" bestFit="1" customWidth="1"/>
    <col min="12307" max="12307" width="12.625" style="3633" bestFit="1" customWidth="1"/>
    <col min="12308" max="12308" width="10.25" style="3633" bestFit="1" customWidth="1"/>
    <col min="12309" max="12309" width="17" style="3633" bestFit="1" customWidth="1"/>
    <col min="12310" max="12310" width="18.25" style="3633" bestFit="1" customWidth="1"/>
    <col min="12311" max="12311" width="55.625" style="3633" customWidth="1"/>
    <col min="12312" max="12312" width="43.875" style="3633" bestFit="1" customWidth="1"/>
    <col min="12313" max="12313" width="19.5" style="3633" bestFit="1" customWidth="1"/>
    <col min="12314" max="12314" width="9" style="3633"/>
    <col min="12315" max="12315" width="12.125" style="3633" bestFit="1" customWidth="1"/>
    <col min="12316" max="12544" width="9" style="3633"/>
    <col min="12545" max="12545" width="3.5" style="3633" bestFit="1" customWidth="1"/>
    <col min="12546" max="12546" width="6.5" style="3633" bestFit="1" customWidth="1"/>
    <col min="12547" max="12547" width="7.5" style="3633" bestFit="1" customWidth="1"/>
    <col min="12548" max="12548" width="11" style="3633" customWidth="1"/>
    <col min="12549" max="12549" width="12" style="3633" bestFit="1" customWidth="1"/>
    <col min="12550" max="12550" width="12.625" style="3633" bestFit="1" customWidth="1"/>
    <col min="12551" max="12551" width="12" style="3633" bestFit="1" customWidth="1"/>
    <col min="12552" max="12552" width="48" style="3633" bestFit="1" customWidth="1"/>
    <col min="12553" max="12553" width="31.625" style="3633" bestFit="1" customWidth="1"/>
    <col min="12554" max="12554" width="17" style="3633" bestFit="1" customWidth="1"/>
    <col min="12555" max="12555" width="13.875" style="3633" bestFit="1" customWidth="1"/>
    <col min="12556" max="12556" width="15" style="3633" bestFit="1" customWidth="1"/>
    <col min="12557" max="12557" width="14.5" style="3633" bestFit="1" customWidth="1"/>
    <col min="12558" max="12560" width="11.5" style="3633" bestFit="1" customWidth="1"/>
    <col min="12561" max="12561" width="15.125" style="3633" bestFit="1" customWidth="1"/>
    <col min="12562" max="12562" width="11.5" style="3633" bestFit="1" customWidth="1"/>
    <col min="12563" max="12563" width="12.625" style="3633" bestFit="1" customWidth="1"/>
    <col min="12564" max="12564" width="10.25" style="3633" bestFit="1" customWidth="1"/>
    <col min="12565" max="12565" width="17" style="3633" bestFit="1" customWidth="1"/>
    <col min="12566" max="12566" width="18.25" style="3633" bestFit="1" customWidth="1"/>
    <col min="12567" max="12567" width="55.625" style="3633" customWidth="1"/>
    <col min="12568" max="12568" width="43.875" style="3633" bestFit="1" customWidth="1"/>
    <col min="12569" max="12569" width="19.5" style="3633" bestFit="1" customWidth="1"/>
    <col min="12570" max="12570" width="9" style="3633"/>
    <col min="12571" max="12571" width="12.125" style="3633" bestFit="1" customWidth="1"/>
    <col min="12572" max="12800" width="9" style="3633"/>
    <col min="12801" max="12801" width="3.5" style="3633" bestFit="1" customWidth="1"/>
    <col min="12802" max="12802" width="6.5" style="3633" bestFit="1" customWidth="1"/>
    <col min="12803" max="12803" width="7.5" style="3633" bestFit="1" customWidth="1"/>
    <col min="12804" max="12804" width="11" style="3633" customWidth="1"/>
    <col min="12805" max="12805" width="12" style="3633" bestFit="1" customWidth="1"/>
    <col min="12806" max="12806" width="12.625" style="3633" bestFit="1" customWidth="1"/>
    <col min="12807" max="12807" width="12" style="3633" bestFit="1" customWidth="1"/>
    <col min="12808" max="12808" width="48" style="3633" bestFit="1" customWidth="1"/>
    <col min="12809" max="12809" width="31.625" style="3633" bestFit="1" customWidth="1"/>
    <col min="12810" max="12810" width="17" style="3633" bestFit="1" customWidth="1"/>
    <col min="12811" max="12811" width="13.875" style="3633" bestFit="1" customWidth="1"/>
    <col min="12812" max="12812" width="15" style="3633" bestFit="1" customWidth="1"/>
    <col min="12813" max="12813" width="14.5" style="3633" bestFit="1" customWidth="1"/>
    <col min="12814" max="12816" width="11.5" style="3633" bestFit="1" customWidth="1"/>
    <col min="12817" max="12817" width="15.125" style="3633" bestFit="1" customWidth="1"/>
    <col min="12818" max="12818" width="11.5" style="3633" bestFit="1" customWidth="1"/>
    <col min="12819" max="12819" width="12.625" style="3633" bestFit="1" customWidth="1"/>
    <col min="12820" max="12820" width="10.25" style="3633" bestFit="1" customWidth="1"/>
    <col min="12821" max="12821" width="17" style="3633" bestFit="1" customWidth="1"/>
    <col min="12822" max="12822" width="18.25" style="3633" bestFit="1" customWidth="1"/>
    <col min="12823" max="12823" width="55.625" style="3633" customWidth="1"/>
    <col min="12824" max="12824" width="43.875" style="3633" bestFit="1" customWidth="1"/>
    <col min="12825" max="12825" width="19.5" style="3633" bestFit="1" customWidth="1"/>
    <col min="12826" max="12826" width="9" style="3633"/>
    <col min="12827" max="12827" width="12.125" style="3633" bestFit="1" customWidth="1"/>
    <col min="12828" max="13056" width="9" style="3633"/>
    <col min="13057" max="13057" width="3.5" style="3633" bestFit="1" customWidth="1"/>
    <col min="13058" max="13058" width="6.5" style="3633" bestFit="1" customWidth="1"/>
    <col min="13059" max="13059" width="7.5" style="3633" bestFit="1" customWidth="1"/>
    <col min="13060" max="13060" width="11" style="3633" customWidth="1"/>
    <col min="13061" max="13061" width="12" style="3633" bestFit="1" customWidth="1"/>
    <col min="13062" max="13062" width="12.625" style="3633" bestFit="1" customWidth="1"/>
    <col min="13063" max="13063" width="12" style="3633" bestFit="1" customWidth="1"/>
    <col min="13064" max="13064" width="48" style="3633" bestFit="1" customWidth="1"/>
    <col min="13065" max="13065" width="31.625" style="3633" bestFit="1" customWidth="1"/>
    <col min="13066" max="13066" width="17" style="3633" bestFit="1" customWidth="1"/>
    <col min="13067" max="13067" width="13.875" style="3633" bestFit="1" customWidth="1"/>
    <col min="13068" max="13068" width="15" style="3633" bestFit="1" customWidth="1"/>
    <col min="13069" max="13069" width="14.5" style="3633" bestFit="1" customWidth="1"/>
    <col min="13070" max="13072" width="11.5" style="3633" bestFit="1" customWidth="1"/>
    <col min="13073" max="13073" width="15.125" style="3633" bestFit="1" customWidth="1"/>
    <col min="13074" max="13074" width="11.5" style="3633" bestFit="1" customWidth="1"/>
    <col min="13075" max="13075" width="12.625" style="3633" bestFit="1" customWidth="1"/>
    <col min="13076" max="13076" width="10.25" style="3633" bestFit="1" customWidth="1"/>
    <col min="13077" max="13077" width="17" style="3633" bestFit="1" customWidth="1"/>
    <col min="13078" max="13078" width="18.25" style="3633" bestFit="1" customWidth="1"/>
    <col min="13079" max="13079" width="55.625" style="3633" customWidth="1"/>
    <col min="13080" max="13080" width="43.875" style="3633" bestFit="1" customWidth="1"/>
    <col min="13081" max="13081" width="19.5" style="3633" bestFit="1" customWidth="1"/>
    <col min="13082" max="13082" width="9" style="3633"/>
    <col min="13083" max="13083" width="12.125" style="3633" bestFit="1" customWidth="1"/>
    <col min="13084" max="13312" width="9" style="3633"/>
    <col min="13313" max="13313" width="3.5" style="3633" bestFit="1" customWidth="1"/>
    <col min="13314" max="13314" width="6.5" style="3633" bestFit="1" customWidth="1"/>
    <col min="13315" max="13315" width="7.5" style="3633" bestFit="1" customWidth="1"/>
    <col min="13316" max="13316" width="11" style="3633" customWidth="1"/>
    <col min="13317" max="13317" width="12" style="3633" bestFit="1" customWidth="1"/>
    <col min="13318" max="13318" width="12.625" style="3633" bestFit="1" customWidth="1"/>
    <col min="13319" max="13319" width="12" style="3633" bestFit="1" customWidth="1"/>
    <col min="13320" max="13320" width="48" style="3633" bestFit="1" customWidth="1"/>
    <col min="13321" max="13321" width="31.625" style="3633" bestFit="1" customWidth="1"/>
    <col min="13322" max="13322" width="17" style="3633" bestFit="1" customWidth="1"/>
    <col min="13323" max="13323" width="13.875" style="3633" bestFit="1" customWidth="1"/>
    <col min="13324" max="13324" width="15" style="3633" bestFit="1" customWidth="1"/>
    <col min="13325" max="13325" width="14.5" style="3633" bestFit="1" customWidth="1"/>
    <col min="13326" max="13328" width="11.5" style="3633" bestFit="1" customWidth="1"/>
    <col min="13329" max="13329" width="15.125" style="3633" bestFit="1" customWidth="1"/>
    <col min="13330" max="13330" width="11.5" style="3633" bestFit="1" customWidth="1"/>
    <col min="13331" max="13331" width="12.625" style="3633" bestFit="1" customWidth="1"/>
    <col min="13332" max="13332" width="10.25" style="3633" bestFit="1" customWidth="1"/>
    <col min="13333" max="13333" width="17" style="3633" bestFit="1" customWidth="1"/>
    <col min="13334" max="13334" width="18.25" style="3633" bestFit="1" customWidth="1"/>
    <col min="13335" max="13335" width="55.625" style="3633" customWidth="1"/>
    <col min="13336" max="13336" width="43.875" style="3633" bestFit="1" customWidth="1"/>
    <col min="13337" max="13337" width="19.5" style="3633" bestFit="1" customWidth="1"/>
    <col min="13338" max="13338" width="9" style="3633"/>
    <col min="13339" max="13339" width="12.125" style="3633" bestFit="1" customWidth="1"/>
    <col min="13340" max="13568" width="9" style="3633"/>
    <col min="13569" max="13569" width="3.5" style="3633" bestFit="1" customWidth="1"/>
    <col min="13570" max="13570" width="6.5" style="3633" bestFit="1" customWidth="1"/>
    <col min="13571" max="13571" width="7.5" style="3633" bestFit="1" customWidth="1"/>
    <col min="13572" max="13572" width="11" style="3633" customWidth="1"/>
    <col min="13573" max="13573" width="12" style="3633" bestFit="1" customWidth="1"/>
    <col min="13574" max="13574" width="12.625" style="3633" bestFit="1" customWidth="1"/>
    <col min="13575" max="13575" width="12" style="3633" bestFit="1" customWidth="1"/>
    <col min="13576" max="13576" width="48" style="3633" bestFit="1" customWidth="1"/>
    <col min="13577" max="13577" width="31.625" style="3633" bestFit="1" customWidth="1"/>
    <col min="13578" max="13578" width="17" style="3633" bestFit="1" customWidth="1"/>
    <col min="13579" max="13579" width="13.875" style="3633" bestFit="1" customWidth="1"/>
    <col min="13580" max="13580" width="15" style="3633" bestFit="1" customWidth="1"/>
    <col min="13581" max="13581" width="14.5" style="3633" bestFit="1" customWidth="1"/>
    <col min="13582" max="13584" width="11.5" style="3633" bestFit="1" customWidth="1"/>
    <col min="13585" max="13585" width="15.125" style="3633" bestFit="1" customWidth="1"/>
    <col min="13586" max="13586" width="11.5" style="3633" bestFit="1" customWidth="1"/>
    <col min="13587" max="13587" width="12.625" style="3633" bestFit="1" customWidth="1"/>
    <col min="13588" max="13588" width="10.25" style="3633" bestFit="1" customWidth="1"/>
    <col min="13589" max="13589" width="17" style="3633" bestFit="1" customWidth="1"/>
    <col min="13590" max="13590" width="18.25" style="3633" bestFit="1" customWidth="1"/>
    <col min="13591" max="13591" width="55.625" style="3633" customWidth="1"/>
    <col min="13592" max="13592" width="43.875" style="3633" bestFit="1" customWidth="1"/>
    <col min="13593" max="13593" width="19.5" style="3633" bestFit="1" customWidth="1"/>
    <col min="13594" max="13594" width="9" style="3633"/>
    <col min="13595" max="13595" width="12.125" style="3633" bestFit="1" customWidth="1"/>
    <col min="13596" max="13824" width="9" style="3633"/>
    <col min="13825" max="13825" width="3.5" style="3633" bestFit="1" customWidth="1"/>
    <col min="13826" max="13826" width="6.5" style="3633" bestFit="1" customWidth="1"/>
    <col min="13827" max="13827" width="7.5" style="3633" bestFit="1" customWidth="1"/>
    <col min="13828" max="13828" width="11" style="3633" customWidth="1"/>
    <col min="13829" max="13829" width="12" style="3633" bestFit="1" customWidth="1"/>
    <col min="13830" max="13830" width="12.625" style="3633" bestFit="1" customWidth="1"/>
    <col min="13831" max="13831" width="12" style="3633" bestFit="1" customWidth="1"/>
    <col min="13832" max="13832" width="48" style="3633" bestFit="1" customWidth="1"/>
    <col min="13833" max="13833" width="31.625" style="3633" bestFit="1" customWidth="1"/>
    <col min="13834" max="13834" width="17" style="3633" bestFit="1" customWidth="1"/>
    <col min="13835" max="13835" width="13.875" style="3633" bestFit="1" customWidth="1"/>
    <col min="13836" max="13836" width="15" style="3633" bestFit="1" customWidth="1"/>
    <col min="13837" max="13837" width="14.5" style="3633" bestFit="1" customWidth="1"/>
    <col min="13838" max="13840" width="11.5" style="3633" bestFit="1" customWidth="1"/>
    <col min="13841" max="13841" width="15.125" style="3633" bestFit="1" customWidth="1"/>
    <col min="13842" max="13842" width="11.5" style="3633" bestFit="1" customWidth="1"/>
    <col min="13843" max="13843" width="12.625" style="3633" bestFit="1" customWidth="1"/>
    <col min="13844" max="13844" width="10.25" style="3633" bestFit="1" customWidth="1"/>
    <col min="13845" max="13845" width="17" style="3633" bestFit="1" customWidth="1"/>
    <col min="13846" max="13846" width="18.25" style="3633" bestFit="1" customWidth="1"/>
    <col min="13847" max="13847" width="55.625" style="3633" customWidth="1"/>
    <col min="13848" max="13848" width="43.875" style="3633" bestFit="1" customWidth="1"/>
    <col min="13849" max="13849" width="19.5" style="3633" bestFit="1" customWidth="1"/>
    <col min="13850" max="13850" width="9" style="3633"/>
    <col min="13851" max="13851" width="12.125" style="3633" bestFit="1" customWidth="1"/>
    <col min="13852" max="14080" width="9" style="3633"/>
    <col min="14081" max="14081" width="3.5" style="3633" bestFit="1" customWidth="1"/>
    <col min="14082" max="14082" width="6.5" style="3633" bestFit="1" customWidth="1"/>
    <col min="14083" max="14083" width="7.5" style="3633" bestFit="1" customWidth="1"/>
    <col min="14084" max="14084" width="11" style="3633" customWidth="1"/>
    <col min="14085" max="14085" width="12" style="3633" bestFit="1" customWidth="1"/>
    <col min="14086" max="14086" width="12.625" style="3633" bestFit="1" customWidth="1"/>
    <col min="14087" max="14087" width="12" style="3633" bestFit="1" customWidth="1"/>
    <col min="14088" max="14088" width="48" style="3633" bestFit="1" customWidth="1"/>
    <col min="14089" max="14089" width="31.625" style="3633" bestFit="1" customWidth="1"/>
    <col min="14090" max="14090" width="17" style="3633" bestFit="1" customWidth="1"/>
    <col min="14091" max="14091" width="13.875" style="3633" bestFit="1" customWidth="1"/>
    <col min="14092" max="14092" width="15" style="3633" bestFit="1" customWidth="1"/>
    <col min="14093" max="14093" width="14.5" style="3633" bestFit="1" customWidth="1"/>
    <col min="14094" max="14096" width="11.5" style="3633" bestFit="1" customWidth="1"/>
    <col min="14097" max="14097" width="15.125" style="3633" bestFit="1" customWidth="1"/>
    <col min="14098" max="14098" width="11.5" style="3633" bestFit="1" customWidth="1"/>
    <col min="14099" max="14099" width="12.625" style="3633" bestFit="1" customWidth="1"/>
    <col min="14100" max="14100" width="10.25" style="3633" bestFit="1" customWidth="1"/>
    <col min="14101" max="14101" width="17" style="3633" bestFit="1" customWidth="1"/>
    <col min="14102" max="14102" width="18.25" style="3633" bestFit="1" customWidth="1"/>
    <col min="14103" max="14103" width="55.625" style="3633" customWidth="1"/>
    <col min="14104" max="14104" width="43.875" style="3633" bestFit="1" customWidth="1"/>
    <col min="14105" max="14105" width="19.5" style="3633" bestFit="1" customWidth="1"/>
    <col min="14106" max="14106" width="9" style="3633"/>
    <col min="14107" max="14107" width="12.125" style="3633" bestFit="1" customWidth="1"/>
    <col min="14108" max="14336" width="9" style="3633"/>
    <col min="14337" max="14337" width="3.5" style="3633" bestFit="1" customWidth="1"/>
    <col min="14338" max="14338" width="6.5" style="3633" bestFit="1" customWidth="1"/>
    <col min="14339" max="14339" width="7.5" style="3633" bestFit="1" customWidth="1"/>
    <col min="14340" max="14340" width="11" style="3633" customWidth="1"/>
    <col min="14341" max="14341" width="12" style="3633" bestFit="1" customWidth="1"/>
    <col min="14342" max="14342" width="12.625" style="3633" bestFit="1" customWidth="1"/>
    <col min="14343" max="14343" width="12" style="3633" bestFit="1" customWidth="1"/>
    <col min="14344" max="14344" width="48" style="3633" bestFit="1" customWidth="1"/>
    <col min="14345" max="14345" width="31.625" style="3633" bestFit="1" customWidth="1"/>
    <col min="14346" max="14346" width="17" style="3633" bestFit="1" customWidth="1"/>
    <col min="14347" max="14347" width="13.875" style="3633" bestFit="1" customWidth="1"/>
    <col min="14348" max="14348" width="15" style="3633" bestFit="1" customWidth="1"/>
    <col min="14349" max="14349" width="14.5" style="3633" bestFit="1" customWidth="1"/>
    <col min="14350" max="14352" width="11.5" style="3633" bestFit="1" customWidth="1"/>
    <col min="14353" max="14353" width="15.125" style="3633" bestFit="1" customWidth="1"/>
    <col min="14354" max="14354" width="11.5" style="3633" bestFit="1" customWidth="1"/>
    <col min="14355" max="14355" width="12.625" style="3633" bestFit="1" customWidth="1"/>
    <col min="14356" max="14356" width="10.25" style="3633" bestFit="1" customWidth="1"/>
    <col min="14357" max="14357" width="17" style="3633" bestFit="1" customWidth="1"/>
    <col min="14358" max="14358" width="18.25" style="3633" bestFit="1" customWidth="1"/>
    <col min="14359" max="14359" width="55.625" style="3633" customWidth="1"/>
    <col min="14360" max="14360" width="43.875" style="3633" bestFit="1" customWidth="1"/>
    <col min="14361" max="14361" width="19.5" style="3633" bestFit="1" customWidth="1"/>
    <col min="14362" max="14362" width="9" style="3633"/>
    <col min="14363" max="14363" width="12.125" style="3633" bestFit="1" customWidth="1"/>
    <col min="14364" max="14592" width="9" style="3633"/>
    <col min="14593" max="14593" width="3.5" style="3633" bestFit="1" customWidth="1"/>
    <col min="14594" max="14594" width="6.5" style="3633" bestFit="1" customWidth="1"/>
    <col min="14595" max="14595" width="7.5" style="3633" bestFit="1" customWidth="1"/>
    <col min="14596" max="14596" width="11" style="3633" customWidth="1"/>
    <col min="14597" max="14597" width="12" style="3633" bestFit="1" customWidth="1"/>
    <col min="14598" max="14598" width="12.625" style="3633" bestFit="1" customWidth="1"/>
    <col min="14599" max="14599" width="12" style="3633" bestFit="1" customWidth="1"/>
    <col min="14600" max="14600" width="48" style="3633" bestFit="1" customWidth="1"/>
    <col min="14601" max="14601" width="31.625" style="3633" bestFit="1" customWidth="1"/>
    <col min="14602" max="14602" width="17" style="3633" bestFit="1" customWidth="1"/>
    <col min="14603" max="14603" width="13.875" style="3633" bestFit="1" customWidth="1"/>
    <col min="14604" max="14604" width="15" style="3633" bestFit="1" customWidth="1"/>
    <col min="14605" max="14605" width="14.5" style="3633" bestFit="1" customWidth="1"/>
    <col min="14606" max="14608" width="11.5" style="3633" bestFit="1" customWidth="1"/>
    <col min="14609" max="14609" width="15.125" style="3633" bestFit="1" customWidth="1"/>
    <col min="14610" max="14610" width="11.5" style="3633" bestFit="1" customWidth="1"/>
    <col min="14611" max="14611" width="12.625" style="3633" bestFit="1" customWidth="1"/>
    <col min="14612" max="14612" width="10.25" style="3633" bestFit="1" customWidth="1"/>
    <col min="14613" max="14613" width="17" style="3633" bestFit="1" customWidth="1"/>
    <col min="14614" max="14614" width="18.25" style="3633" bestFit="1" customWidth="1"/>
    <col min="14615" max="14615" width="55.625" style="3633" customWidth="1"/>
    <col min="14616" max="14616" width="43.875" style="3633" bestFit="1" customWidth="1"/>
    <col min="14617" max="14617" width="19.5" style="3633" bestFit="1" customWidth="1"/>
    <col min="14618" max="14618" width="9" style="3633"/>
    <col min="14619" max="14619" width="12.125" style="3633" bestFit="1" customWidth="1"/>
    <col min="14620" max="14848" width="9" style="3633"/>
    <col min="14849" max="14849" width="3.5" style="3633" bestFit="1" customWidth="1"/>
    <col min="14850" max="14850" width="6.5" style="3633" bestFit="1" customWidth="1"/>
    <col min="14851" max="14851" width="7.5" style="3633" bestFit="1" customWidth="1"/>
    <col min="14852" max="14852" width="11" style="3633" customWidth="1"/>
    <col min="14853" max="14853" width="12" style="3633" bestFit="1" customWidth="1"/>
    <col min="14854" max="14854" width="12.625" style="3633" bestFit="1" customWidth="1"/>
    <col min="14855" max="14855" width="12" style="3633" bestFit="1" customWidth="1"/>
    <col min="14856" max="14856" width="48" style="3633" bestFit="1" customWidth="1"/>
    <col min="14857" max="14857" width="31.625" style="3633" bestFit="1" customWidth="1"/>
    <col min="14858" max="14858" width="17" style="3633" bestFit="1" customWidth="1"/>
    <col min="14859" max="14859" width="13.875" style="3633" bestFit="1" customWidth="1"/>
    <col min="14860" max="14860" width="15" style="3633" bestFit="1" customWidth="1"/>
    <col min="14861" max="14861" width="14.5" style="3633" bestFit="1" customWidth="1"/>
    <col min="14862" max="14864" width="11.5" style="3633" bestFit="1" customWidth="1"/>
    <col min="14865" max="14865" width="15.125" style="3633" bestFit="1" customWidth="1"/>
    <col min="14866" max="14866" width="11.5" style="3633" bestFit="1" customWidth="1"/>
    <col min="14867" max="14867" width="12.625" style="3633" bestFit="1" customWidth="1"/>
    <col min="14868" max="14868" width="10.25" style="3633" bestFit="1" customWidth="1"/>
    <col min="14869" max="14869" width="17" style="3633" bestFit="1" customWidth="1"/>
    <col min="14870" max="14870" width="18.25" style="3633" bestFit="1" customWidth="1"/>
    <col min="14871" max="14871" width="55.625" style="3633" customWidth="1"/>
    <col min="14872" max="14872" width="43.875" style="3633" bestFit="1" customWidth="1"/>
    <col min="14873" max="14873" width="19.5" style="3633" bestFit="1" customWidth="1"/>
    <col min="14874" max="14874" width="9" style="3633"/>
    <col min="14875" max="14875" width="12.125" style="3633" bestFit="1" customWidth="1"/>
    <col min="14876" max="15104" width="9" style="3633"/>
    <col min="15105" max="15105" width="3.5" style="3633" bestFit="1" customWidth="1"/>
    <col min="15106" max="15106" width="6.5" style="3633" bestFit="1" customWidth="1"/>
    <col min="15107" max="15107" width="7.5" style="3633" bestFit="1" customWidth="1"/>
    <col min="15108" max="15108" width="11" style="3633" customWidth="1"/>
    <col min="15109" max="15109" width="12" style="3633" bestFit="1" customWidth="1"/>
    <col min="15110" max="15110" width="12.625" style="3633" bestFit="1" customWidth="1"/>
    <col min="15111" max="15111" width="12" style="3633" bestFit="1" customWidth="1"/>
    <col min="15112" max="15112" width="48" style="3633" bestFit="1" customWidth="1"/>
    <col min="15113" max="15113" width="31.625" style="3633" bestFit="1" customWidth="1"/>
    <col min="15114" max="15114" width="17" style="3633" bestFit="1" customWidth="1"/>
    <col min="15115" max="15115" width="13.875" style="3633" bestFit="1" customWidth="1"/>
    <col min="15116" max="15116" width="15" style="3633" bestFit="1" customWidth="1"/>
    <col min="15117" max="15117" width="14.5" style="3633" bestFit="1" customWidth="1"/>
    <col min="15118" max="15120" width="11.5" style="3633" bestFit="1" customWidth="1"/>
    <col min="15121" max="15121" width="15.125" style="3633" bestFit="1" customWidth="1"/>
    <col min="15122" max="15122" width="11.5" style="3633" bestFit="1" customWidth="1"/>
    <col min="15123" max="15123" width="12.625" style="3633" bestFit="1" customWidth="1"/>
    <col min="15124" max="15124" width="10.25" style="3633" bestFit="1" customWidth="1"/>
    <col min="15125" max="15125" width="17" style="3633" bestFit="1" customWidth="1"/>
    <col min="15126" max="15126" width="18.25" style="3633" bestFit="1" customWidth="1"/>
    <col min="15127" max="15127" width="55.625" style="3633" customWidth="1"/>
    <col min="15128" max="15128" width="43.875" style="3633" bestFit="1" customWidth="1"/>
    <col min="15129" max="15129" width="19.5" style="3633" bestFit="1" customWidth="1"/>
    <col min="15130" max="15130" width="9" style="3633"/>
    <col min="15131" max="15131" width="12.125" style="3633" bestFit="1" customWidth="1"/>
    <col min="15132" max="15360" width="9" style="3633"/>
    <col min="15361" max="15361" width="3.5" style="3633" bestFit="1" customWidth="1"/>
    <col min="15362" max="15362" width="6.5" style="3633" bestFit="1" customWidth="1"/>
    <col min="15363" max="15363" width="7.5" style="3633" bestFit="1" customWidth="1"/>
    <col min="15364" max="15364" width="11" style="3633" customWidth="1"/>
    <col min="15365" max="15365" width="12" style="3633" bestFit="1" customWidth="1"/>
    <col min="15366" max="15366" width="12.625" style="3633" bestFit="1" customWidth="1"/>
    <col min="15367" max="15367" width="12" style="3633" bestFit="1" customWidth="1"/>
    <col min="15368" max="15368" width="48" style="3633" bestFit="1" customWidth="1"/>
    <col min="15369" max="15369" width="31.625" style="3633" bestFit="1" customWidth="1"/>
    <col min="15370" max="15370" width="17" style="3633" bestFit="1" customWidth="1"/>
    <col min="15371" max="15371" width="13.875" style="3633" bestFit="1" customWidth="1"/>
    <col min="15372" max="15372" width="15" style="3633" bestFit="1" customWidth="1"/>
    <col min="15373" max="15373" width="14.5" style="3633" bestFit="1" customWidth="1"/>
    <col min="15374" max="15376" width="11.5" style="3633" bestFit="1" customWidth="1"/>
    <col min="15377" max="15377" width="15.125" style="3633" bestFit="1" customWidth="1"/>
    <col min="15378" max="15378" width="11.5" style="3633" bestFit="1" customWidth="1"/>
    <col min="15379" max="15379" width="12.625" style="3633" bestFit="1" customWidth="1"/>
    <col min="15380" max="15380" width="10.25" style="3633" bestFit="1" customWidth="1"/>
    <col min="15381" max="15381" width="17" style="3633" bestFit="1" customWidth="1"/>
    <col min="15382" max="15382" width="18.25" style="3633" bestFit="1" customWidth="1"/>
    <col min="15383" max="15383" width="55.625" style="3633" customWidth="1"/>
    <col min="15384" max="15384" width="43.875" style="3633" bestFit="1" customWidth="1"/>
    <col min="15385" max="15385" width="19.5" style="3633" bestFit="1" customWidth="1"/>
    <col min="15386" max="15386" width="9" style="3633"/>
    <col min="15387" max="15387" width="12.125" style="3633" bestFit="1" customWidth="1"/>
    <col min="15388" max="15616" width="9" style="3633"/>
    <col min="15617" max="15617" width="3.5" style="3633" bestFit="1" customWidth="1"/>
    <col min="15618" max="15618" width="6.5" style="3633" bestFit="1" customWidth="1"/>
    <col min="15619" max="15619" width="7.5" style="3633" bestFit="1" customWidth="1"/>
    <col min="15620" max="15620" width="11" style="3633" customWidth="1"/>
    <col min="15621" max="15621" width="12" style="3633" bestFit="1" customWidth="1"/>
    <col min="15622" max="15622" width="12.625" style="3633" bestFit="1" customWidth="1"/>
    <col min="15623" max="15623" width="12" style="3633" bestFit="1" customWidth="1"/>
    <col min="15624" max="15624" width="48" style="3633" bestFit="1" customWidth="1"/>
    <col min="15625" max="15625" width="31.625" style="3633" bestFit="1" customWidth="1"/>
    <col min="15626" max="15626" width="17" style="3633" bestFit="1" customWidth="1"/>
    <col min="15627" max="15627" width="13.875" style="3633" bestFit="1" customWidth="1"/>
    <col min="15628" max="15628" width="15" style="3633" bestFit="1" customWidth="1"/>
    <col min="15629" max="15629" width="14.5" style="3633" bestFit="1" customWidth="1"/>
    <col min="15630" max="15632" width="11.5" style="3633" bestFit="1" customWidth="1"/>
    <col min="15633" max="15633" width="15.125" style="3633" bestFit="1" customWidth="1"/>
    <col min="15634" max="15634" width="11.5" style="3633" bestFit="1" customWidth="1"/>
    <col min="15635" max="15635" width="12.625" style="3633" bestFit="1" customWidth="1"/>
    <col min="15636" max="15636" width="10.25" style="3633" bestFit="1" customWidth="1"/>
    <col min="15637" max="15637" width="17" style="3633" bestFit="1" customWidth="1"/>
    <col min="15638" max="15638" width="18.25" style="3633" bestFit="1" customWidth="1"/>
    <col min="15639" max="15639" width="55.625" style="3633" customWidth="1"/>
    <col min="15640" max="15640" width="43.875" style="3633" bestFit="1" customWidth="1"/>
    <col min="15641" max="15641" width="19.5" style="3633" bestFit="1" customWidth="1"/>
    <col min="15642" max="15642" width="9" style="3633"/>
    <col min="15643" max="15643" width="12.125" style="3633" bestFit="1" customWidth="1"/>
    <col min="15644" max="15872" width="9" style="3633"/>
    <col min="15873" max="15873" width="3.5" style="3633" bestFit="1" customWidth="1"/>
    <col min="15874" max="15874" width="6.5" style="3633" bestFit="1" customWidth="1"/>
    <col min="15875" max="15875" width="7.5" style="3633" bestFit="1" customWidth="1"/>
    <col min="15876" max="15876" width="11" style="3633" customWidth="1"/>
    <col min="15877" max="15877" width="12" style="3633" bestFit="1" customWidth="1"/>
    <col min="15878" max="15878" width="12.625" style="3633" bestFit="1" customWidth="1"/>
    <col min="15879" max="15879" width="12" style="3633" bestFit="1" customWidth="1"/>
    <col min="15880" max="15880" width="48" style="3633" bestFit="1" customWidth="1"/>
    <col min="15881" max="15881" width="31.625" style="3633" bestFit="1" customWidth="1"/>
    <col min="15882" max="15882" width="17" style="3633" bestFit="1" customWidth="1"/>
    <col min="15883" max="15883" width="13.875" style="3633" bestFit="1" customWidth="1"/>
    <col min="15884" max="15884" width="15" style="3633" bestFit="1" customWidth="1"/>
    <col min="15885" max="15885" width="14.5" style="3633" bestFit="1" customWidth="1"/>
    <col min="15886" max="15888" width="11.5" style="3633" bestFit="1" customWidth="1"/>
    <col min="15889" max="15889" width="15.125" style="3633" bestFit="1" customWidth="1"/>
    <col min="15890" max="15890" width="11.5" style="3633" bestFit="1" customWidth="1"/>
    <col min="15891" max="15891" width="12.625" style="3633" bestFit="1" customWidth="1"/>
    <col min="15892" max="15892" width="10.25" style="3633" bestFit="1" customWidth="1"/>
    <col min="15893" max="15893" width="17" style="3633" bestFit="1" customWidth="1"/>
    <col min="15894" max="15894" width="18.25" style="3633" bestFit="1" customWidth="1"/>
    <col min="15895" max="15895" width="55.625" style="3633" customWidth="1"/>
    <col min="15896" max="15896" width="43.875" style="3633" bestFit="1" customWidth="1"/>
    <col min="15897" max="15897" width="19.5" style="3633" bestFit="1" customWidth="1"/>
    <col min="15898" max="15898" width="9" style="3633"/>
    <col min="15899" max="15899" width="12.125" style="3633" bestFit="1" customWidth="1"/>
    <col min="15900" max="16128" width="9" style="3633"/>
    <col min="16129" max="16129" width="3.5" style="3633" bestFit="1" customWidth="1"/>
    <col min="16130" max="16130" width="6.5" style="3633" bestFit="1" customWidth="1"/>
    <col min="16131" max="16131" width="7.5" style="3633" bestFit="1" customWidth="1"/>
    <col min="16132" max="16132" width="11" style="3633" customWidth="1"/>
    <col min="16133" max="16133" width="12" style="3633" bestFit="1" customWidth="1"/>
    <col min="16134" max="16134" width="12.625" style="3633" bestFit="1" customWidth="1"/>
    <col min="16135" max="16135" width="12" style="3633" bestFit="1" customWidth="1"/>
    <col min="16136" max="16136" width="48" style="3633" bestFit="1" customWidth="1"/>
    <col min="16137" max="16137" width="31.625" style="3633" bestFit="1" customWidth="1"/>
    <col min="16138" max="16138" width="17" style="3633" bestFit="1" customWidth="1"/>
    <col min="16139" max="16139" width="13.875" style="3633" bestFit="1" customWidth="1"/>
    <col min="16140" max="16140" width="15" style="3633" bestFit="1" customWidth="1"/>
    <col min="16141" max="16141" width="14.5" style="3633" bestFit="1" customWidth="1"/>
    <col min="16142" max="16144" width="11.5" style="3633" bestFit="1" customWidth="1"/>
    <col min="16145" max="16145" width="15.125" style="3633" bestFit="1" customWidth="1"/>
    <col min="16146" max="16146" width="11.5" style="3633" bestFit="1" customWidth="1"/>
    <col min="16147" max="16147" width="12.625" style="3633" bestFit="1" customWidth="1"/>
    <col min="16148" max="16148" width="10.25" style="3633" bestFit="1" customWidth="1"/>
    <col min="16149" max="16149" width="17" style="3633" bestFit="1" customWidth="1"/>
    <col min="16150" max="16150" width="18.25" style="3633" bestFit="1" customWidth="1"/>
    <col min="16151" max="16151" width="55.625" style="3633" customWidth="1"/>
    <col min="16152" max="16152" width="43.875" style="3633" bestFit="1" customWidth="1"/>
    <col min="16153" max="16153" width="19.5" style="3633" bestFit="1" customWidth="1"/>
    <col min="16154" max="16154" width="9" style="3633"/>
    <col min="16155" max="16155" width="12.125" style="3633" bestFit="1" customWidth="1"/>
    <col min="16156" max="16384" width="9" style="3633"/>
  </cols>
  <sheetData>
    <row r="1" spans="1:78" s="3605" customFormat="1" ht="41.25" customHeight="1" thickBot="1">
      <c r="B1" s="3606"/>
      <c r="C1" s="4200" t="s">
        <v>3717</v>
      </c>
      <c r="D1" s="4200"/>
      <c r="E1" s="4200"/>
      <c r="F1" s="4200"/>
      <c r="G1" s="4200"/>
      <c r="H1" s="4200"/>
      <c r="I1" s="4200"/>
      <c r="J1" s="4200"/>
      <c r="K1" s="4200"/>
      <c r="L1" s="4200"/>
      <c r="M1" s="4200"/>
      <c r="N1" s="4200"/>
      <c r="O1" s="4200"/>
      <c r="P1" s="4200"/>
      <c r="Q1" s="4200"/>
      <c r="R1" s="4200"/>
      <c r="S1" s="4200"/>
      <c r="T1" s="4200"/>
      <c r="U1" s="4200"/>
      <c r="V1" s="4200"/>
      <c r="W1" s="4200"/>
      <c r="X1" s="3607"/>
      <c r="Y1" s="3608"/>
      <c r="Z1" s="3470"/>
      <c r="AA1" s="3503">
        <v>44927</v>
      </c>
      <c r="AB1" s="3503">
        <v>45292</v>
      </c>
      <c r="AC1" s="3503">
        <v>45658</v>
      </c>
      <c r="AD1" s="3503">
        <v>46023</v>
      </c>
      <c r="AE1" s="3503">
        <v>46388</v>
      </c>
      <c r="AF1" s="3503">
        <v>46753</v>
      </c>
      <c r="AG1" s="3503">
        <v>47119</v>
      </c>
      <c r="AH1" s="3503">
        <v>47484</v>
      </c>
      <c r="AI1" s="3656">
        <v>47849</v>
      </c>
      <c r="AJ1" s="3656">
        <v>48214</v>
      </c>
      <c r="AK1" s="3656">
        <v>48580</v>
      </c>
      <c r="AL1" s="3656">
        <v>48945</v>
      </c>
      <c r="AM1" s="3475"/>
      <c r="AN1" s="3475"/>
      <c r="AO1" s="3475"/>
      <c r="AP1" s="3475"/>
      <c r="AQ1" s="3475"/>
      <c r="AR1" s="3475"/>
      <c r="AS1" s="3475"/>
      <c r="AT1" s="3475"/>
      <c r="AU1" s="3475"/>
      <c r="AV1" s="3475"/>
      <c r="AW1" s="3475"/>
      <c r="AX1" s="3475"/>
      <c r="AY1" s="3475"/>
      <c r="AZ1" s="3475"/>
      <c r="BA1" s="3475"/>
      <c r="BB1" s="3475"/>
      <c r="BC1" s="3475"/>
      <c r="BD1" s="3475"/>
      <c r="BE1" s="3475"/>
      <c r="BF1" s="3475"/>
      <c r="BG1" s="3475"/>
      <c r="BH1" s="3475"/>
      <c r="BI1" s="3475"/>
      <c r="BJ1" s="3475"/>
      <c r="BK1" s="3475"/>
      <c r="BL1" s="3475"/>
      <c r="BM1" s="3475"/>
      <c r="BN1" s="3475"/>
      <c r="BO1" s="3475"/>
      <c r="BP1" s="3475"/>
      <c r="BQ1" s="3475"/>
      <c r="BR1" s="3475"/>
      <c r="BS1" s="3475"/>
      <c r="BT1" s="3475"/>
      <c r="BU1" s="3475"/>
      <c r="BV1" s="3475"/>
      <c r="BW1" s="3475"/>
      <c r="BX1" s="3475"/>
      <c r="BY1" s="3475"/>
      <c r="BZ1" s="3475"/>
    </row>
    <row r="2" spans="1:78" s="3407" customFormat="1" ht="114">
      <c r="B2" s="3511" t="s">
        <v>3461</v>
      </c>
      <c r="C2" s="3401" t="s">
        <v>3587</v>
      </c>
      <c r="D2" s="3512" t="s">
        <v>3463</v>
      </c>
      <c r="E2" s="3512" t="s">
        <v>3464</v>
      </c>
      <c r="F2" s="3512" t="s">
        <v>3588</v>
      </c>
      <c r="G2" s="3512" t="s">
        <v>3718</v>
      </c>
      <c r="H2" s="3401" t="s">
        <v>3466</v>
      </c>
      <c r="I2" s="3401" t="s">
        <v>3467</v>
      </c>
      <c r="J2" s="3403" t="s">
        <v>3468</v>
      </c>
      <c r="K2" s="3404" t="s">
        <v>3469</v>
      </c>
      <c r="L2" s="3403" t="s">
        <v>3470</v>
      </c>
      <c r="M2" s="3403" t="s">
        <v>3471</v>
      </c>
      <c r="N2" s="3403" t="s">
        <v>3589</v>
      </c>
      <c r="O2" s="3403" t="s">
        <v>3590</v>
      </c>
      <c r="P2" s="3403" t="s">
        <v>3591</v>
      </c>
      <c r="Q2" s="3403" t="s">
        <v>3592</v>
      </c>
      <c r="R2" s="3403" t="s">
        <v>3593</v>
      </c>
      <c r="S2" s="3403" t="s">
        <v>3594</v>
      </c>
      <c r="T2" s="3403" t="s">
        <v>3595</v>
      </c>
      <c r="U2" s="3403" t="s">
        <v>3473</v>
      </c>
      <c r="V2" s="3513" t="s">
        <v>3474</v>
      </c>
      <c r="W2" s="3513" t="s">
        <v>3596</v>
      </c>
      <c r="X2" s="3514" t="s">
        <v>3477</v>
      </c>
      <c r="Y2" s="3515" t="s">
        <v>3719</v>
      </c>
      <c r="Z2" s="3471">
        <f>项目基本情况!D3</f>
        <v>45226</v>
      </c>
      <c r="AA2" s="3503">
        <v>45291</v>
      </c>
      <c r="AB2" s="3503">
        <v>45657</v>
      </c>
      <c r="AC2" s="3503">
        <v>46022</v>
      </c>
      <c r="AD2" s="3503">
        <v>46387</v>
      </c>
      <c r="AE2" s="3503">
        <v>46752</v>
      </c>
      <c r="AF2" s="3503">
        <v>47118</v>
      </c>
      <c r="AG2" s="3503">
        <v>47483</v>
      </c>
      <c r="AH2" s="3503">
        <v>47848</v>
      </c>
      <c r="AI2" s="3656">
        <v>48213</v>
      </c>
      <c r="AJ2" s="3656">
        <v>48579</v>
      </c>
      <c r="AK2" s="3656">
        <v>48944</v>
      </c>
      <c r="AL2" s="3656">
        <v>49309</v>
      </c>
      <c r="AM2" s="3475"/>
      <c r="AN2" s="3475"/>
      <c r="AO2" s="3475"/>
      <c r="AP2" s="3475"/>
      <c r="AQ2" s="3475"/>
      <c r="AR2" s="3475"/>
      <c r="AS2" s="3475"/>
      <c r="AT2" s="3475"/>
      <c r="AU2" s="3475"/>
      <c r="AV2" s="3475"/>
      <c r="AW2" s="3475"/>
      <c r="AX2" s="3475"/>
      <c r="AY2" s="3475"/>
      <c r="AZ2" s="3475"/>
      <c r="BA2" s="3475"/>
      <c r="BB2" s="3475"/>
      <c r="BC2" s="3475"/>
      <c r="BD2" s="3475"/>
      <c r="BE2" s="3475"/>
      <c r="BF2" s="3475"/>
      <c r="BG2" s="3475"/>
      <c r="BH2" s="3475"/>
      <c r="BI2" s="3475"/>
      <c r="BJ2" s="3475"/>
      <c r="BK2" s="3475"/>
      <c r="BL2" s="3475"/>
      <c r="BM2" s="3475"/>
      <c r="BN2" s="3475"/>
      <c r="BO2" s="3475"/>
      <c r="BP2" s="3475"/>
      <c r="BQ2" s="3475"/>
      <c r="BR2" s="3475"/>
      <c r="BS2" s="3475"/>
      <c r="BT2" s="3475"/>
      <c r="BU2" s="3475"/>
      <c r="BV2" s="3475"/>
      <c r="BW2" s="3475"/>
      <c r="BX2" s="3475"/>
      <c r="BY2" s="3475"/>
      <c r="BZ2" s="3475"/>
    </row>
    <row r="3" spans="1:78" s="3609" customFormat="1" ht="14.25">
      <c r="A3" s="4201">
        <v>1</v>
      </c>
      <c r="B3" s="4202" t="s">
        <v>3597</v>
      </c>
      <c r="C3" s="3575" t="s">
        <v>3598</v>
      </c>
      <c r="D3" s="3517">
        <v>2591.4699999999998</v>
      </c>
      <c r="E3" s="4204">
        <v>3900</v>
      </c>
      <c r="F3" s="4204">
        <v>3900</v>
      </c>
      <c r="G3" s="4204">
        <v>2667.89</v>
      </c>
      <c r="H3" s="4205" t="s">
        <v>3720</v>
      </c>
      <c r="I3" s="4207" t="s">
        <v>3599</v>
      </c>
      <c r="J3" s="4192">
        <v>200000</v>
      </c>
      <c r="K3" s="3594">
        <f>J3*12/365/2667.89</f>
        <v>2.4646227789576876</v>
      </c>
      <c r="L3" s="4192">
        <f>80000/2667.89</f>
        <v>29.986243810651864</v>
      </c>
      <c r="M3" s="4192">
        <v>80000</v>
      </c>
      <c r="N3" s="4192"/>
      <c r="O3" s="4192"/>
      <c r="P3" s="4192"/>
      <c r="Q3" s="4192"/>
      <c r="R3" s="4192"/>
      <c r="S3" s="4192"/>
      <c r="T3" s="4192"/>
      <c r="U3" s="4192">
        <f>80000*3</f>
        <v>240000</v>
      </c>
      <c r="V3" s="4194">
        <f>200000*3</f>
        <v>600000</v>
      </c>
      <c r="W3" s="4198"/>
      <c r="X3" s="4194"/>
      <c r="Y3" s="4196">
        <f>840000</f>
        <v>840000</v>
      </c>
      <c r="Z3" s="3472"/>
      <c r="AA3" s="3505">
        <f>$D3*$K3*(AA$2-AA$1)</f>
        <v>2324866.5414467137</v>
      </c>
      <c r="AB3" s="3505">
        <f t="shared" ref="AB3:AL3" si="0">$D3*$K3*(AB$2-AB$1)</f>
        <v>2331253.5374396993</v>
      </c>
      <c r="AC3" s="3505">
        <f t="shared" si="0"/>
        <v>2324866.5414467137</v>
      </c>
      <c r="AD3" s="3505">
        <f t="shared" si="0"/>
        <v>2324866.5414467137</v>
      </c>
      <c r="AE3" s="3505">
        <f t="shared" si="0"/>
        <v>2324866.5414467137</v>
      </c>
      <c r="AF3" s="3505">
        <f t="shared" si="0"/>
        <v>2331253.5374396993</v>
      </c>
      <c r="AG3" s="3505">
        <f t="shared" si="0"/>
        <v>2324866.5414467137</v>
      </c>
      <c r="AH3" s="3505">
        <f t="shared" si="0"/>
        <v>2324866.5414467137</v>
      </c>
      <c r="AI3" s="3505">
        <f t="shared" si="0"/>
        <v>2324866.5414467137</v>
      </c>
      <c r="AJ3" s="3505">
        <f t="shared" si="0"/>
        <v>2331253.5374396993</v>
      </c>
      <c r="AK3" s="3505">
        <f t="shared" si="0"/>
        <v>2324866.5414467137</v>
      </c>
      <c r="AL3" s="3505">
        <f t="shared" si="0"/>
        <v>2324866.5414467137</v>
      </c>
      <c r="AM3" s="3477"/>
      <c r="AN3" s="3477"/>
      <c r="AO3" s="3477"/>
      <c r="AP3" s="3477"/>
      <c r="AQ3" s="3477"/>
      <c r="AR3" s="3477"/>
      <c r="AS3" s="3477"/>
      <c r="AT3" s="3477"/>
      <c r="AU3" s="3477"/>
      <c r="AV3" s="3477"/>
      <c r="AW3" s="3477"/>
      <c r="AX3" s="3477"/>
      <c r="AY3" s="3477"/>
      <c r="AZ3" s="3477"/>
      <c r="BA3" s="3477"/>
      <c r="BB3" s="3477"/>
      <c r="BC3" s="3477"/>
      <c r="BD3" s="3477"/>
      <c r="BE3" s="3477"/>
      <c r="BF3" s="3477"/>
      <c r="BG3" s="3477"/>
      <c r="BH3" s="3477"/>
      <c r="BI3" s="3477"/>
      <c r="BJ3" s="3477"/>
      <c r="BK3" s="3477"/>
      <c r="BL3" s="3477"/>
      <c r="BM3" s="3477"/>
      <c r="BN3" s="3477"/>
      <c r="BO3" s="3477"/>
      <c r="BP3" s="3477"/>
      <c r="BQ3" s="3477"/>
      <c r="BR3" s="3477"/>
      <c r="BS3" s="3477"/>
      <c r="BT3" s="3477"/>
      <c r="BU3" s="3477"/>
      <c r="BV3" s="3477"/>
      <c r="BW3" s="3477"/>
      <c r="BX3" s="3477"/>
      <c r="BY3" s="3477"/>
      <c r="BZ3" s="3477"/>
    </row>
    <row r="4" spans="1:78" s="3609" customFormat="1" ht="14.25">
      <c r="A4" s="4201"/>
      <c r="B4" s="4203"/>
      <c r="C4" s="3575" t="s">
        <v>3600</v>
      </c>
      <c r="D4" s="3517">
        <v>76.42</v>
      </c>
      <c r="E4" s="4204"/>
      <c r="F4" s="4204"/>
      <c r="G4" s="4204"/>
      <c r="H4" s="4206"/>
      <c r="I4" s="4207"/>
      <c r="J4" s="4193"/>
      <c r="K4" s="3659">
        <f>K3</f>
        <v>2.4646227789576876</v>
      </c>
      <c r="L4" s="4193"/>
      <c r="M4" s="4193"/>
      <c r="N4" s="4193"/>
      <c r="O4" s="4193"/>
      <c r="P4" s="4193"/>
      <c r="Q4" s="4193"/>
      <c r="R4" s="4193"/>
      <c r="S4" s="4193"/>
      <c r="T4" s="4193"/>
      <c r="U4" s="4193"/>
      <c r="V4" s="4195"/>
      <c r="W4" s="4199"/>
      <c r="X4" s="4195"/>
      <c r="Y4" s="4197"/>
      <c r="Z4" s="3470"/>
      <c r="AA4" s="3505">
        <f t="shared" ref="AA4:AL67" si="1">$D4*$K4*(AA$2-AA$1)</f>
        <v>68558.116087532529</v>
      </c>
      <c r="AB4" s="3505">
        <f t="shared" si="1"/>
        <v>68746.462560300468</v>
      </c>
      <c r="AC4" s="3505">
        <f t="shared" si="1"/>
        <v>68558.116087532529</v>
      </c>
      <c r="AD4" s="3505">
        <f t="shared" si="1"/>
        <v>68558.116087532529</v>
      </c>
      <c r="AE4" s="3505">
        <f t="shared" si="1"/>
        <v>68558.116087532529</v>
      </c>
      <c r="AF4" s="3505">
        <f t="shared" si="1"/>
        <v>68746.462560300468</v>
      </c>
      <c r="AG4" s="3505">
        <f t="shared" si="1"/>
        <v>68558.116087532529</v>
      </c>
      <c r="AH4" s="3505">
        <f t="shared" si="1"/>
        <v>68558.116087532529</v>
      </c>
      <c r="AI4" s="3505">
        <f t="shared" si="1"/>
        <v>68558.116087532529</v>
      </c>
      <c r="AJ4" s="3505">
        <f t="shared" si="1"/>
        <v>68746.462560300468</v>
      </c>
      <c r="AK4" s="3505">
        <f t="shared" si="1"/>
        <v>68558.116087532529</v>
      </c>
      <c r="AL4" s="3505">
        <f t="shared" si="1"/>
        <v>68558.116087532529</v>
      </c>
      <c r="AM4" s="3477"/>
      <c r="AN4" s="3477"/>
      <c r="AO4" s="3477"/>
      <c r="AP4" s="3477"/>
      <c r="AQ4" s="3477"/>
      <c r="AR4" s="3477"/>
      <c r="AS4" s="3477"/>
      <c r="AT4" s="3477"/>
      <c r="AU4" s="3477"/>
      <c r="AV4" s="3477"/>
      <c r="AW4" s="3477"/>
      <c r="AX4" s="3477"/>
      <c r="AY4" s="3477"/>
      <c r="AZ4" s="3477"/>
      <c r="BA4" s="3477"/>
      <c r="BB4" s="3477"/>
      <c r="BC4" s="3477"/>
      <c r="BD4" s="3477"/>
      <c r="BE4" s="3477"/>
      <c r="BF4" s="3477"/>
      <c r="BG4" s="3477"/>
      <c r="BH4" s="3477"/>
      <c r="BI4" s="3477"/>
      <c r="BJ4" s="3477"/>
      <c r="BK4" s="3477"/>
      <c r="BL4" s="3477"/>
      <c r="BM4" s="3477"/>
      <c r="BN4" s="3477"/>
      <c r="BO4" s="3477"/>
      <c r="BP4" s="3477"/>
      <c r="BQ4" s="3477"/>
      <c r="BR4" s="3477"/>
      <c r="BS4" s="3477"/>
      <c r="BT4" s="3477"/>
      <c r="BU4" s="3477"/>
      <c r="BV4" s="3477"/>
      <c r="BW4" s="3477"/>
      <c r="BX4" s="3477"/>
      <c r="BY4" s="3477"/>
      <c r="BZ4" s="3477"/>
    </row>
    <row r="5" spans="1:78" s="3610" customFormat="1" ht="14.25">
      <c r="B5" s="4208" t="s">
        <v>3721</v>
      </c>
      <c r="C5" s="3575" t="s">
        <v>3601</v>
      </c>
      <c r="D5" s="3517">
        <v>83.97</v>
      </c>
      <c r="E5" s="4204"/>
      <c r="F5" s="4204"/>
      <c r="G5" s="4204">
        <v>2543</v>
      </c>
      <c r="H5" s="4211" t="s">
        <v>3722</v>
      </c>
      <c r="I5" s="4212" t="s">
        <v>3723</v>
      </c>
      <c r="J5" s="4214">
        <v>210000</v>
      </c>
      <c r="K5" s="3594">
        <f>J5*12/365/2543</f>
        <v>2.7149467514907966</v>
      </c>
      <c r="L5" s="4217">
        <f>40000/2543</f>
        <v>15.729453401494299</v>
      </c>
      <c r="M5" s="4218">
        <v>40000</v>
      </c>
      <c r="N5" s="4218"/>
      <c r="O5" s="4218"/>
      <c r="P5" s="4218"/>
      <c r="Q5" s="4218"/>
      <c r="R5" s="4218"/>
      <c r="S5" s="4218"/>
      <c r="T5" s="4218"/>
      <c r="U5" s="4218">
        <f>40000*3</f>
        <v>120000</v>
      </c>
      <c r="V5" s="4219">
        <f>210000*3</f>
        <v>630000</v>
      </c>
      <c r="W5" s="4194" t="s">
        <v>3724</v>
      </c>
      <c r="X5" s="4219" t="s">
        <v>3602</v>
      </c>
      <c r="Y5" s="4221">
        <v>750000</v>
      </c>
      <c r="Z5" s="3470"/>
      <c r="AA5" s="3505">
        <f t="shared" si="1"/>
        <v>82982.564655056311</v>
      </c>
      <c r="AB5" s="3505">
        <f t="shared" si="1"/>
        <v>83210.538733779002</v>
      </c>
      <c r="AC5" s="3505">
        <f t="shared" si="1"/>
        <v>82982.564655056311</v>
      </c>
      <c r="AD5" s="3505">
        <f t="shared" si="1"/>
        <v>82982.564655056311</v>
      </c>
      <c r="AE5" s="3505">
        <f t="shared" si="1"/>
        <v>82982.564655056311</v>
      </c>
      <c r="AF5" s="3505">
        <f t="shared" si="1"/>
        <v>83210.538733779002</v>
      </c>
      <c r="AG5" s="3505">
        <f t="shared" si="1"/>
        <v>82982.564655056311</v>
      </c>
      <c r="AH5" s="3505">
        <f t="shared" si="1"/>
        <v>82982.564655056311</v>
      </c>
      <c r="AI5" s="3505">
        <f t="shared" si="1"/>
        <v>82982.564655056311</v>
      </c>
      <c r="AJ5" s="3505">
        <f t="shared" si="1"/>
        <v>83210.538733779002</v>
      </c>
      <c r="AK5" s="3505">
        <f t="shared" si="1"/>
        <v>82982.564655056311</v>
      </c>
      <c r="AL5" s="3505">
        <f t="shared" si="1"/>
        <v>82982.564655056311</v>
      </c>
      <c r="AM5" s="3477"/>
      <c r="AN5" s="3477"/>
      <c r="AO5" s="3477"/>
      <c r="AP5" s="3477"/>
      <c r="AQ5" s="3477"/>
      <c r="AR5" s="3477"/>
      <c r="AS5" s="3477"/>
      <c r="AT5" s="3477"/>
      <c r="AU5" s="3477"/>
      <c r="AV5" s="3477"/>
      <c r="AW5" s="3477"/>
      <c r="AX5" s="3477"/>
      <c r="AY5" s="3477"/>
      <c r="AZ5" s="3477"/>
      <c r="BA5" s="3477"/>
      <c r="BB5" s="3477"/>
      <c r="BC5" s="3477"/>
      <c r="BD5" s="3477"/>
      <c r="BE5" s="3477"/>
      <c r="BF5" s="3477"/>
      <c r="BG5" s="3477"/>
      <c r="BH5" s="3477"/>
      <c r="BI5" s="3477"/>
      <c r="BJ5" s="3477"/>
      <c r="BK5" s="3477"/>
      <c r="BL5" s="3477"/>
      <c r="BM5" s="3477"/>
      <c r="BN5" s="3477"/>
      <c r="BO5" s="3477"/>
      <c r="BP5" s="3477"/>
      <c r="BQ5" s="3477"/>
      <c r="BR5" s="3477"/>
      <c r="BS5" s="3477"/>
      <c r="BT5" s="3477"/>
      <c r="BU5" s="3477"/>
      <c r="BV5" s="3477"/>
      <c r="BW5" s="3477"/>
      <c r="BX5" s="3477"/>
      <c r="BY5" s="3477"/>
      <c r="BZ5" s="3477"/>
    </row>
    <row r="6" spans="1:78" s="3610" customFormat="1" ht="14.25">
      <c r="B6" s="4209"/>
      <c r="C6" s="3575" t="s">
        <v>3603</v>
      </c>
      <c r="D6" s="3517">
        <v>2085.1799999999998</v>
      </c>
      <c r="E6" s="4204"/>
      <c r="F6" s="4204"/>
      <c r="G6" s="4204"/>
      <c r="H6" s="4211"/>
      <c r="I6" s="4213"/>
      <c r="J6" s="4215"/>
      <c r="K6" s="3520">
        <f>K5</f>
        <v>2.7149467514907966</v>
      </c>
      <c r="L6" s="4218"/>
      <c r="M6" s="4218"/>
      <c r="N6" s="4218"/>
      <c r="O6" s="4218"/>
      <c r="P6" s="4218"/>
      <c r="Q6" s="4218"/>
      <c r="R6" s="4218"/>
      <c r="S6" s="4218"/>
      <c r="T6" s="4218"/>
      <c r="U6" s="4218"/>
      <c r="V6" s="4219"/>
      <c r="W6" s="4195"/>
      <c r="X6" s="4219"/>
      <c r="Y6" s="4221"/>
      <c r="Z6" s="3470"/>
      <c r="AA6" s="3505">
        <f t="shared" si="1"/>
        <v>2060659.5708875828</v>
      </c>
      <c r="AB6" s="3505">
        <f t="shared" si="1"/>
        <v>2066320.7235548564</v>
      </c>
      <c r="AC6" s="3505">
        <f t="shared" si="1"/>
        <v>2060659.5708875828</v>
      </c>
      <c r="AD6" s="3505">
        <f t="shared" si="1"/>
        <v>2060659.5708875828</v>
      </c>
      <c r="AE6" s="3505">
        <f t="shared" si="1"/>
        <v>2060659.5708875828</v>
      </c>
      <c r="AF6" s="3505">
        <f t="shared" si="1"/>
        <v>2066320.7235548564</v>
      </c>
      <c r="AG6" s="3505">
        <f t="shared" si="1"/>
        <v>2060659.5708875828</v>
      </c>
      <c r="AH6" s="3505">
        <f t="shared" si="1"/>
        <v>2060659.5708875828</v>
      </c>
      <c r="AI6" s="3505">
        <f t="shared" si="1"/>
        <v>2060659.5708875828</v>
      </c>
      <c r="AJ6" s="3505">
        <f t="shared" si="1"/>
        <v>2066320.7235548564</v>
      </c>
      <c r="AK6" s="3505">
        <f t="shared" si="1"/>
        <v>2060659.5708875828</v>
      </c>
      <c r="AL6" s="3505">
        <f t="shared" si="1"/>
        <v>2060659.5708875828</v>
      </c>
      <c r="AM6" s="3477"/>
      <c r="AN6" s="3477"/>
      <c r="AO6" s="3477"/>
      <c r="AP6" s="3477"/>
      <c r="AQ6" s="3477"/>
      <c r="AR6" s="3477"/>
      <c r="AS6" s="3477"/>
      <c r="AT6" s="3477"/>
      <c r="AU6" s="3477"/>
      <c r="AV6" s="3477"/>
      <c r="AW6" s="3477"/>
      <c r="AX6" s="3477"/>
      <c r="AY6" s="3477"/>
      <c r="AZ6" s="3477"/>
      <c r="BA6" s="3477"/>
      <c r="BB6" s="3477"/>
      <c r="BC6" s="3477"/>
      <c r="BD6" s="3477"/>
      <c r="BE6" s="3477"/>
      <c r="BF6" s="3477"/>
      <c r="BG6" s="3477"/>
      <c r="BH6" s="3477"/>
      <c r="BI6" s="3477"/>
      <c r="BJ6" s="3477"/>
      <c r="BK6" s="3477"/>
      <c r="BL6" s="3477"/>
      <c r="BM6" s="3477"/>
      <c r="BN6" s="3477"/>
      <c r="BO6" s="3477"/>
      <c r="BP6" s="3477"/>
      <c r="BQ6" s="3477"/>
      <c r="BR6" s="3477"/>
      <c r="BS6" s="3477"/>
      <c r="BT6" s="3477"/>
      <c r="BU6" s="3477"/>
      <c r="BV6" s="3477"/>
      <c r="BW6" s="3477"/>
      <c r="BX6" s="3477"/>
      <c r="BY6" s="3477"/>
      <c r="BZ6" s="3477"/>
    </row>
    <row r="7" spans="1:78" s="3610" customFormat="1" ht="14.25">
      <c r="B7" s="4209"/>
      <c r="C7" s="3575" t="s">
        <v>3604</v>
      </c>
      <c r="D7" s="3517">
        <v>165.58</v>
      </c>
      <c r="E7" s="4204"/>
      <c r="F7" s="4204"/>
      <c r="G7" s="4204"/>
      <c r="H7" s="4211"/>
      <c r="I7" s="4213"/>
      <c r="J7" s="4215"/>
      <c r="K7" s="3520">
        <f>K5</f>
        <v>2.7149467514907966</v>
      </c>
      <c r="L7" s="4218"/>
      <c r="M7" s="4218"/>
      <c r="N7" s="4218"/>
      <c r="O7" s="4218"/>
      <c r="P7" s="4218"/>
      <c r="Q7" s="4218"/>
      <c r="R7" s="4218"/>
      <c r="S7" s="4218"/>
      <c r="T7" s="4218"/>
      <c r="U7" s="4218"/>
      <c r="V7" s="4219"/>
      <c r="W7" s="4195"/>
      <c r="X7" s="4219"/>
      <c r="Y7" s="4221"/>
      <c r="Z7" s="3470"/>
      <c r="AA7" s="3505">
        <f t="shared" si="1"/>
        <v>163632.881452712</v>
      </c>
      <c r="AB7" s="3505">
        <f t="shared" si="1"/>
        <v>164082.42233582385</v>
      </c>
      <c r="AC7" s="3505">
        <f t="shared" si="1"/>
        <v>163632.881452712</v>
      </c>
      <c r="AD7" s="3505">
        <f t="shared" si="1"/>
        <v>163632.881452712</v>
      </c>
      <c r="AE7" s="3505">
        <f t="shared" si="1"/>
        <v>163632.881452712</v>
      </c>
      <c r="AF7" s="3505">
        <f t="shared" si="1"/>
        <v>164082.42233582385</v>
      </c>
      <c r="AG7" s="3505">
        <f t="shared" si="1"/>
        <v>163632.881452712</v>
      </c>
      <c r="AH7" s="3505">
        <f t="shared" si="1"/>
        <v>163632.881452712</v>
      </c>
      <c r="AI7" s="3505">
        <f t="shared" si="1"/>
        <v>163632.881452712</v>
      </c>
      <c r="AJ7" s="3505">
        <f t="shared" si="1"/>
        <v>164082.42233582385</v>
      </c>
      <c r="AK7" s="3505">
        <f t="shared" si="1"/>
        <v>163632.881452712</v>
      </c>
      <c r="AL7" s="3505">
        <f t="shared" si="1"/>
        <v>163632.881452712</v>
      </c>
      <c r="AM7" s="3477"/>
      <c r="AN7" s="3477"/>
      <c r="AO7" s="3477"/>
      <c r="AP7" s="3477"/>
      <c r="AQ7" s="3477"/>
      <c r="AR7" s="3477"/>
      <c r="AS7" s="3477"/>
      <c r="AT7" s="3477"/>
      <c r="AU7" s="3477"/>
      <c r="AV7" s="3477"/>
      <c r="AW7" s="3477"/>
      <c r="AX7" s="3477"/>
      <c r="AY7" s="3477"/>
      <c r="AZ7" s="3477"/>
      <c r="BA7" s="3477"/>
      <c r="BB7" s="3477"/>
      <c r="BC7" s="3477"/>
      <c r="BD7" s="3477"/>
      <c r="BE7" s="3477"/>
      <c r="BF7" s="3477"/>
      <c r="BG7" s="3477"/>
      <c r="BH7" s="3477"/>
      <c r="BI7" s="3477"/>
      <c r="BJ7" s="3477"/>
      <c r="BK7" s="3477"/>
      <c r="BL7" s="3477"/>
      <c r="BM7" s="3477"/>
      <c r="BN7" s="3477"/>
      <c r="BO7" s="3477"/>
      <c r="BP7" s="3477"/>
      <c r="BQ7" s="3477"/>
      <c r="BR7" s="3477"/>
      <c r="BS7" s="3477"/>
      <c r="BT7" s="3477"/>
      <c r="BU7" s="3477"/>
      <c r="BV7" s="3477"/>
      <c r="BW7" s="3477"/>
      <c r="BX7" s="3477"/>
      <c r="BY7" s="3477"/>
      <c r="BZ7" s="3477"/>
    </row>
    <row r="8" spans="1:78" s="3610" customFormat="1" ht="14.25">
      <c r="B8" s="4210"/>
      <c r="C8" s="3575" t="s">
        <v>3605</v>
      </c>
      <c r="D8" s="3517">
        <v>96.57</v>
      </c>
      <c r="E8" s="4204"/>
      <c r="F8" s="4204"/>
      <c r="G8" s="4204"/>
      <c r="H8" s="4211"/>
      <c r="I8" s="4213"/>
      <c r="J8" s="4216"/>
      <c r="K8" s="3659">
        <f>K5</f>
        <v>2.7149467514907966</v>
      </c>
      <c r="L8" s="4218"/>
      <c r="M8" s="4218"/>
      <c r="N8" s="4218"/>
      <c r="O8" s="4218"/>
      <c r="P8" s="4218"/>
      <c r="Q8" s="4218"/>
      <c r="R8" s="4218"/>
      <c r="S8" s="4218"/>
      <c r="T8" s="4218"/>
      <c r="U8" s="4218"/>
      <c r="V8" s="4219"/>
      <c r="W8" s="4220"/>
      <c r="X8" s="4219"/>
      <c r="Y8" s="4221"/>
      <c r="Z8" s="3470"/>
      <c r="AA8" s="3505">
        <f t="shared" si="1"/>
        <v>95434.39643609371</v>
      </c>
      <c r="AB8" s="3505">
        <f t="shared" si="1"/>
        <v>95696.578843885174</v>
      </c>
      <c r="AC8" s="3505">
        <f t="shared" si="1"/>
        <v>95434.39643609371</v>
      </c>
      <c r="AD8" s="3505">
        <f t="shared" si="1"/>
        <v>95434.39643609371</v>
      </c>
      <c r="AE8" s="3505">
        <f t="shared" si="1"/>
        <v>95434.39643609371</v>
      </c>
      <c r="AF8" s="3505">
        <f t="shared" si="1"/>
        <v>95696.578843885174</v>
      </c>
      <c r="AG8" s="3505">
        <f t="shared" si="1"/>
        <v>95434.39643609371</v>
      </c>
      <c r="AH8" s="3505">
        <f t="shared" si="1"/>
        <v>95434.39643609371</v>
      </c>
      <c r="AI8" s="3505">
        <f t="shared" si="1"/>
        <v>95434.39643609371</v>
      </c>
      <c r="AJ8" s="3505">
        <f t="shared" si="1"/>
        <v>95696.578843885174</v>
      </c>
      <c r="AK8" s="3505">
        <f t="shared" si="1"/>
        <v>95434.39643609371</v>
      </c>
      <c r="AL8" s="3505">
        <f t="shared" si="1"/>
        <v>95434.39643609371</v>
      </c>
      <c r="AM8" s="3477"/>
      <c r="AN8" s="3477"/>
      <c r="AO8" s="3477"/>
      <c r="AP8" s="3477"/>
      <c r="AQ8" s="3477"/>
      <c r="AR8" s="3477"/>
      <c r="AS8" s="3477"/>
      <c r="AT8" s="3477"/>
      <c r="AU8" s="3477"/>
      <c r="AV8" s="3477"/>
      <c r="AW8" s="3477"/>
      <c r="AX8" s="3477"/>
      <c r="AY8" s="3477"/>
      <c r="AZ8" s="3477"/>
      <c r="BA8" s="3477"/>
      <c r="BB8" s="3477"/>
      <c r="BC8" s="3477"/>
      <c r="BD8" s="3477"/>
      <c r="BE8" s="3477"/>
      <c r="BF8" s="3477"/>
      <c r="BG8" s="3477"/>
      <c r="BH8" s="3477"/>
      <c r="BI8" s="3477"/>
      <c r="BJ8" s="3477"/>
      <c r="BK8" s="3477"/>
      <c r="BL8" s="3477"/>
      <c r="BM8" s="3477"/>
      <c r="BN8" s="3477"/>
      <c r="BO8" s="3477"/>
      <c r="BP8" s="3477"/>
      <c r="BQ8" s="3477"/>
      <c r="BR8" s="3477"/>
      <c r="BS8" s="3477"/>
      <c r="BT8" s="3477"/>
      <c r="BU8" s="3477"/>
      <c r="BV8" s="3477"/>
      <c r="BW8" s="3477"/>
      <c r="BX8" s="3477"/>
      <c r="BY8" s="3477"/>
      <c r="BZ8" s="3477"/>
    </row>
    <row r="9" spans="1:78" s="3611" customFormat="1" ht="14.25">
      <c r="A9" s="3611">
        <v>1</v>
      </c>
      <c r="B9" s="3516" t="s">
        <v>3606</v>
      </c>
      <c r="C9" s="3575" t="s">
        <v>3607</v>
      </c>
      <c r="D9" s="3517">
        <v>470.37</v>
      </c>
      <c r="E9" s="3575">
        <v>162</v>
      </c>
      <c r="F9" s="3536">
        <v>162</v>
      </c>
      <c r="G9" s="3536">
        <v>162</v>
      </c>
      <c r="H9" s="3521" t="s">
        <v>3608</v>
      </c>
      <c r="I9" s="3519" t="s">
        <v>3609</v>
      </c>
      <c r="J9" s="3523">
        <v>345574.08</v>
      </c>
      <c r="K9" s="3522">
        <v>18.5</v>
      </c>
      <c r="L9" s="3522" t="s">
        <v>3610</v>
      </c>
      <c r="M9" s="3522">
        <v>37759.25</v>
      </c>
      <c r="N9" s="3522"/>
      <c r="O9" s="3522"/>
      <c r="P9" s="3524"/>
      <c r="Q9" s="3522"/>
      <c r="R9" s="3522"/>
      <c r="S9" s="3522"/>
      <c r="T9" s="3525"/>
      <c r="U9" s="3525">
        <f>M9*3</f>
        <v>113277.75</v>
      </c>
      <c r="V9" s="3523">
        <f>J9*3</f>
        <v>1036722.24</v>
      </c>
      <c r="W9" s="3523"/>
      <c r="X9" s="3523"/>
      <c r="Y9" s="3523">
        <v>1149999.99</v>
      </c>
      <c r="Z9" s="3470"/>
      <c r="AA9" s="3505">
        <f t="shared" si="1"/>
        <v>3167471.5799999996</v>
      </c>
      <c r="AB9" s="3505">
        <f t="shared" si="1"/>
        <v>3176173.4249999998</v>
      </c>
      <c r="AC9" s="3505">
        <f t="shared" si="1"/>
        <v>3167471.5799999996</v>
      </c>
      <c r="AD9" s="3505">
        <f t="shared" si="1"/>
        <v>3167471.5799999996</v>
      </c>
      <c r="AE9" s="3505">
        <f t="shared" si="1"/>
        <v>3167471.5799999996</v>
      </c>
      <c r="AF9" s="3505">
        <f t="shared" si="1"/>
        <v>3176173.4249999998</v>
      </c>
      <c r="AG9" s="3505">
        <f t="shared" si="1"/>
        <v>3167471.5799999996</v>
      </c>
      <c r="AH9" s="3505">
        <f t="shared" si="1"/>
        <v>3167471.5799999996</v>
      </c>
      <c r="AI9" s="3505">
        <f t="shared" si="1"/>
        <v>3167471.5799999996</v>
      </c>
      <c r="AJ9" s="3505">
        <f t="shared" si="1"/>
        <v>3176173.4249999998</v>
      </c>
      <c r="AK9" s="3505">
        <f t="shared" si="1"/>
        <v>3167471.5799999996</v>
      </c>
      <c r="AL9" s="3505">
        <f t="shared" si="1"/>
        <v>3167471.5799999996</v>
      </c>
      <c r="AM9" s="3397"/>
      <c r="AN9" s="3397"/>
      <c r="AO9" s="3397"/>
      <c r="AP9" s="3397"/>
      <c r="AQ9" s="3397"/>
      <c r="AR9" s="3397"/>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c r="BP9" s="3397"/>
      <c r="BQ9" s="3397"/>
      <c r="BR9" s="3397"/>
      <c r="BS9" s="3397"/>
      <c r="BT9" s="3397"/>
      <c r="BU9" s="3397"/>
      <c r="BV9" s="3397"/>
      <c r="BW9" s="3397"/>
      <c r="BX9" s="3397"/>
      <c r="BY9" s="3397"/>
      <c r="BZ9" s="3397"/>
    </row>
    <row r="10" spans="1:78" s="3612" customFormat="1" ht="14.25">
      <c r="B10" s="3526" t="s">
        <v>3725</v>
      </c>
      <c r="C10" s="3567" t="s">
        <v>3611</v>
      </c>
      <c r="D10" s="3556">
        <v>151.66999999999999</v>
      </c>
      <c r="E10" s="3567">
        <v>162</v>
      </c>
      <c r="F10" s="3562">
        <v>162</v>
      </c>
      <c r="G10" s="3527">
        <v>300</v>
      </c>
      <c r="H10" s="3528" t="s">
        <v>3612</v>
      </c>
      <c r="I10" s="3529" t="s">
        <v>3726</v>
      </c>
      <c r="J10" s="3567">
        <v>75000</v>
      </c>
      <c r="K10" s="3530">
        <f>J10*12/365/G10</f>
        <v>8.2191780821917799</v>
      </c>
      <c r="L10" s="3531" t="s">
        <v>3727</v>
      </c>
      <c r="M10" s="3530">
        <v>5000</v>
      </c>
      <c r="N10" s="3530"/>
      <c r="O10" s="3530"/>
      <c r="P10" s="3532"/>
      <c r="Q10" s="3530"/>
      <c r="R10" s="3530"/>
      <c r="S10" s="3530"/>
      <c r="T10" s="3533"/>
      <c r="U10" s="3533">
        <f>5000*3</f>
        <v>15000</v>
      </c>
      <c r="V10" s="3534">
        <f>75000*3</f>
        <v>225000</v>
      </c>
      <c r="W10" s="3534"/>
      <c r="X10" s="3534"/>
      <c r="Y10" s="3534"/>
      <c r="Z10" s="3470"/>
      <c r="AA10" s="3505">
        <f t="shared" si="1"/>
        <v>453763.39726027392</v>
      </c>
      <c r="AB10" s="3505">
        <f t="shared" si="1"/>
        <v>455009.99999999994</v>
      </c>
      <c r="AC10" s="3505">
        <f t="shared" si="1"/>
        <v>453763.39726027392</v>
      </c>
      <c r="AD10" s="3505">
        <f t="shared" si="1"/>
        <v>453763.39726027392</v>
      </c>
      <c r="AE10" s="3505">
        <f t="shared" si="1"/>
        <v>453763.39726027392</v>
      </c>
      <c r="AF10" s="3505">
        <f t="shared" si="1"/>
        <v>455009.99999999994</v>
      </c>
      <c r="AG10" s="3505">
        <f t="shared" si="1"/>
        <v>453763.39726027392</v>
      </c>
      <c r="AH10" s="3505">
        <f t="shared" si="1"/>
        <v>453763.39726027392</v>
      </c>
      <c r="AI10" s="3505">
        <f t="shared" si="1"/>
        <v>453763.39726027392</v>
      </c>
      <c r="AJ10" s="3505">
        <f t="shared" si="1"/>
        <v>455009.99999999994</v>
      </c>
      <c r="AK10" s="3505">
        <f t="shared" si="1"/>
        <v>453763.39726027392</v>
      </c>
      <c r="AL10" s="3505">
        <f t="shared" si="1"/>
        <v>453763.39726027392</v>
      </c>
      <c r="AM10" s="3397"/>
      <c r="AN10" s="3397"/>
      <c r="AO10" s="3397"/>
      <c r="AP10" s="3397"/>
      <c r="AQ10" s="3397"/>
      <c r="AR10" s="3397"/>
      <c r="AS10" s="3397"/>
      <c r="AT10" s="3397"/>
      <c r="AU10" s="3397"/>
      <c r="AV10" s="3397"/>
      <c r="AW10" s="3397"/>
      <c r="AX10" s="3397"/>
      <c r="AY10" s="3397"/>
      <c r="AZ10" s="3397"/>
      <c r="BA10" s="3397"/>
      <c r="BB10" s="3397"/>
      <c r="BC10" s="3397"/>
      <c r="BD10" s="3397"/>
      <c r="BE10" s="3397"/>
      <c r="BF10" s="3397"/>
      <c r="BG10" s="3397"/>
      <c r="BH10" s="3397"/>
      <c r="BI10" s="3397"/>
      <c r="BJ10" s="3397"/>
      <c r="BK10" s="3397"/>
      <c r="BL10" s="3397"/>
      <c r="BM10" s="3397"/>
      <c r="BN10" s="3397"/>
      <c r="BO10" s="3397"/>
      <c r="BP10" s="3397"/>
      <c r="BQ10" s="3397"/>
      <c r="BR10" s="3397"/>
      <c r="BS10" s="3397"/>
      <c r="BT10" s="3397"/>
      <c r="BU10" s="3397"/>
      <c r="BV10" s="3397"/>
      <c r="BW10" s="3397"/>
      <c r="BX10" s="3397"/>
      <c r="BY10" s="3397"/>
      <c r="BZ10" s="3397"/>
    </row>
    <row r="11" spans="1:78" s="3612" customFormat="1" ht="14.25">
      <c r="B11" s="3555"/>
      <c r="C11" s="3567" t="s">
        <v>3613</v>
      </c>
      <c r="D11" s="3556">
        <v>121.49</v>
      </c>
      <c r="E11" s="3567">
        <v>70</v>
      </c>
      <c r="F11" s="3567">
        <v>70</v>
      </c>
      <c r="G11" s="3535"/>
      <c r="H11" s="3528"/>
      <c r="I11" s="3567"/>
      <c r="J11" s="3567"/>
      <c r="K11" s="3530">
        <f>K10</f>
        <v>8.2191780821917799</v>
      </c>
      <c r="L11" s="3530"/>
      <c r="M11" s="3530"/>
      <c r="N11" s="3530"/>
      <c r="O11" s="3530"/>
      <c r="P11" s="3532"/>
      <c r="Q11" s="3530"/>
      <c r="R11" s="3530"/>
      <c r="S11" s="3530"/>
      <c r="T11" s="3533"/>
      <c r="U11" s="3533"/>
      <c r="V11" s="3534"/>
      <c r="W11" s="3534"/>
      <c r="X11" s="3534"/>
      <c r="Y11" s="3534"/>
      <c r="Z11" s="3470"/>
      <c r="AA11" s="3505">
        <f t="shared" si="1"/>
        <v>363471.45205479447</v>
      </c>
      <c r="AB11" s="3505">
        <f t="shared" si="1"/>
        <v>364469.99999999994</v>
      </c>
      <c r="AC11" s="3505">
        <f t="shared" si="1"/>
        <v>363471.45205479447</v>
      </c>
      <c r="AD11" s="3505">
        <f t="shared" si="1"/>
        <v>363471.45205479447</v>
      </c>
      <c r="AE11" s="3505">
        <f t="shared" si="1"/>
        <v>363471.45205479447</v>
      </c>
      <c r="AF11" s="3505">
        <f t="shared" si="1"/>
        <v>364469.99999999994</v>
      </c>
      <c r="AG11" s="3505">
        <f t="shared" si="1"/>
        <v>363471.45205479447</v>
      </c>
      <c r="AH11" s="3505">
        <f t="shared" si="1"/>
        <v>363471.45205479447</v>
      </c>
      <c r="AI11" s="3505">
        <f t="shared" si="1"/>
        <v>363471.45205479447</v>
      </c>
      <c r="AJ11" s="3505">
        <f t="shared" si="1"/>
        <v>364469.99999999994</v>
      </c>
      <c r="AK11" s="3505">
        <f t="shared" si="1"/>
        <v>363471.45205479447</v>
      </c>
      <c r="AL11" s="3505">
        <f t="shared" si="1"/>
        <v>363471.45205479447</v>
      </c>
      <c r="AM11" s="3470"/>
      <c r="AN11" s="3470"/>
      <c r="AO11" s="3470"/>
      <c r="AP11" s="3470"/>
      <c r="AQ11" s="3470"/>
      <c r="AR11" s="3470"/>
      <c r="AS11" s="3470"/>
      <c r="AT11" s="3470"/>
      <c r="AU11" s="3470"/>
      <c r="AV11" s="3470"/>
      <c r="AW11" s="3470"/>
      <c r="AX11" s="3470"/>
      <c r="AY11" s="3470"/>
      <c r="AZ11" s="3470"/>
      <c r="BA11" s="3470"/>
      <c r="BB11" s="3470"/>
      <c r="BC11" s="3470"/>
      <c r="BD11" s="3470"/>
      <c r="BE11" s="3470"/>
      <c r="BF11" s="3470"/>
      <c r="BG11" s="3470"/>
      <c r="BH11" s="3470"/>
      <c r="BI11" s="3470"/>
      <c r="BJ11" s="3470"/>
      <c r="BK11" s="3470"/>
      <c r="BL11" s="3470"/>
      <c r="BM11" s="3470"/>
      <c r="BN11" s="3470"/>
      <c r="BO11" s="3470"/>
      <c r="BP11" s="3470"/>
      <c r="BQ11" s="3470"/>
      <c r="BR11" s="3470"/>
      <c r="BS11" s="3470"/>
      <c r="BT11" s="3470"/>
      <c r="BU11" s="3470"/>
      <c r="BV11" s="3470"/>
      <c r="BW11" s="3470"/>
      <c r="BX11" s="3470"/>
      <c r="BY11" s="3470"/>
      <c r="BZ11" s="3470"/>
    </row>
    <row r="12" spans="1:78" s="3610" customFormat="1" ht="14.25">
      <c r="A12" s="4222">
        <v>1</v>
      </c>
      <c r="B12" s="4202" t="s">
        <v>3614</v>
      </c>
      <c r="C12" s="3575" t="s">
        <v>3615</v>
      </c>
      <c r="D12" s="3517">
        <v>99.55</v>
      </c>
      <c r="E12" s="3575">
        <v>52</v>
      </c>
      <c r="F12" s="3575">
        <v>52</v>
      </c>
      <c r="G12" s="4239">
        <v>122</v>
      </c>
      <c r="H12" s="4211" t="s">
        <v>3728</v>
      </c>
      <c r="I12" s="4207" t="s">
        <v>3616</v>
      </c>
      <c r="J12" s="4235">
        <v>44530</v>
      </c>
      <c r="K12" s="3537">
        <f>44530*12/365/G12</f>
        <v>12</v>
      </c>
      <c r="L12" s="4235" t="s">
        <v>3617</v>
      </c>
      <c r="M12" s="4235">
        <v>3660</v>
      </c>
      <c r="N12" s="4237"/>
      <c r="O12" s="4237"/>
      <c r="P12" s="4237"/>
      <c r="Q12" s="4235">
        <v>500</v>
      </c>
      <c r="R12" s="4235">
        <v>1220</v>
      </c>
      <c r="S12" s="4235"/>
      <c r="T12" s="4244"/>
      <c r="U12" s="4235"/>
      <c r="V12" s="4194">
        <v>251442</v>
      </c>
      <c r="W12" s="4194" t="s">
        <v>3618</v>
      </c>
      <c r="X12" s="4194" t="s">
        <v>3619</v>
      </c>
      <c r="Y12" s="4196">
        <v>251442</v>
      </c>
      <c r="Z12" s="3470"/>
      <c r="AA12" s="3505">
        <f t="shared" si="1"/>
        <v>434834.39999999997</v>
      </c>
      <c r="AB12" s="3505">
        <f t="shared" si="1"/>
        <v>436028.99999999994</v>
      </c>
      <c r="AC12" s="3505">
        <f t="shared" si="1"/>
        <v>434834.39999999997</v>
      </c>
      <c r="AD12" s="3505">
        <f t="shared" si="1"/>
        <v>434834.39999999997</v>
      </c>
      <c r="AE12" s="3505">
        <f t="shared" si="1"/>
        <v>434834.39999999997</v>
      </c>
      <c r="AF12" s="3505">
        <f t="shared" si="1"/>
        <v>436028.99999999994</v>
      </c>
      <c r="AG12" s="3505">
        <f t="shared" si="1"/>
        <v>434834.39999999997</v>
      </c>
      <c r="AH12" s="3505">
        <f t="shared" si="1"/>
        <v>434834.39999999997</v>
      </c>
      <c r="AI12" s="3505">
        <f t="shared" si="1"/>
        <v>434834.39999999997</v>
      </c>
      <c r="AJ12" s="3505">
        <f t="shared" si="1"/>
        <v>436028.99999999994</v>
      </c>
      <c r="AK12" s="3505">
        <f t="shared" si="1"/>
        <v>434834.39999999997</v>
      </c>
      <c r="AL12" s="3505">
        <f t="shared" si="1"/>
        <v>434834.39999999997</v>
      </c>
      <c r="AM12" s="3470"/>
      <c r="AN12" s="3470"/>
      <c r="AO12" s="3470"/>
      <c r="AP12" s="3470"/>
      <c r="AQ12" s="3470"/>
      <c r="AR12" s="3470"/>
      <c r="AS12" s="3470"/>
      <c r="AT12" s="3470"/>
      <c r="AU12" s="3470"/>
      <c r="AV12" s="3470"/>
      <c r="AW12" s="3470"/>
      <c r="AX12" s="3470"/>
      <c r="AY12" s="3470"/>
      <c r="AZ12" s="3470"/>
      <c r="BA12" s="3470"/>
      <c r="BB12" s="3470"/>
      <c r="BC12" s="3470"/>
      <c r="BD12" s="3470"/>
      <c r="BE12" s="3470"/>
      <c r="BF12" s="3470"/>
      <c r="BG12" s="3470"/>
      <c r="BH12" s="3470"/>
      <c r="BI12" s="3470"/>
      <c r="BJ12" s="3470"/>
      <c r="BK12" s="3470"/>
      <c r="BL12" s="3470"/>
      <c r="BM12" s="3470"/>
      <c r="BN12" s="3470"/>
      <c r="BO12" s="3470"/>
      <c r="BP12" s="3470"/>
      <c r="BQ12" s="3470"/>
      <c r="BR12" s="3470"/>
      <c r="BS12" s="3470"/>
      <c r="BT12" s="3470"/>
      <c r="BU12" s="3470"/>
      <c r="BV12" s="3470"/>
      <c r="BW12" s="3470"/>
      <c r="BX12" s="3470"/>
      <c r="BY12" s="3470"/>
      <c r="BZ12" s="3470"/>
    </row>
    <row r="13" spans="1:78" s="3610" customFormat="1" ht="14.25">
      <c r="A13" s="4222"/>
      <c r="B13" s="4203"/>
      <c r="C13" s="3575" t="s">
        <v>3620</v>
      </c>
      <c r="D13" s="3517">
        <v>144.88</v>
      </c>
      <c r="E13" s="3575">
        <v>68</v>
      </c>
      <c r="F13" s="3575">
        <v>68</v>
      </c>
      <c r="G13" s="4239"/>
      <c r="H13" s="4211"/>
      <c r="I13" s="4207"/>
      <c r="J13" s="4236"/>
      <c r="K13" s="3590">
        <f>K12</f>
        <v>12</v>
      </c>
      <c r="L13" s="4236"/>
      <c r="M13" s="4236"/>
      <c r="N13" s="4238"/>
      <c r="O13" s="4238"/>
      <c r="P13" s="4238"/>
      <c r="Q13" s="4236"/>
      <c r="R13" s="4236"/>
      <c r="S13" s="4236"/>
      <c r="T13" s="4245"/>
      <c r="U13" s="4236"/>
      <c r="V13" s="4220"/>
      <c r="W13" s="4220"/>
      <c r="X13" s="4220"/>
      <c r="Y13" s="4243"/>
      <c r="Z13" s="3470"/>
      <c r="AA13" s="3505">
        <f t="shared" si="1"/>
        <v>632835.83999999997</v>
      </c>
      <c r="AB13" s="3505">
        <f t="shared" si="1"/>
        <v>634574.4</v>
      </c>
      <c r="AC13" s="3505">
        <f t="shared" si="1"/>
        <v>632835.83999999997</v>
      </c>
      <c r="AD13" s="3505">
        <f t="shared" si="1"/>
        <v>632835.83999999997</v>
      </c>
      <c r="AE13" s="3505">
        <f t="shared" si="1"/>
        <v>632835.83999999997</v>
      </c>
      <c r="AF13" s="3505">
        <f t="shared" si="1"/>
        <v>634574.4</v>
      </c>
      <c r="AG13" s="3505">
        <f t="shared" si="1"/>
        <v>632835.83999999997</v>
      </c>
      <c r="AH13" s="3505">
        <f t="shared" si="1"/>
        <v>632835.83999999997</v>
      </c>
      <c r="AI13" s="3505">
        <f t="shared" si="1"/>
        <v>632835.83999999997</v>
      </c>
      <c r="AJ13" s="3505">
        <f t="shared" si="1"/>
        <v>634574.4</v>
      </c>
      <c r="AK13" s="3505">
        <f t="shared" si="1"/>
        <v>632835.83999999997</v>
      </c>
      <c r="AL13" s="3505">
        <f t="shared" si="1"/>
        <v>632835.83999999997</v>
      </c>
      <c r="AM13" s="3470"/>
      <c r="AN13" s="3470"/>
      <c r="AO13" s="3470"/>
      <c r="AP13" s="3470"/>
      <c r="AQ13" s="3470"/>
      <c r="AR13" s="3470"/>
      <c r="AS13" s="3470"/>
      <c r="AT13" s="3470"/>
      <c r="AU13" s="3470"/>
      <c r="AV13" s="3470"/>
      <c r="AW13" s="3470"/>
      <c r="AX13" s="3470"/>
      <c r="AY13" s="3470"/>
      <c r="AZ13" s="3470"/>
      <c r="BA13" s="3470"/>
      <c r="BB13" s="3470"/>
      <c r="BC13" s="3470"/>
      <c r="BD13" s="3470"/>
      <c r="BE13" s="3470"/>
      <c r="BF13" s="3470"/>
      <c r="BG13" s="3470"/>
      <c r="BH13" s="3470"/>
      <c r="BI13" s="3470"/>
      <c r="BJ13" s="3470"/>
      <c r="BK13" s="3470"/>
      <c r="BL13" s="3470"/>
      <c r="BM13" s="3470"/>
      <c r="BN13" s="3470"/>
      <c r="BO13" s="3470"/>
      <c r="BP13" s="3470"/>
      <c r="BQ13" s="3470"/>
      <c r="BR13" s="3470"/>
      <c r="BS13" s="3470"/>
      <c r="BT13" s="3470"/>
      <c r="BU13" s="3470"/>
      <c r="BV13" s="3470"/>
      <c r="BW13" s="3470"/>
      <c r="BX13" s="3470"/>
      <c r="BY13" s="3470"/>
      <c r="BZ13" s="3470"/>
    </row>
    <row r="14" spans="1:78" s="3612" customFormat="1" ht="14.25">
      <c r="B14" s="3555"/>
      <c r="C14" s="3567" t="s">
        <v>3621</v>
      </c>
      <c r="D14" s="3562">
        <v>211.7</v>
      </c>
      <c r="E14" s="3567">
        <v>56</v>
      </c>
      <c r="F14" s="3567">
        <v>56</v>
      </c>
      <c r="G14" s="3562"/>
      <c r="H14" s="3528"/>
      <c r="I14" s="3538"/>
      <c r="J14" s="3530"/>
      <c r="K14" s="3530"/>
      <c r="L14" s="3530"/>
      <c r="M14" s="3530"/>
      <c r="N14" s="3532"/>
      <c r="O14" s="3532"/>
      <c r="P14" s="3532"/>
      <c r="Q14" s="3530"/>
      <c r="R14" s="3530"/>
      <c r="S14" s="3530"/>
      <c r="T14" s="3533"/>
      <c r="U14" s="3530"/>
      <c r="V14" s="3534"/>
      <c r="W14" s="3534"/>
      <c r="X14" s="3534"/>
      <c r="Y14" s="3534"/>
      <c r="Z14" s="3470"/>
      <c r="AA14" s="3505">
        <f t="shared" si="1"/>
        <v>0</v>
      </c>
      <c r="AB14" s="3505">
        <f t="shared" si="1"/>
        <v>0</v>
      </c>
      <c r="AC14" s="3505">
        <f t="shared" si="1"/>
        <v>0</v>
      </c>
      <c r="AD14" s="3505">
        <f t="shared" si="1"/>
        <v>0</v>
      </c>
      <c r="AE14" s="3505">
        <f t="shared" si="1"/>
        <v>0</v>
      </c>
      <c r="AF14" s="3505">
        <f t="shared" si="1"/>
        <v>0</v>
      </c>
      <c r="AG14" s="3505">
        <f t="shared" si="1"/>
        <v>0</v>
      </c>
      <c r="AH14" s="3505">
        <f t="shared" si="1"/>
        <v>0</v>
      </c>
      <c r="AI14" s="3505">
        <f t="shared" si="1"/>
        <v>0</v>
      </c>
      <c r="AJ14" s="3505">
        <f t="shared" si="1"/>
        <v>0</v>
      </c>
      <c r="AK14" s="3505">
        <f t="shared" si="1"/>
        <v>0</v>
      </c>
      <c r="AL14" s="3505">
        <f t="shared" si="1"/>
        <v>0</v>
      </c>
      <c r="AM14" s="3470"/>
      <c r="AN14" s="3470"/>
      <c r="AO14" s="3470"/>
      <c r="AP14" s="3470"/>
      <c r="AQ14" s="3470"/>
      <c r="AR14" s="3470"/>
      <c r="AS14" s="3470"/>
      <c r="AT14" s="3470"/>
      <c r="AU14" s="3470"/>
      <c r="AV14" s="3470"/>
      <c r="AW14" s="3470"/>
      <c r="AX14" s="3470"/>
      <c r="AY14" s="3470"/>
      <c r="AZ14" s="3470"/>
      <c r="BA14" s="3470"/>
      <c r="BB14" s="3470"/>
      <c r="BC14" s="3470"/>
      <c r="BD14" s="3470"/>
      <c r="BE14" s="3470"/>
      <c r="BF14" s="3470"/>
      <c r="BG14" s="3470"/>
      <c r="BH14" s="3470"/>
      <c r="BI14" s="3470"/>
      <c r="BJ14" s="3470"/>
      <c r="BK14" s="3470"/>
      <c r="BL14" s="3470"/>
      <c r="BM14" s="3470"/>
      <c r="BN14" s="3470"/>
      <c r="BO14" s="3470"/>
      <c r="BP14" s="3470"/>
      <c r="BQ14" s="3470"/>
      <c r="BR14" s="3470"/>
      <c r="BS14" s="3470"/>
      <c r="BT14" s="3470"/>
      <c r="BU14" s="3470"/>
      <c r="BV14" s="3470"/>
      <c r="BW14" s="3470"/>
      <c r="BX14" s="3470"/>
      <c r="BY14" s="3470"/>
      <c r="BZ14" s="3470"/>
    </row>
    <row r="15" spans="1:78" s="3612" customFormat="1" ht="28.5">
      <c r="B15" s="3539" t="s">
        <v>3622</v>
      </c>
      <c r="C15" s="3567" t="s">
        <v>3623</v>
      </c>
      <c r="D15" s="3556">
        <v>193.1</v>
      </c>
      <c r="E15" s="3567">
        <v>30</v>
      </c>
      <c r="F15" s="3567">
        <v>30</v>
      </c>
      <c r="G15" s="3562">
        <v>96.3</v>
      </c>
      <c r="H15" s="3528" t="s">
        <v>3729</v>
      </c>
      <c r="I15" s="3538" t="s">
        <v>3624</v>
      </c>
      <c r="J15" s="3530">
        <v>17627.5</v>
      </c>
      <c r="K15" s="3530">
        <v>6.1</v>
      </c>
      <c r="L15" s="3530" t="s">
        <v>3625</v>
      </c>
      <c r="M15" s="3530">
        <v>2372.5</v>
      </c>
      <c r="N15" s="3532"/>
      <c r="O15" s="3532"/>
      <c r="P15" s="3532"/>
      <c r="Q15" s="3530"/>
      <c r="R15" s="3530"/>
      <c r="S15" s="3530"/>
      <c r="T15" s="3533"/>
      <c r="U15" s="3530"/>
      <c r="V15" s="3534">
        <v>60000</v>
      </c>
      <c r="W15" s="3544"/>
      <c r="X15" s="3544"/>
      <c r="Y15" s="3534">
        <v>60000</v>
      </c>
      <c r="Z15" s="3470"/>
      <c r="AA15" s="3505">
        <f t="shared" si="1"/>
        <v>428759.23999999993</v>
      </c>
      <c r="AB15" s="3505">
        <f t="shared" si="1"/>
        <v>429937.14999999997</v>
      </c>
      <c r="AC15" s="3505">
        <f t="shared" si="1"/>
        <v>428759.23999999993</v>
      </c>
      <c r="AD15" s="3505">
        <f t="shared" si="1"/>
        <v>428759.23999999993</v>
      </c>
      <c r="AE15" s="3505">
        <f t="shared" si="1"/>
        <v>428759.23999999993</v>
      </c>
      <c r="AF15" s="3505">
        <f t="shared" si="1"/>
        <v>429937.14999999997</v>
      </c>
      <c r="AG15" s="3505">
        <f t="shared" si="1"/>
        <v>428759.23999999993</v>
      </c>
      <c r="AH15" s="3505">
        <f t="shared" si="1"/>
        <v>428759.23999999993</v>
      </c>
      <c r="AI15" s="3505">
        <f t="shared" si="1"/>
        <v>428759.23999999993</v>
      </c>
      <c r="AJ15" s="3505">
        <f t="shared" si="1"/>
        <v>429937.14999999997</v>
      </c>
      <c r="AK15" s="3505">
        <f t="shared" si="1"/>
        <v>428759.23999999993</v>
      </c>
      <c r="AL15" s="3505">
        <f t="shared" si="1"/>
        <v>428759.23999999993</v>
      </c>
      <c r="AM15" s="3470"/>
      <c r="AN15" s="3470"/>
      <c r="AO15" s="3470"/>
      <c r="AP15" s="3470"/>
      <c r="AQ15" s="3470"/>
      <c r="AR15" s="3470"/>
      <c r="AS15" s="3470"/>
      <c r="AT15" s="3470"/>
      <c r="AU15" s="3470"/>
      <c r="AV15" s="3470"/>
      <c r="AW15" s="3470"/>
      <c r="AX15" s="3470"/>
      <c r="AY15" s="3470"/>
      <c r="AZ15" s="3470"/>
      <c r="BA15" s="3470"/>
      <c r="BB15" s="3470"/>
      <c r="BC15" s="3470"/>
      <c r="BD15" s="3470"/>
      <c r="BE15" s="3470"/>
      <c r="BF15" s="3470"/>
      <c r="BG15" s="3470"/>
      <c r="BH15" s="3470"/>
      <c r="BI15" s="3470"/>
      <c r="BJ15" s="3470"/>
      <c r="BK15" s="3470"/>
      <c r="BL15" s="3470"/>
      <c r="BM15" s="3470"/>
      <c r="BN15" s="3470"/>
      <c r="BO15" s="3470"/>
      <c r="BP15" s="3470"/>
      <c r="BQ15" s="3470"/>
      <c r="BR15" s="3470"/>
      <c r="BS15" s="3470"/>
      <c r="BT15" s="3470"/>
      <c r="BU15" s="3470"/>
      <c r="BV15" s="3470"/>
      <c r="BW15" s="3470"/>
      <c r="BX15" s="3470"/>
      <c r="BY15" s="3470"/>
      <c r="BZ15" s="3470"/>
    </row>
    <row r="16" spans="1:78" s="3610" customFormat="1" ht="14.25">
      <c r="A16" s="3610">
        <v>1</v>
      </c>
      <c r="B16" s="3516" t="s">
        <v>3626</v>
      </c>
      <c r="C16" s="3575" t="s">
        <v>3627</v>
      </c>
      <c r="D16" s="3517">
        <v>725.73</v>
      </c>
      <c r="E16" s="3575">
        <v>30</v>
      </c>
      <c r="F16" s="3575">
        <v>30</v>
      </c>
      <c r="G16" s="3536">
        <v>61</v>
      </c>
      <c r="H16" s="3521" t="s">
        <v>3628</v>
      </c>
      <c r="I16" s="3519" t="s">
        <v>3629</v>
      </c>
      <c r="J16" s="3522">
        <v>34109.25</v>
      </c>
      <c r="K16" s="3522">
        <v>10</v>
      </c>
      <c r="L16" s="3522" t="s">
        <v>3630</v>
      </c>
      <c r="M16" s="3523">
        <v>7000</v>
      </c>
      <c r="N16" s="3524"/>
      <c r="O16" s="3524"/>
      <c r="P16" s="3524"/>
      <c r="Q16" s="3522"/>
      <c r="R16" s="3522"/>
      <c r="S16" s="3522"/>
      <c r="T16" s="3525"/>
      <c r="U16" s="3522"/>
      <c r="V16" s="3523">
        <v>123327.75</v>
      </c>
      <c r="W16" s="3540"/>
      <c r="X16" s="3540"/>
      <c r="Y16" s="3523">
        <v>123327.75</v>
      </c>
      <c r="Z16" s="3470"/>
      <c r="AA16" s="3505">
        <f t="shared" si="1"/>
        <v>2641657.2000000002</v>
      </c>
      <c r="AB16" s="3505">
        <f t="shared" si="1"/>
        <v>2648914.5</v>
      </c>
      <c r="AC16" s="3505">
        <f t="shared" si="1"/>
        <v>2641657.2000000002</v>
      </c>
      <c r="AD16" s="3505">
        <f t="shared" si="1"/>
        <v>2641657.2000000002</v>
      </c>
      <c r="AE16" s="3505">
        <f t="shared" si="1"/>
        <v>2641657.2000000002</v>
      </c>
      <c r="AF16" s="3505">
        <f t="shared" si="1"/>
        <v>2648914.5</v>
      </c>
      <c r="AG16" s="3505">
        <f t="shared" si="1"/>
        <v>2641657.2000000002</v>
      </c>
      <c r="AH16" s="3505">
        <f t="shared" si="1"/>
        <v>2641657.2000000002</v>
      </c>
      <c r="AI16" s="3505">
        <f t="shared" si="1"/>
        <v>2641657.2000000002</v>
      </c>
      <c r="AJ16" s="3505">
        <f t="shared" si="1"/>
        <v>2648914.5</v>
      </c>
      <c r="AK16" s="3505">
        <f t="shared" si="1"/>
        <v>2641657.2000000002</v>
      </c>
      <c r="AL16" s="3505">
        <f t="shared" si="1"/>
        <v>2641657.2000000002</v>
      </c>
      <c r="AM16" s="3470"/>
      <c r="AN16" s="3470"/>
      <c r="AO16" s="3470"/>
      <c r="AP16" s="3470"/>
      <c r="AQ16" s="3470"/>
      <c r="AR16" s="3470"/>
      <c r="AS16" s="3470"/>
      <c r="AT16" s="3470"/>
      <c r="AU16" s="3470"/>
      <c r="AV16" s="3470"/>
      <c r="AW16" s="3470"/>
      <c r="AX16" s="3470"/>
      <c r="AY16" s="3470"/>
      <c r="AZ16" s="3470"/>
      <c r="BA16" s="3470"/>
      <c r="BB16" s="3470"/>
      <c r="BC16" s="3470"/>
      <c r="BD16" s="3470"/>
      <c r="BE16" s="3470"/>
      <c r="BF16" s="3470"/>
      <c r="BG16" s="3470"/>
      <c r="BH16" s="3470"/>
      <c r="BI16" s="3470"/>
      <c r="BJ16" s="3470"/>
      <c r="BK16" s="3470"/>
      <c r="BL16" s="3470"/>
      <c r="BM16" s="3470"/>
      <c r="BN16" s="3470"/>
      <c r="BO16" s="3470"/>
      <c r="BP16" s="3470"/>
      <c r="BQ16" s="3470"/>
      <c r="BR16" s="3470"/>
      <c r="BS16" s="3470"/>
      <c r="BT16" s="3470"/>
      <c r="BU16" s="3470"/>
      <c r="BV16" s="3470"/>
      <c r="BW16" s="3470"/>
      <c r="BX16" s="3470"/>
      <c r="BY16" s="3470"/>
      <c r="BZ16" s="3470"/>
    </row>
    <row r="17" spans="1:152" s="3610" customFormat="1" ht="14.25">
      <c r="A17" s="4222">
        <v>1</v>
      </c>
      <c r="B17" s="3541" t="s">
        <v>3730</v>
      </c>
      <c r="C17" s="3575" t="s">
        <v>3631</v>
      </c>
      <c r="D17" s="3517">
        <v>342.71</v>
      </c>
      <c r="E17" s="3575">
        <v>60</v>
      </c>
      <c r="F17" s="3575">
        <v>60</v>
      </c>
      <c r="G17" s="3536">
        <v>300</v>
      </c>
      <c r="H17" s="3518" t="s">
        <v>3731</v>
      </c>
      <c r="I17" s="3587" t="s">
        <v>3632</v>
      </c>
      <c r="J17" s="3537">
        <v>140000</v>
      </c>
      <c r="K17" s="3537">
        <f>140000*12/365/300</f>
        <v>15.342465753424658</v>
      </c>
      <c r="L17" s="3537">
        <v>33.333333333333336</v>
      </c>
      <c r="M17" s="3537">
        <v>10000</v>
      </c>
      <c r="N17" s="3542"/>
      <c r="O17" s="3542"/>
      <c r="P17" s="3542"/>
      <c r="Q17" s="3542"/>
      <c r="R17" s="3542"/>
      <c r="S17" s="3542"/>
      <c r="T17" s="3542"/>
      <c r="U17" s="3543">
        <v>30000</v>
      </c>
      <c r="V17" s="3540">
        <f>140000*3</f>
        <v>420000</v>
      </c>
      <c r="W17" s="3545"/>
      <c r="X17" s="3545"/>
      <c r="Y17" s="3540">
        <v>450000</v>
      </c>
      <c r="Z17" s="3470"/>
      <c r="AA17" s="3505">
        <f t="shared" si="1"/>
        <v>1913917.9835616439</v>
      </c>
      <c r="AB17" s="3505">
        <f t="shared" si="1"/>
        <v>1919176</v>
      </c>
      <c r="AC17" s="3505">
        <f t="shared" si="1"/>
        <v>1913917.9835616439</v>
      </c>
      <c r="AD17" s="3505">
        <f t="shared" si="1"/>
        <v>1913917.9835616439</v>
      </c>
      <c r="AE17" s="3505">
        <f t="shared" si="1"/>
        <v>1913917.9835616439</v>
      </c>
      <c r="AF17" s="3505">
        <f t="shared" si="1"/>
        <v>1919176</v>
      </c>
      <c r="AG17" s="3505">
        <f t="shared" si="1"/>
        <v>1913917.9835616439</v>
      </c>
      <c r="AH17" s="3505">
        <f t="shared" si="1"/>
        <v>1913917.9835616439</v>
      </c>
      <c r="AI17" s="3505">
        <f t="shared" si="1"/>
        <v>1913917.9835616439</v>
      </c>
      <c r="AJ17" s="3505">
        <f t="shared" si="1"/>
        <v>1919176</v>
      </c>
      <c r="AK17" s="3505">
        <f t="shared" si="1"/>
        <v>1913917.9835616439</v>
      </c>
      <c r="AL17" s="3505">
        <f t="shared" si="1"/>
        <v>1913917.9835616439</v>
      </c>
      <c r="AM17" s="3470"/>
      <c r="AN17" s="3470"/>
      <c r="AO17" s="3470"/>
      <c r="AP17" s="3470"/>
      <c r="AQ17" s="3470"/>
      <c r="AR17" s="3470"/>
      <c r="AS17" s="3470"/>
      <c r="AT17" s="3470"/>
      <c r="AU17" s="3470"/>
      <c r="AV17" s="3470"/>
      <c r="AW17" s="3470"/>
      <c r="AX17" s="3470"/>
      <c r="AY17" s="3470"/>
      <c r="AZ17" s="3470"/>
      <c r="BA17" s="3470"/>
      <c r="BB17" s="3470"/>
      <c r="BC17" s="3470"/>
      <c r="BD17" s="3470"/>
      <c r="BE17" s="3470"/>
      <c r="BF17" s="3470"/>
      <c r="BG17" s="3470"/>
      <c r="BH17" s="3470"/>
      <c r="BI17" s="3470"/>
      <c r="BJ17" s="3470"/>
      <c r="BK17" s="3470"/>
      <c r="BL17" s="3470"/>
      <c r="BM17" s="3470"/>
      <c r="BN17" s="3470"/>
      <c r="BO17" s="3470"/>
      <c r="BP17" s="3470"/>
      <c r="BQ17" s="3470"/>
      <c r="BR17" s="3470"/>
      <c r="BS17" s="3470"/>
      <c r="BT17" s="3470"/>
      <c r="BU17" s="3470"/>
      <c r="BV17" s="3470"/>
      <c r="BW17" s="3470"/>
      <c r="BX17" s="3470"/>
      <c r="BY17" s="3470"/>
      <c r="BZ17" s="3470"/>
    </row>
    <row r="18" spans="1:152" s="3610" customFormat="1" ht="14.25">
      <c r="A18" s="4222"/>
      <c r="B18" s="3541" t="s">
        <v>3732</v>
      </c>
      <c r="C18" s="3575" t="s">
        <v>3633</v>
      </c>
      <c r="D18" s="3517">
        <v>84.08</v>
      </c>
      <c r="E18" s="3575">
        <v>37</v>
      </c>
      <c r="F18" s="3575">
        <v>37</v>
      </c>
      <c r="G18" s="3536">
        <v>299</v>
      </c>
      <c r="H18" s="3518" t="s">
        <v>3634</v>
      </c>
      <c r="I18" s="3587" t="s">
        <v>3635</v>
      </c>
      <c r="J18" s="3537">
        <v>90000</v>
      </c>
      <c r="K18" s="3537">
        <v>10</v>
      </c>
      <c r="L18" s="3537" t="s">
        <v>3636</v>
      </c>
      <c r="M18" s="3537">
        <v>10000</v>
      </c>
      <c r="N18" s="3542"/>
      <c r="O18" s="3542"/>
      <c r="P18" s="3542"/>
      <c r="Q18" s="3542"/>
      <c r="R18" s="3542"/>
      <c r="S18" s="3542"/>
      <c r="T18" s="3542"/>
      <c r="U18" s="3542"/>
      <c r="V18" s="3540">
        <v>300000</v>
      </c>
      <c r="W18" s="3545"/>
      <c r="X18" s="3545"/>
      <c r="Y18" s="3540">
        <v>300000</v>
      </c>
      <c r="Z18" s="3470"/>
      <c r="AA18" s="3505">
        <f t="shared" si="1"/>
        <v>306051.20000000001</v>
      </c>
      <c r="AB18" s="3505">
        <f t="shared" si="1"/>
        <v>306892</v>
      </c>
      <c r="AC18" s="3505">
        <f t="shared" si="1"/>
        <v>306051.20000000001</v>
      </c>
      <c r="AD18" s="3505">
        <f t="shared" si="1"/>
        <v>306051.20000000001</v>
      </c>
      <c r="AE18" s="3505">
        <f t="shared" si="1"/>
        <v>306051.20000000001</v>
      </c>
      <c r="AF18" s="3505">
        <f t="shared" si="1"/>
        <v>306892</v>
      </c>
      <c r="AG18" s="3505">
        <f t="shared" si="1"/>
        <v>306051.20000000001</v>
      </c>
      <c r="AH18" s="3505">
        <f t="shared" si="1"/>
        <v>306051.20000000001</v>
      </c>
      <c r="AI18" s="3505">
        <f t="shared" si="1"/>
        <v>306051.20000000001</v>
      </c>
      <c r="AJ18" s="3505">
        <f t="shared" si="1"/>
        <v>306892</v>
      </c>
      <c r="AK18" s="3505">
        <f t="shared" si="1"/>
        <v>306051.20000000001</v>
      </c>
      <c r="AL18" s="3505">
        <f t="shared" si="1"/>
        <v>306051.20000000001</v>
      </c>
      <c r="AM18" s="3470"/>
      <c r="AN18" s="3470"/>
      <c r="AO18" s="3470"/>
      <c r="AP18" s="3470"/>
      <c r="AQ18" s="3470"/>
      <c r="AR18" s="3470"/>
      <c r="AS18" s="3470"/>
      <c r="AT18" s="3470"/>
      <c r="AU18" s="3470"/>
      <c r="AV18" s="3470"/>
      <c r="AW18" s="3470"/>
      <c r="AX18" s="3470"/>
      <c r="AY18" s="3470"/>
      <c r="AZ18" s="3470"/>
      <c r="BA18" s="3470"/>
      <c r="BB18" s="3470"/>
      <c r="BC18" s="3470"/>
      <c r="BD18" s="3470"/>
      <c r="BE18" s="3470"/>
      <c r="BF18" s="3470"/>
      <c r="BG18" s="3470"/>
      <c r="BH18" s="3470"/>
      <c r="BI18" s="3470"/>
      <c r="BJ18" s="3470"/>
      <c r="BK18" s="3470"/>
      <c r="BL18" s="3470"/>
      <c r="BM18" s="3470"/>
      <c r="BN18" s="3470"/>
      <c r="BO18" s="3470"/>
      <c r="BP18" s="3470"/>
      <c r="BQ18" s="3470"/>
      <c r="BR18" s="3470"/>
      <c r="BS18" s="3470"/>
      <c r="BT18" s="3470"/>
      <c r="BU18" s="3470"/>
      <c r="BV18" s="3470"/>
      <c r="BW18" s="3470"/>
      <c r="BX18" s="3470"/>
      <c r="BY18" s="3470"/>
      <c r="BZ18" s="3470"/>
    </row>
    <row r="19" spans="1:152" s="3613" customFormat="1" ht="14.25">
      <c r="B19" s="4223" t="s">
        <v>3637</v>
      </c>
      <c r="C19" s="3538" t="s">
        <v>3638</v>
      </c>
      <c r="D19" s="3562">
        <v>132.41999999999999</v>
      </c>
      <c r="E19" s="3538">
        <v>52</v>
      </c>
      <c r="F19" s="3538">
        <v>52</v>
      </c>
      <c r="G19" s="4226"/>
      <c r="H19" s="4229"/>
      <c r="I19" s="4232"/>
      <c r="J19" s="4232"/>
      <c r="K19" s="3544"/>
      <c r="L19" s="4232"/>
      <c r="M19" s="4246"/>
      <c r="N19" s="4232"/>
      <c r="O19" s="4232"/>
      <c r="P19" s="4232"/>
      <c r="Q19" s="4232"/>
      <c r="R19" s="4232"/>
      <c r="S19" s="4232"/>
      <c r="T19" s="4232"/>
      <c r="U19" s="4232"/>
      <c r="V19" s="4246"/>
      <c r="W19" s="4246"/>
      <c r="X19" s="4246"/>
      <c r="Y19" s="4246"/>
      <c r="Z19" s="3470"/>
      <c r="AA19" s="3505">
        <f t="shared" si="1"/>
        <v>0</v>
      </c>
      <c r="AB19" s="3505">
        <f t="shared" si="1"/>
        <v>0</v>
      </c>
      <c r="AC19" s="3505">
        <f t="shared" si="1"/>
        <v>0</v>
      </c>
      <c r="AD19" s="3505">
        <f t="shared" si="1"/>
        <v>0</v>
      </c>
      <c r="AE19" s="3505">
        <f t="shared" si="1"/>
        <v>0</v>
      </c>
      <c r="AF19" s="3505">
        <f t="shared" si="1"/>
        <v>0</v>
      </c>
      <c r="AG19" s="3505">
        <f t="shared" si="1"/>
        <v>0</v>
      </c>
      <c r="AH19" s="3505">
        <f t="shared" si="1"/>
        <v>0</v>
      </c>
      <c r="AI19" s="3505">
        <f t="shared" si="1"/>
        <v>0</v>
      </c>
      <c r="AJ19" s="3505">
        <f t="shared" si="1"/>
        <v>0</v>
      </c>
      <c r="AK19" s="3505">
        <f t="shared" si="1"/>
        <v>0</v>
      </c>
      <c r="AL19" s="3505">
        <f t="shared" si="1"/>
        <v>0</v>
      </c>
      <c r="AM19" s="3470"/>
      <c r="AN19" s="3470"/>
      <c r="AO19" s="3470"/>
      <c r="AP19" s="3470"/>
      <c r="AQ19" s="3470"/>
      <c r="AR19" s="3470"/>
      <c r="AS19" s="3470"/>
      <c r="AT19" s="3470"/>
      <c r="AU19" s="3470"/>
      <c r="AV19" s="3470"/>
      <c r="AW19" s="3470"/>
      <c r="AX19" s="3470"/>
      <c r="AY19" s="3470"/>
      <c r="AZ19" s="3470"/>
      <c r="BA19" s="3470"/>
      <c r="BB19" s="3470"/>
      <c r="BC19" s="3470"/>
      <c r="BD19" s="3470"/>
      <c r="BE19" s="3470"/>
      <c r="BF19" s="3470"/>
      <c r="BG19" s="3470"/>
      <c r="BH19" s="3470"/>
      <c r="BI19" s="3470"/>
      <c r="BJ19" s="3470"/>
      <c r="BK19" s="3470"/>
      <c r="BL19" s="3470"/>
      <c r="BM19" s="3470"/>
      <c r="BN19" s="3470"/>
      <c r="BO19" s="3470"/>
      <c r="BP19" s="3470"/>
      <c r="BQ19" s="3470"/>
      <c r="BR19" s="3470"/>
      <c r="BS19" s="3470"/>
      <c r="BT19" s="3470"/>
      <c r="BU19" s="3470"/>
      <c r="BV19" s="3470"/>
      <c r="BW19" s="3470"/>
      <c r="BX19" s="3470"/>
      <c r="BY19" s="3470"/>
      <c r="BZ19" s="3470"/>
    </row>
    <row r="20" spans="1:152" s="3613" customFormat="1" ht="14.25">
      <c r="B20" s="4224"/>
      <c r="C20" s="3538" t="s">
        <v>3639</v>
      </c>
      <c r="D20" s="3562"/>
      <c r="E20" s="3538">
        <v>61</v>
      </c>
      <c r="F20" s="3538">
        <v>61</v>
      </c>
      <c r="G20" s="4227"/>
      <c r="H20" s="4230"/>
      <c r="I20" s="4233"/>
      <c r="J20" s="4233"/>
      <c r="K20" s="3545"/>
      <c r="L20" s="4233"/>
      <c r="M20" s="4247"/>
      <c r="N20" s="4233"/>
      <c r="O20" s="4233"/>
      <c r="P20" s="4233"/>
      <c r="Q20" s="4233"/>
      <c r="R20" s="4233"/>
      <c r="S20" s="4233"/>
      <c r="T20" s="4233"/>
      <c r="U20" s="4233"/>
      <c r="V20" s="4247"/>
      <c r="W20" s="4247"/>
      <c r="X20" s="4247"/>
      <c r="Y20" s="4247"/>
      <c r="Z20" s="3470"/>
      <c r="AA20" s="3505">
        <f t="shared" si="1"/>
        <v>0</v>
      </c>
      <c r="AB20" s="3505">
        <f t="shared" si="1"/>
        <v>0</v>
      </c>
      <c r="AC20" s="3505">
        <f t="shared" si="1"/>
        <v>0</v>
      </c>
      <c r="AD20" s="3505">
        <f t="shared" si="1"/>
        <v>0</v>
      </c>
      <c r="AE20" s="3505">
        <f t="shared" si="1"/>
        <v>0</v>
      </c>
      <c r="AF20" s="3505">
        <f t="shared" si="1"/>
        <v>0</v>
      </c>
      <c r="AG20" s="3505">
        <f t="shared" si="1"/>
        <v>0</v>
      </c>
      <c r="AH20" s="3505">
        <f t="shared" si="1"/>
        <v>0</v>
      </c>
      <c r="AI20" s="3505">
        <f t="shared" si="1"/>
        <v>0</v>
      </c>
      <c r="AJ20" s="3505">
        <f t="shared" si="1"/>
        <v>0</v>
      </c>
      <c r="AK20" s="3505">
        <f t="shared" si="1"/>
        <v>0</v>
      </c>
      <c r="AL20" s="3505">
        <f t="shared" si="1"/>
        <v>0</v>
      </c>
      <c r="AM20" s="3470"/>
      <c r="AN20" s="3470"/>
      <c r="AO20" s="3470"/>
      <c r="AP20" s="3470"/>
      <c r="AQ20" s="3470"/>
      <c r="AR20" s="3470"/>
      <c r="AS20" s="3470"/>
      <c r="AT20" s="3470"/>
      <c r="AU20" s="3470"/>
      <c r="AV20" s="3470"/>
      <c r="AW20" s="3470"/>
      <c r="AX20" s="3470"/>
      <c r="AY20" s="3470"/>
      <c r="AZ20" s="3470"/>
      <c r="BA20" s="3470"/>
      <c r="BB20" s="3470"/>
      <c r="BC20" s="3470"/>
      <c r="BD20" s="3470"/>
      <c r="BE20" s="3470"/>
      <c r="BF20" s="3470"/>
      <c r="BG20" s="3470"/>
      <c r="BH20" s="3470"/>
      <c r="BI20" s="3470"/>
      <c r="BJ20" s="3470"/>
      <c r="BK20" s="3470"/>
      <c r="BL20" s="3470"/>
      <c r="BM20" s="3470"/>
      <c r="BN20" s="3470"/>
      <c r="BO20" s="3470"/>
      <c r="BP20" s="3470"/>
      <c r="BQ20" s="3470"/>
      <c r="BR20" s="3470"/>
      <c r="BS20" s="3470"/>
      <c r="BT20" s="3470"/>
      <c r="BU20" s="3470"/>
      <c r="BV20" s="3470"/>
      <c r="BW20" s="3470"/>
      <c r="BX20" s="3470"/>
      <c r="BY20" s="3470"/>
      <c r="BZ20" s="3470"/>
    </row>
    <row r="21" spans="1:152" s="3613" customFormat="1" ht="14.25">
      <c r="B21" s="4225"/>
      <c r="C21" s="3538" t="s">
        <v>3640</v>
      </c>
      <c r="D21" s="3562">
        <v>448.18</v>
      </c>
      <c r="E21" s="3538">
        <v>162</v>
      </c>
      <c r="F21" s="3546">
        <v>162</v>
      </c>
      <c r="G21" s="4228"/>
      <c r="H21" s="4231"/>
      <c r="I21" s="4234"/>
      <c r="J21" s="4234"/>
      <c r="K21" s="3547"/>
      <c r="L21" s="4234"/>
      <c r="M21" s="4248"/>
      <c r="N21" s="4234"/>
      <c r="O21" s="4234"/>
      <c r="P21" s="4234"/>
      <c r="Q21" s="4234"/>
      <c r="R21" s="4234"/>
      <c r="S21" s="4234"/>
      <c r="T21" s="4234"/>
      <c r="U21" s="4234"/>
      <c r="V21" s="4248"/>
      <c r="W21" s="4248"/>
      <c r="X21" s="4248"/>
      <c r="Y21" s="4248"/>
      <c r="Z21" s="3470"/>
      <c r="AA21" s="3505">
        <f t="shared" si="1"/>
        <v>0</v>
      </c>
      <c r="AB21" s="3505">
        <f t="shared" si="1"/>
        <v>0</v>
      </c>
      <c r="AC21" s="3505">
        <f t="shared" si="1"/>
        <v>0</v>
      </c>
      <c r="AD21" s="3505">
        <f t="shared" si="1"/>
        <v>0</v>
      </c>
      <c r="AE21" s="3505">
        <f t="shared" si="1"/>
        <v>0</v>
      </c>
      <c r="AF21" s="3505">
        <f t="shared" ref="AB21:AL36" si="2">$D21*$K21*(AF$2-AF$1)</f>
        <v>0</v>
      </c>
      <c r="AG21" s="3505">
        <f t="shared" si="2"/>
        <v>0</v>
      </c>
      <c r="AH21" s="3505">
        <f t="shared" si="2"/>
        <v>0</v>
      </c>
      <c r="AI21" s="3505">
        <f t="shared" si="2"/>
        <v>0</v>
      </c>
      <c r="AJ21" s="3505">
        <f t="shared" si="2"/>
        <v>0</v>
      </c>
      <c r="AK21" s="3505">
        <f t="shared" si="2"/>
        <v>0</v>
      </c>
      <c r="AL21" s="3505">
        <f t="shared" si="2"/>
        <v>0</v>
      </c>
      <c r="AM21" s="3470"/>
      <c r="AN21" s="3470"/>
      <c r="AO21" s="3470"/>
      <c r="AP21" s="3470"/>
      <c r="AQ21" s="3470"/>
      <c r="AR21" s="3470"/>
      <c r="AS21" s="3470"/>
      <c r="AT21" s="3470"/>
      <c r="AU21" s="3470"/>
      <c r="AV21" s="3470"/>
      <c r="AW21" s="3470"/>
      <c r="AX21" s="3470"/>
      <c r="AY21" s="3470"/>
      <c r="AZ21" s="3470"/>
      <c r="BA21" s="3470"/>
      <c r="BB21" s="3470"/>
      <c r="BC21" s="3470"/>
      <c r="BD21" s="3470"/>
      <c r="BE21" s="3470"/>
      <c r="BF21" s="3470"/>
      <c r="BG21" s="3470"/>
      <c r="BH21" s="3470"/>
      <c r="BI21" s="3470"/>
      <c r="BJ21" s="3470"/>
      <c r="BK21" s="3470"/>
      <c r="BL21" s="3470"/>
      <c r="BM21" s="3470"/>
      <c r="BN21" s="3470"/>
      <c r="BO21" s="3470"/>
      <c r="BP21" s="3470"/>
      <c r="BQ21" s="3470"/>
      <c r="BR21" s="3470"/>
      <c r="BS21" s="3470"/>
      <c r="BT21" s="3470"/>
      <c r="BU21" s="3470"/>
      <c r="BV21" s="3470"/>
      <c r="BW21" s="3470"/>
      <c r="BX21" s="3470"/>
      <c r="BY21" s="3470"/>
      <c r="BZ21" s="3470"/>
    </row>
    <row r="22" spans="1:152" s="3612" customFormat="1" ht="14.25">
      <c r="B22" s="3555"/>
      <c r="C22" s="3567" t="s">
        <v>3641</v>
      </c>
      <c r="D22" s="3556"/>
      <c r="E22" s="3567">
        <v>162</v>
      </c>
      <c r="F22" s="3546">
        <v>162</v>
      </c>
      <c r="G22" s="3562"/>
      <c r="H22" s="3528"/>
      <c r="I22" s="3538"/>
      <c r="J22" s="3530"/>
      <c r="K22" s="3530"/>
      <c r="L22" s="3530"/>
      <c r="M22" s="3530"/>
      <c r="N22" s="3532"/>
      <c r="O22" s="3532"/>
      <c r="P22" s="3532"/>
      <c r="Q22" s="3530"/>
      <c r="R22" s="3530"/>
      <c r="S22" s="3530"/>
      <c r="T22" s="3533"/>
      <c r="U22" s="3530"/>
      <c r="V22" s="3534"/>
      <c r="W22" s="3534"/>
      <c r="X22" s="3534"/>
      <c r="Y22" s="3548"/>
      <c r="Z22" s="3470"/>
      <c r="AA22" s="3505">
        <f t="shared" si="1"/>
        <v>0</v>
      </c>
      <c r="AB22" s="3505">
        <f t="shared" si="2"/>
        <v>0</v>
      </c>
      <c r="AC22" s="3505">
        <f t="shared" si="2"/>
        <v>0</v>
      </c>
      <c r="AD22" s="3505">
        <f t="shared" si="2"/>
        <v>0</v>
      </c>
      <c r="AE22" s="3505">
        <f t="shared" si="2"/>
        <v>0</v>
      </c>
      <c r="AF22" s="3505">
        <f t="shared" si="2"/>
        <v>0</v>
      </c>
      <c r="AG22" s="3505">
        <f t="shared" si="2"/>
        <v>0</v>
      </c>
      <c r="AH22" s="3505">
        <f t="shared" si="2"/>
        <v>0</v>
      </c>
      <c r="AI22" s="3505">
        <f t="shared" si="2"/>
        <v>0</v>
      </c>
      <c r="AJ22" s="3505">
        <f t="shared" si="2"/>
        <v>0</v>
      </c>
      <c r="AK22" s="3505">
        <f t="shared" si="2"/>
        <v>0</v>
      </c>
      <c r="AL22" s="3505">
        <f t="shared" si="2"/>
        <v>0</v>
      </c>
      <c r="AM22" s="3470"/>
      <c r="AN22" s="3470"/>
      <c r="AO22" s="3470"/>
      <c r="AP22" s="3470"/>
      <c r="AQ22" s="3470"/>
      <c r="AR22" s="3470"/>
      <c r="AS22" s="3470"/>
      <c r="AT22" s="3470"/>
      <c r="AU22" s="3470"/>
      <c r="AV22" s="3470"/>
      <c r="AW22" s="3470"/>
      <c r="AX22" s="3470"/>
      <c r="AY22" s="3470"/>
      <c r="AZ22" s="3470"/>
      <c r="BA22" s="3470"/>
      <c r="BB22" s="3470"/>
      <c r="BC22" s="3470"/>
      <c r="BD22" s="3470"/>
      <c r="BE22" s="3470"/>
      <c r="BF22" s="3470"/>
      <c r="BG22" s="3470"/>
      <c r="BH22" s="3470"/>
      <c r="BI22" s="3470"/>
      <c r="BJ22" s="3470"/>
      <c r="BK22" s="3470"/>
      <c r="BL22" s="3470"/>
      <c r="BM22" s="3470"/>
      <c r="BN22" s="3470"/>
      <c r="BO22" s="3470"/>
      <c r="BP22" s="3470"/>
      <c r="BQ22" s="3470"/>
      <c r="BR22" s="3470"/>
      <c r="BS22" s="3470"/>
      <c r="BT22" s="3470"/>
      <c r="BU22" s="3470"/>
      <c r="BV22" s="3470"/>
      <c r="BW22" s="3470"/>
      <c r="BX22" s="3470"/>
      <c r="BY22" s="3470"/>
      <c r="BZ22" s="3470"/>
    </row>
    <row r="23" spans="1:152" s="3567" customFormat="1" ht="128.25">
      <c r="A23" s="3614"/>
      <c r="B23" s="3555"/>
      <c r="C23" s="3567" t="s">
        <v>3642</v>
      </c>
      <c r="D23" s="3556"/>
      <c r="E23" s="3567">
        <f>42+4</f>
        <v>46</v>
      </c>
      <c r="F23" s="3546">
        <v>46</v>
      </c>
      <c r="G23" s="3562"/>
      <c r="H23" s="3528"/>
      <c r="I23" s="3538"/>
      <c r="J23" s="3530"/>
      <c r="K23" s="3530"/>
      <c r="L23" s="3530"/>
      <c r="M23" s="3530"/>
      <c r="N23" s="3532"/>
      <c r="O23" s="3532"/>
      <c r="P23" s="3532"/>
      <c r="Q23" s="3530"/>
      <c r="R23" s="3530"/>
      <c r="S23" s="3530"/>
      <c r="T23" s="3533"/>
      <c r="U23" s="3530"/>
      <c r="V23" s="3534">
        <v>109500</v>
      </c>
      <c r="W23" s="3534" t="s">
        <v>3643</v>
      </c>
      <c r="X23" s="3534" t="s">
        <v>3644</v>
      </c>
      <c r="Y23" s="3554">
        <v>109500</v>
      </c>
      <c r="Z23" s="3470"/>
      <c r="AA23" s="3505">
        <f t="shared" si="1"/>
        <v>0</v>
      </c>
      <c r="AB23" s="3505">
        <f t="shared" si="2"/>
        <v>0</v>
      </c>
      <c r="AC23" s="3505">
        <f t="shared" si="2"/>
        <v>0</v>
      </c>
      <c r="AD23" s="3505">
        <f t="shared" si="2"/>
        <v>0</v>
      </c>
      <c r="AE23" s="3505">
        <f t="shared" si="2"/>
        <v>0</v>
      </c>
      <c r="AF23" s="3505">
        <f t="shared" si="2"/>
        <v>0</v>
      </c>
      <c r="AG23" s="3505">
        <f t="shared" si="2"/>
        <v>0</v>
      </c>
      <c r="AH23" s="3505">
        <f t="shared" si="2"/>
        <v>0</v>
      </c>
      <c r="AI23" s="3505">
        <f t="shared" si="2"/>
        <v>0</v>
      </c>
      <c r="AJ23" s="3505">
        <f t="shared" si="2"/>
        <v>0</v>
      </c>
      <c r="AK23" s="3505">
        <f t="shared" si="2"/>
        <v>0</v>
      </c>
      <c r="AL23" s="3505">
        <f t="shared" si="2"/>
        <v>0</v>
      </c>
      <c r="AM23" s="3470"/>
      <c r="AN23" s="3470"/>
      <c r="AO23" s="3470"/>
      <c r="AP23" s="3470"/>
      <c r="AQ23" s="3470"/>
      <c r="AR23" s="3470"/>
      <c r="AS23" s="3470"/>
      <c r="AT23" s="3470"/>
      <c r="AU23" s="3470"/>
      <c r="AV23" s="3470"/>
      <c r="AW23" s="3470"/>
      <c r="AX23" s="3470"/>
      <c r="AY23" s="3470"/>
      <c r="AZ23" s="3470"/>
      <c r="BA23" s="3470"/>
      <c r="BB23" s="3470"/>
      <c r="BC23" s="3470"/>
      <c r="BD23" s="3470"/>
      <c r="BE23" s="3470"/>
      <c r="BF23" s="3470"/>
      <c r="BG23" s="3470"/>
      <c r="BH23" s="3470"/>
      <c r="BI23" s="3470"/>
      <c r="BJ23" s="3470"/>
      <c r="BK23" s="3470"/>
      <c r="BL23" s="3470"/>
      <c r="BM23" s="3470"/>
      <c r="BN23" s="3470"/>
      <c r="BO23" s="3470"/>
      <c r="BP23" s="3470"/>
      <c r="BQ23" s="3470"/>
      <c r="BR23" s="3470"/>
      <c r="BS23" s="3470"/>
      <c r="BT23" s="3470"/>
      <c r="BU23" s="3470"/>
      <c r="BV23" s="3470"/>
      <c r="BW23" s="3470"/>
      <c r="BX23" s="3470"/>
      <c r="BY23" s="3470"/>
      <c r="BZ23" s="3470"/>
      <c r="CA23" s="3612"/>
      <c r="CB23" s="3612"/>
      <c r="CC23" s="3612"/>
      <c r="CD23" s="3612"/>
      <c r="CE23" s="3612"/>
      <c r="CF23" s="3612"/>
      <c r="CG23" s="3612"/>
      <c r="CH23" s="3612"/>
      <c r="CI23" s="3612"/>
      <c r="CJ23" s="3612"/>
      <c r="CK23" s="3612"/>
      <c r="CL23" s="3612"/>
      <c r="CM23" s="3612"/>
      <c r="CN23" s="3612"/>
      <c r="CO23" s="3612"/>
      <c r="CP23" s="3612"/>
      <c r="CQ23" s="3612"/>
      <c r="CR23" s="3612"/>
      <c r="CS23" s="3612"/>
      <c r="CT23" s="3612"/>
      <c r="CU23" s="3612"/>
      <c r="CV23" s="3612"/>
      <c r="CW23" s="3612"/>
      <c r="CX23" s="3612"/>
      <c r="CY23" s="3612"/>
      <c r="CZ23" s="3612"/>
      <c r="DA23" s="3612"/>
      <c r="DB23" s="3612"/>
      <c r="DC23" s="3612"/>
      <c r="DD23" s="3612"/>
      <c r="DE23" s="3612"/>
      <c r="DF23" s="3612"/>
      <c r="DG23" s="3612"/>
      <c r="DH23" s="3612"/>
      <c r="DI23" s="3612"/>
      <c r="DJ23" s="3612"/>
      <c r="DK23" s="3612"/>
      <c r="DL23" s="3612"/>
      <c r="DM23" s="3612"/>
      <c r="DN23" s="3612"/>
      <c r="DO23" s="3612"/>
      <c r="DP23" s="3612"/>
      <c r="DQ23" s="3612"/>
      <c r="DR23" s="3612"/>
      <c r="DS23" s="3612"/>
      <c r="DT23" s="3612"/>
      <c r="DU23" s="3612"/>
      <c r="DV23" s="3612"/>
      <c r="DW23" s="3612"/>
      <c r="DX23" s="3612"/>
      <c r="DY23" s="3612"/>
      <c r="DZ23" s="3612"/>
      <c r="EA23" s="3612"/>
      <c r="EB23" s="3612"/>
      <c r="EC23" s="3612"/>
      <c r="ED23" s="3612"/>
      <c r="EE23" s="3612"/>
      <c r="EF23" s="3612"/>
      <c r="EG23" s="3612"/>
      <c r="EH23" s="3612"/>
      <c r="EI23" s="3612"/>
      <c r="EJ23" s="3612"/>
      <c r="EK23" s="3612"/>
      <c r="EL23" s="3612"/>
      <c r="EM23" s="3612"/>
      <c r="EN23" s="3612"/>
      <c r="EO23" s="3612"/>
      <c r="EP23" s="3612"/>
      <c r="EQ23" s="3612"/>
      <c r="ER23" s="3612"/>
      <c r="ES23" s="3612"/>
      <c r="ET23" s="3612"/>
      <c r="EU23" s="3612"/>
      <c r="EV23" s="3612"/>
    </row>
    <row r="24" spans="1:152" s="3610" customFormat="1" ht="28.5">
      <c r="A24" s="3610">
        <v>1</v>
      </c>
      <c r="B24" s="3516" t="s">
        <v>3645</v>
      </c>
      <c r="C24" s="3575" t="s">
        <v>3646</v>
      </c>
      <c r="D24" s="3517"/>
      <c r="E24" s="3575">
        <v>60</v>
      </c>
      <c r="F24" s="3575">
        <v>60</v>
      </c>
      <c r="G24" s="3536">
        <v>46</v>
      </c>
      <c r="H24" s="3521" t="s">
        <v>3647</v>
      </c>
      <c r="I24" s="3549" t="s">
        <v>3648</v>
      </c>
      <c r="J24" s="3550">
        <v>46116.53</v>
      </c>
      <c r="K24" s="3522">
        <v>17.28</v>
      </c>
      <c r="L24" s="3522" t="s">
        <v>3649</v>
      </c>
      <c r="M24" s="3522">
        <v>5182.3900000000003</v>
      </c>
      <c r="N24" s="3524"/>
      <c r="O24" s="3524"/>
      <c r="P24" s="3524"/>
      <c r="Q24" s="3522"/>
      <c r="R24" s="3522"/>
      <c r="S24" s="3522"/>
      <c r="T24" s="3525"/>
      <c r="U24" s="3522"/>
      <c r="V24" s="3523">
        <v>153896.76</v>
      </c>
      <c r="W24" s="3523"/>
      <c r="X24" s="3523" t="s">
        <v>3650</v>
      </c>
      <c r="Y24" s="3552">
        <v>153896.76</v>
      </c>
      <c r="Z24" s="3470"/>
      <c r="AA24" s="3505">
        <f t="shared" si="1"/>
        <v>0</v>
      </c>
      <c r="AB24" s="3505">
        <f t="shared" si="2"/>
        <v>0</v>
      </c>
      <c r="AC24" s="3505">
        <f t="shared" si="2"/>
        <v>0</v>
      </c>
      <c r="AD24" s="3505">
        <f t="shared" si="2"/>
        <v>0</v>
      </c>
      <c r="AE24" s="3505">
        <f t="shared" si="2"/>
        <v>0</v>
      </c>
      <c r="AF24" s="3505">
        <f t="shared" si="2"/>
        <v>0</v>
      </c>
      <c r="AG24" s="3505">
        <f t="shared" si="2"/>
        <v>0</v>
      </c>
      <c r="AH24" s="3505">
        <f t="shared" si="2"/>
        <v>0</v>
      </c>
      <c r="AI24" s="3505">
        <f t="shared" si="2"/>
        <v>0</v>
      </c>
      <c r="AJ24" s="3505">
        <f t="shared" si="2"/>
        <v>0</v>
      </c>
      <c r="AK24" s="3505">
        <f t="shared" si="2"/>
        <v>0</v>
      </c>
      <c r="AL24" s="3505">
        <f t="shared" si="2"/>
        <v>0</v>
      </c>
      <c r="AM24" s="3470"/>
      <c r="AN24" s="3470"/>
      <c r="AO24" s="3470"/>
      <c r="AP24" s="3470"/>
      <c r="AQ24" s="3470"/>
      <c r="AR24" s="3470"/>
      <c r="AS24" s="3470"/>
      <c r="AT24" s="3470"/>
      <c r="AU24" s="3470"/>
      <c r="AV24" s="3470"/>
      <c r="AW24" s="3470"/>
      <c r="AX24" s="3470"/>
      <c r="AY24" s="3470"/>
      <c r="AZ24" s="3470"/>
      <c r="BA24" s="3470"/>
      <c r="BB24" s="3470"/>
      <c r="BC24" s="3470"/>
      <c r="BD24" s="3470"/>
      <c r="BE24" s="3470"/>
      <c r="BF24" s="3470"/>
      <c r="BG24" s="3470"/>
      <c r="BH24" s="3470"/>
      <c r="BI24" s="3470"/>
      <c r="BJ24" s="3470"/>
      <c r="BK24" s="3470"/>
      <c r="BL24" s="3470"/>
      <c r="BM24" s="3470"/>
      <c r="BN24" s="3470"/>
      <c r="BO24" s="3470"/>
      <c r="BP24" s="3470"/>
      <c r="BQ24" s="3470"/>
      <c r="BR24" s="3470"/>
      <c r="BS24" s="3470"/>
      <c r="BT24" s="3470"/>
      <c r="BU24" s="3470"/>
      <c r="BV24" s="3470"/>
      <c r="BW24" s="3470"/>
      <c r="BX24" s="3470"/>
      <c r="BY24" s="3470"/>
      <c r="BZ24" s="3470"/>
    </row>
    <row r="25" spans="1:152" s="3610" customFormat="1" ht="142.5">
      <c r="A25" s="3610">
        <v>1</v>
      </c>
      <c r="B25" s="3516" t="s">
        <v>3651</v>
      </c>
      <c r="C25" s="3575" t="s">
        <v>3652</v>
      </c>
      <c r="D25" s="3517"/>
      <c r="E25" s="3575">
        <v>618</v>
      </c>
      <c r="F25" s="3575">
        <v>618</v>
      </c>
      <c r="G25" s="3536">
        <v>666</v>
      </c>
      <c r="H25" s="3521" t="s">
        <v>3653</v>
      </c>
      <c r="I25" s="3519" t="s">
        <v>3654</v>
      </c>
      <c r="J25" s="3522">
        <v>172036.67</v>
      </c>
      <c r="K25" s="3522">
        <v>8</v>
      </c>
      <c r="L25" s="3522" t="s">
        <v>3617</v>
      </c>
      <c r="M25" s="3522">
        <v>21504.58</v>
      </c>
      <c r="N25" s="3524"/>
      <c r="O25" s="3524"/>
      <c r="P25" s="3524"/>
      <c r="Q25" s="3522"/>
      <c r="R25" s="3522"/>
      <c r="S25" s="3522"/>
      <c r="T25" s="3525"/>
      <c r="U25" s="3522"/>
      <c r="V25" s="3523">
        <f>P23</f>
        <v>0</v>
      </c>
      <c r="W25" s="3551" t="s">
        <v>3772</v>
      </c>
      <c r="X25" s="3523" t="s">
        <v>3773</v>
      </c>
      <c r="Y25" s="3552">
        <v>580623.75</v>
      </c>
      <c r="Z25" s="3470"/>
      <c r="AA25" s="3505">
        <f t="shared" si="1"/>
        <v>0</v>
      </c>
      <c r="AB25" s="3505">
        <f t="shared" si="2"/>
        <v>0</v>
      </c>
      <c r="AC25" s="3505">
        <f t="shared" si="2"/>
        <v>0</v>
      </c>
      <c r="AD25" s="3505">
        <f t="shared" si="2"/>
        <v>0</v>
      </c>
      <c r="AE25" s="3505">
        <f t="shared" si="2"/>
        <v>0</v>
      </c>
      <c r="AF25" s="3505">
        <f t="shared" si="2"/>
        <v>0</v>
      </c>
      <c r="AG25" s="3505">
        <f t="shared" si="2"/>
        <v>0</v>
      </c>
      <c r="AH25" s="3505">
        <f t="shared" si="2"/>
        <v>0</v>
      </c>
      <c r="AI25" s="3505">
        <f t="shared" si="2"/>
        <v>0</v>
      </c>
      <c r="AJ25" s="3505">
        <f t="shared" si="2"/>
        <v>0</v>
      </c>
      <c r="AK25" s="3505">
        <f t="shared" si="2"/>
        <v>0</v>
      </c>
      <c r="AL25" s="3505">
        <f t="shared" si="2"/>
        <v>0</v>
      </c>
      <c r="AM25" s="3470"/>
      <c r="AN25" s="3470"/>
      <c r="AO25" s="3470"/>
      <c r="AP25" s="3470"/>
      <c r="AQ25" s="3470"/>
      <c r="AR25" s="3470"/>
      <c r="AS25" s="3470"/>
      <c r="AT25" s="3470"/>
      <c r="AU25" s="3470"/>
      <c r="AV25" s="3470"/>
      <c r="AW25" s="3470"/>
      <c r="AX25" s="3470"/>
      <c r="AY25" s="3470"/>
      <c r="AZ25" s="3470"/>
      <c r="BA25" s="3470"/>
      <c r="BB25" s="3470"/>
      <c r="BC25" s="3470"/>
      <c r="BD25" s="3470"/>
      <c r="BE25" s="3470"/>
      <c r="BF25" s="3470"/>
      <c r="BG25" s="3470"/>
      <c r="BH25" s="3470"/>
      <c r="BI25" s="3470"/>
      <c r="BJ25" s="3470"/>
      <c r="BK25" s="3470"/>
      <c r="BL25" s="3470"/>
      <c r="BM25" s="3470"/>
      <c r="BN25" s="3470"/>
      <c r="BO25" s="3470"/>
      <c r="BP25" s="3470"/>
      <c r="BQ25" s="3470"/>
      <c r="BR25" s="3470"/>
      <c r="BS25" s="3470"/>
      <c r="BT25" s="3470"/>
      <c r="BU25" s="3470"/>
      <c r="BV25" s="3470"/>
      <c r="BW25" s="3470"/>
      <c r="BX25" s="3470"/>
      <c r="BY25" s="3470"/>
      <c r="BZ25" s="3470"/>
    </row>
    <row r="26" spans="1:152" s="3610" customFormat="1" ht="99.75">
      <c r="A26" s="3610">
        <v>1</v>
      </c>
      <c r="B26" s="3432" t="s">
        <v>3733</v>
      </c>
      <c r="C26" s="3575" t="s">
        <v>3655</v>
      </c>
      <c r="D26" s="3517"/>
      <c r="E26" s="3575">
        <v>40</v>
      </c>
      <c r="F26" s="3575">
        <v>40</v>
      </c>
      <c r="G26" s="3536">
        <v>102</v>
      </c>
      <c r="H26" s="3521" t="s">
        <v>3656</v>
      </c>
      <c r="I26" s="3573" t="s">
        <v>3734</v>
      </c>
      <c r="J26" s="3522">
        <v>48523.1</v>
      </c>
      <c r="K26" s="3522">
        <f>J26*12/365/G26</f>
        <v>15.64</v>
      </c>
      <c r="L26" s="3522" t="s">
        <v>3649</v>
      </c>
      <c r="M26" s="3522">
        <v>6205</v>
      </c>
      <c r="N26" s="3524"/>
      <c r="O26" s="3524"/>
      <c r="P26" s="3524"/>
      <c r="Q26" s="3522"/>
      <c r="R26" s="3522"/>
      <c r="S26" s="3522"/>
      <c r="T26" s="3525"/>
      <c r="U26" s="3522">
        <f>6205*3</f>
        <v>18615</v>
      </c>
      <c r="V26" s="3523">
        <f>48523.1*3</f>
        <v>145569.29999999999</v>
      </c>
      <c r="W26" s="3551" t="s">
        <v>3657</v>
      </c>
      <c r="X26" s="3523" t="s">
        <v>3658</v>
      </c>
      <c r="Y26" s="3552">
        <v>164184.29999999999</v>
      </c>
      <c r="Z26" s="3470"/>
      <c r="AA26" s="3505">
        <f t="shared" si="1"/>
        <v>0</v>
      </c>
      <c r="AB26" s="3505">
        <f t="shared" si="2"/>
        <v>0</v>
      </c>
      <c r="AC26" s="3505">
        <f t="shared" si="2"/>
        <v>0</v>
      </c>
      <c r="AD26" s="3505">
        <f t="shared" si="2"/>
        <v>0</v>
      </c>
      <c r="AE26" s="3505">
        <f t="shared" si="2"/>
        <v>0</v>
      </c>
      <c r="AF26" s="3505">
        <f t="shared" si="2"/>
        <v>0</v>
      </c>
      <c r="AG26" s="3505">
        <f t="shared" si="2"/>
        <v>0</v>
      </c>
      <c r="AH26" s="3505">
        <f t="shared" si="2"/>
        <v>0</v>
      </c>
      <c r="AI26" s="3505">
        <f t="shared" si="2"/>
        <v>0</v>
      </c>
      <c r="AJ26" s="3505">
        <f t="shared" si="2"/>
        <v>0</v>
      </c>
      <c r="AK26" s="3505">
        <f t="shared" si="2"/>
        <v>0</v>
      </c>
      <c r="AL26" s="3505">
        <f t="shared" si="2"/>
        <v>0</v>
      </c>
      <c r="AM26" s="3470"/>
      <c r="AN26" s="3470"/>
      <c r="AO26" s="3470"/>
      <c r="AP26" s="3470"/>
      <c r="AQ26" s="3470"/>
      <c r="AR26" s="3470"/>
      <c r="AS26" s="3470"/>
      <c r="AT26" s="3470"/>
      <c r="AU26" s="3470"/>
      <c r="AV26" s="3470"/>
      <c r="AW26" s="3470"/>
      <c r="AX26" s="3470"/>
      <c r="AY26" s="3470"/>
      <c r="AZ26" s="3470"/>
      <c r="BA26" s="3470"/>
      <c r="BB26" s="3470"/>
      <c r="BC26" s="3470"/>
      <c r="BD26" s="3470"/>
      <c r="BE26" s="3470"/>
      <c r="BF26" s="3470"/>
      <c r="BG26" s="3470"/>
      <c r="BH26" s="3470"/>
      <c r="BI26" s="3470"/>
      <c r="BJ26" s="3470"/>
      <c r="BK26" s="3470"/>
      <c r="BL26" s="3470"/>
      <c r="BM26" s="3470"/>
      <c r="BN26" s="3470"/>
      <c r="BO26" s="3470"/>
      <c r="BP26" s="3470"/>
      <c r="BQ26" s="3470"/>
      <c r="BR26" s="3470"/>
      <c r="BS26" s="3470"/>
      <c r="BT26" s="3470"/>
      <c r="BU26" s="3470"/>
      <c r="BV26" s="3470"/>
      <c r="BW26" s="3470"/>
      <c r="BX26" s="3470"/>
      <c r="BY26" s="3470"/>
      <c r="BZ26" s="3470"/>
    </row>
    <row r="27" spans="1:152" s="3610" customFormat="1" ht="42.75">
      <c r="A27" s="3610">
        <v>1</v>
      </c>
      <c r="B27" s="3516"/>
      <c r="C27" s="3575" t="s">
        <v>3659</v>
      </c>
      <c r="D27" s="3517"/>
      <c r="E27" s="3575">
        <v>46</v>
      </c>
      <c r="F27" s="3575">
        <v>46</v>
      </c>
      <c r="G27" s="3536">
        <v>41</v>
      </c>
      <c r="H27" s="3521" t="s">
        <v>3653</v>
      </c>
      <c r="I27" s="3519"/>
      <c r="J27" s="3522"/>
      <c r="K27" s="3522"/>
      <c r="L27" s="3522"/>
      <c r="M27" s="3522"/>
      <c r="N27" s="3524"/>
      <c r="O27" s="3524"/>
      <c r="P27" s="3524"/>
      <c r="Q27" s="3522"/>
      <c r="R27" s="3522"/>
      <c r="S27" s="3522"/>
      <c r="T27" s="3525"/>
      <c r="U27" s="3522"/>
      <c r="V27" s="3523"/>
      <c r="W27" s="3523"/>
      <c r="X27" s="3523"/>
      <c r="Y27" s="3553"/>
      <c r="Z27" s="3470"/>
      <c r="AA27" s="3505">
        <f t="shared" si="1"/>
        <v>0</v>
      </c>
      <c r="AB27" s="3505">
        <f t="shared" si="2"/>
        <v>0</v>
      </c>
      <c r="AC27" s="3505">
        <f t="shared" si="2"/>
        <v>0</v>
      </c>
      <c r="AD27" s="3505">
        <f t="shared" si="2"/>
        <v>0</v>
      </c>
      <c r="AE27" s="3505">
        <f t="shared" si="2"/>
        <v>0</v>
      </c>
      <c r="AF27" s="3505">
        <f t="shared" si="2"/>
        <v>0</v>
      </c>
      <c r="AG27" s="3505">
        <f t="shared" si="2"/>
        <v>0</v>
      </c>
      <c r="AH27" s="3505">
        <f t="shared" si="2"/>
        <v>0</v>
      </c>
      <c r="AI27" s="3505">
        <f t="shared" si="2"/>
        <v>0</v>
      </c>
      <c r="AJ27" s="3505">
        <f t="shared" si="2"/>
        <v>0</v>
      </c>
      <c r="AK27" s="3505">
        <f t="shared" si="2"/>
        <v>0</v>
      </c>
      <c r="AL27" s="3505">
        <f t="shared" si="2"/>
        <v>0</v>
      </c>
      <c r="AM27" s="3470"/>
      <c r="AN27" s="3470"/>
      <c r="AO27" s="3470"/>
      <c r="AP27" s="3470"/>
      <c r="AQ27" s="3470"/>
      <c r="AR27" s="3470"/>
      <c r="AS27" s="3470"/>
      <c r="AT27" s="3470"/>
      <c r="AU27" s="3470"/>
      <c r="AV27" s="3470"/>
      <c r="AW27" s="3470"/>
      <c r="AX27" s="3470"/>
      <c r="AY27" s="3470"/>
      <c r="AZ27" s="3470"/>
      <c r="BA27" s="3470"/>
      <c r="BB27" s="3470"/>
      <c r="BC27" s="3470"/>
      <c r="BD27" s="3470"/>
      <c r="BE27" s="3470"/>
      <c r="BF27" s="3470"/>
      <c r="BG27" s="3470"/>
      <c r="BH27" s="3470"/>
      <c r="BI27" s="3470"/>
      <c r="BJ27" s="3470"/>
      <c r="BK27" s="3470"/>
      <c r="BL27" s="3470"/>
      <c r="BM27" s="3470"/>
      <c r="BN27" s="3470"/>
      <c r="BO27" s="3470"/>
      <c r="BP27" s="3470"/>
      <c r="BQ27" s="3470"/>
      <c r="BR27" s="3470"/>
      <c r="BS27" s="3470"/>
      <c r="BT27" s="3470"/>
      <c r="BU27" s="3470"/>
      <c r="BV27" s="3470"/>
      <c r="BW27" s="3470"/>
      <c r="BX27" s="3470"/>
      <c r="BY27" s="3470"/>
      <c r="BZ27" s="3470"/>
    </row>
    <row r="28" spans="1:152" s="3612" customFormat="1" ht="14.25">
      <c r="A28" s="3615" t="s">
        <v>3735</v>
      </c>
      <c r="B28" s="3526" t="s">
        <v>3736</v>
      </c>
      <c r="C28" s="3538" t="s">
        <v>3660</v>
      </c>
      <c r="D28" s="3556"/>
      <c r="E28" s="3567"/>
      <c r="F28" s="3567"/>
      <c r="G28" s="3562">
        <v>28.52</v>
      </c>
      <c r="H28" s="3528" t="s">
        <v>3661</v>
      </c>
      <c r="I28" s="3538" t="s">
        <v>3662</v>
      </c>
      <c r="J28" s="3530">
        <v>4200</v>
      </c>
      <c r="K28" s="3530">
        <f>J28*12/365/G28</f>
        <v>4.8415915771676685</v>
      </c>
      <c r="L28" s="3530"/>
      <c r="M28" s="3530"/>
      <c r="N28" s="3532"/>
      <c r="O28" s="3532"/>
      <c r="P28" s="3532"/>
      <c r="Q28" s="3530"/>
      <c r="R28" s="3530"/>
      <c r="S28" s="3530"/>
      <c r="T28" s="3533"/>
      <c r="U28" s="3530"/>
      <c r="V28" s="3534"/>
      <c r="W28" s="3534"/>
      <c r="X28" s="3534"/>
      <c r="Y28" s="3554"/>
      <c r="Z28" s="3470"/>
      <c r="AA28" s="3505">
        <f t="shared" si="1"/>
        <v>0</v>
      </c>
      <c r="AB28" s="3505">
        <f t="shared" si="2"/>
        <v>0</v>
      </c>
      <c r="AC28" s="3505">
        <f t="shared" si="2"/>
        <v>0</v>
      </c>
      <c r="AD28" s="3505">
        <f t="shared" si="2"/>
        <v>0</v>
      </c>
      <c r="AE28" s="3505">
        <f t="shared" si="2"/>
        <v>0</v>
      </c>
      <c r="AF28" s="3505">
        <f t="shared" si="2"/>
        <v>0</v>
      </c>
      <c r="AG28" s="3505">
        <f t="shared" si="2"/>
        <v>0</v>
      </c>
      <c r="AH28" s="3505">
        <f t="shared" si="2"/>
        <v>0</v>
      </c>
      <c r="AI28" s="3505">
        <f t="shared" si="2"/>
        <v>0</v>
      </c>
      <c r="AJ28" s="3505">
        <f t="shared" si="2"/>
        <v>0</v>
      </c>
      <c r="AK28" s="3505">
        <f t="shared" si="2"/>
        <v>0</v>
      </c>
      <c r="AL28" s="3505">
        <f t="shared" si="2"/>
        <v>0</v>
      </c>
      <c r="AM28" s="3470"/>
      <c r="AN28" s="3470"/>
      <c r="AO28" s="3470"/>
      <c r="AP28" s="3470"/>
      <c r="AQ28" s="3470"/>
      <c r="AR28" s="3470"/>
      <c r="AS28" s="3470"/>
      <c r="AT28" s="3470"/>
      <c r="AU28" s="3470"/>
      <c r="AV28" s="3470"/>
      <c r="AW28" s="3470"/>
      <c r="AX28" s="3470"/>
      <c r="AY28" s="3470"/>
      <c r="AZ28" s="3470"/>
      <c r="BA28" s="3470"/>
      <c r="BB28" s="3470"/>
      <c r="BC28" s="3470"/>
      <c r="BD28" s="3470"/>
      <c r="BE28" s="3470"/>
      <c r="BF28" s="3470"/>
      <c r="BG28" s="3470"/>
      <c r="BH28" s="3470"/>
      <c r="BI28" s="3470"/>
      <c r="BJ28" s="3470"/>
      <c r="BK28" s="3470"/>
      <c r="BL28" s="3470"/>
      <c r="BM28" s="3470"/>
      <c r="BN28" s="3470"/>
      <c r="BO28" s="3470"/>
      <c r="BP28" s="3470"/>
      <c r="BQ28" s="3470"/>
      <c r="BR28" s="3470"/>
      <c r="BS28" s="3470"/>
      <c r="BT28" s="3470"/>
      <c r="BU28" s="3470"/>
      <c r="BV28" s="3470"/>
      <c r="BW28" s="3470"/>
      <c r="BX28" s="3470"/>
      <c r="BY28" s="3470"/>
      <c r="BZ28" s="3470"/>
    </row>
    <row r="29" spans="1:152" s="3610" customFormat="1" ht="14.25">
      <c r="B29" s="3516"/>
      <c r="C29" s="3575"/>
      <c r="D29" s="3517"/>
      <c r="E29" s="3575"/>
      <c r="F29" s="3575"/>
      <c r="G29" s="3536"/>
      <c r="H29" s="3521"/>
      <c r="I29" s="3519"/>
      <c r="J29" s="3522"/>
      <c r="K29" s="3522"/>
      <c r="L29" s="3522"/>
      <c r="M29" s="3522"/>
      <c r="N29" s="3524"/>
      <c r="O29" s="3524"/>
      <c r="P29" s="3524"/>
      <c r="Q29" s="3522"/>
      <c r="R29" s="3522"/>
      <c r="S29" s="3522"/>
      <c r="T29" s="3525"/>
      <c r="U29" s="3522"/>
      <c r="V29" s="3523"/>
      <c r="W29" s="3523"/>
      <c r="X29" s="3523"/>
      <c r="Y29" s="3552"/>
      <c r="Z29" s="3470"/>
      <c r="AA29" s="3505">
        <f t="shared" si="1"/>
        <v>0</v>
      </c>
      <c r="AB29" s="3505">
        <f t="shared" si="2"/>
        <v>0</v>
      </c>
      <c r="AC29" s="3505">
        <f t="shared" si="2"/>
        <v>0</v>
      </c>
      <c r="AD29" s="3505">
        <f t="shared" si="2"/>
        <v>0</v>
      </c>
      <c r="AE29" s="3505">
        <f t="shared" si="2"/>
        <v>0</v>
      </c>
      <c r="AF29" s="3505">
        <f t="shared" si="2"/>
        <v>0</v>
      </c>
      <c r="AG29" s="3505">
        <f t="shared" si="2"/>
        <v>0</v>
      </c>
      <c r="AH29" s="3505">
        <f t="shared" si="2"/>
        <v>0</v>
      </c>
      <c r="AI29" s="3505">
        <f t="shared" si="2"/>
        <v>0</v>
      </c>
      <c r="AJ29" s="3505">
        <f t="shared" si="2"/>
        <v>0</v>
      </c>
      <c r="AK29" s="3505">
        <f t="shared" si="2"/>
        <v>0</v>
      </c>
      <c r="AL29" s="3505">
        <f t="shared" si="2"/>
        <v>0</v>
      </c>
      <c r="AM29" s="3470"/>
      <c r="AN29" s="3470"/>
      <c r="AO29" s="3470"/>
      <c r="AP29" s="3470"/>
      <c r="AQ29" s="3470"/>
      <c r="AR29" s="3470"/>
      <c r="AS29" s="3470"/>
      <c r="AT29" s="3470"/>
      <c r="AU29" s="3470"/>
      <c r="AV29" s="3470"/>
      <c r="AW29" s="3470"/>
      <c r="AX29" s="3470"/>
      <c r="AY29" s="3470"/>
      <c r="AZ29" s="3470"/>
      <c r="BA29" s="3470"/>
      <c r="BB29" s="3470"/>
      <c r="BC29" s="3470"/>
      <c r="BD29" s="3470"/>
      <c r="BE29" s="3470"/>
      <c r="BF29" s="3470"/>
      <c r="BG29" s="3470"/>
      <c r="BH29" s="3470"/>
      <c r="BI29" s="3470"/>
      <c r="BJ29" s="3470"/>
      <c r="BK29" s="3470"/>
      <c r="BL29" s="3470"/>
      <c r="BM29" s="3470"/>
      <c r="BN29" s="3470"/>
      <c r="BO29" s="3470"/>
      <c r="BP29" s="3470"/>
      <c r="BQ29" s="3470"/>
      <c r="BR29" s="3470"/>
      <c r="BS29" s="3470"/>
      <c r="BT29" s="3470"/>
      <c r="BU29" s="3470"/>
      <c r="BV29" s="3470"/>
      <c r="BW29" s="3470"/>
      <c r="BX29" s="3470"/>
      <c r="BY29" s="3470"/>
      <c r="BZ29" s="3470"/>
    </row>
    <row r="30" spans="1:152" s="3611" customFormat="1" ht="14.25">
      <c r="B30" s="3516" t="s">
        <v>3606</v>
      </c>
      <c r="C30" s="3575" t="s">
        <v>3663</v>
      </c>
      <c r="D30" s="3517">
        <v>892.1</v>
      </c>
      <c r="E30" s="3575">
        <v>510</v>
      </c>
      <c r="F30" s="3575">
        <v>510</v>
      </c>
      <c r="G30" s="3536">
        <v>932.65</v>
      </c>
      <c r="H30" s="3521" t="s">
        <v>3608</v>
      </c>
      <c r="I30" s="3519"/>
      <c r="J30" s="3575"/>
      <c r="K30" s="3522"/>
      <c r="L30" s="3522"/>
      <c r="M30" s="3522"/>
      <c r="N30" s="3522"/>
      <c r="O30" s="3522"/>
      <c r="P30" s="3524"/>
      <c r="Q30" s="3522"/>
      <c r="R30" s="3522"/>
      <c r="S30" s="3522"/>
      <c r="T30" s="3525"/>
      <c r="U30" s="3525"/>
      <c r="V30" s="3523"/>
      <c r="W30" s="3523"/>
      <c r="X30" s="3523"/>
      <c r="Y30" s="3523"/>
      <c r="Z30" s="3470"/>
      <c r="AA30" s="3505">
        <f t="shared" si="1"/>
        <v>0</v>
      </c>
      <c r="AB30" s="3505">
        <f t="shared" si="2"/>
        <v>0</v>
      </c>
      <c r="AC30" s="3505">
        <f t="shared" si="2"/>
        <v>0</v>
      </c>
      <c r="AD30" s="3505">
        <f t="shared" si="2"/>
        <v>0</v>
      </c>
      <c r="AE30" s="3505">
        <f t="shared" si="2"/>
        <v>0</v>
      </c>
      <c r="AF30" s="3505">
        <f t="shared" si="2"/>
        <v>0</v>
      </c>
      <c r="AG30" s="3505">
        <f t="shared" si="2"/>
        <v>0</v>
      </c>
      <c r="AH30" s="3505">
        <f t="shared" si="2"/>
        <v>0</v>
      </c>
      <c r="AI30" s="3505">
        <f t="shared" si="2"/>
        <v>0</v>
      </c>
      <c r="AJ30" s="3505">
        <f t="shared" si="2"/>
        <v>0</v>
      </c>
      <c r="AK30" s="3505">
        <f t="shared" si="2"/>
        <v>0</v>
      </c>
      <c r="AL30" s="3505">
        <f t="shared" si="2"/>
        <v>0</v>
      </c>
      <c r="AM30" s="3470"/>
      <c r="AN30" s="3470"/>
      <c r="AO30" s="3470"/>
      <c r="AP30" s="3470"/>
      <c r="AQ30" s="3470"/>
      <c r="AR30" s="3470"/>
      <c r="AS30" s="3470"/>
      <c r="AT30" s="3470"/>
      <c r="AU30" s="3470"/>
      <c r="AV30" s="3470"/>
      <c r="AW30" s="3470"/>
      <c r="AX30" s="3470"/>
      <c r="AY30" s="3470"/>
      <c r="AZ30" s="3470"/>
      <c r="BA30" s="3470"/>
      <c r="BB30" s="3470"/>
      <c r="BC30" s="3470"/>
      <c r="BD30" s="3470"/>
      <c r="BE30" s="3470"/>
      <c r="BF30" s="3470"/>
      <c r="BG30" s="3470"/>
      <c r="BH30" s="3470"/>
      <c r="BI30" s="3470"/>
      <c r="BJ30" s="3470"/>
      <c r="BK30" s="3470"/>
      <c r="BL30" s="3470"/>
      <c r="BM30" s="3470"/>
      <c r="BN30" s="3470"/>
      <c r="BO30" s="3470"/>
      <c r="BP30" s="3470"/>
      <c r="BQ30" s="3470"/>
      <c r="BR30" s="3470"/>
      <c r="BS30" s="3470"/>
      <c r="BT30" s="3470"/>
      <c r="BU30" s="3470"/>
      <c r="BV30" s="3470"/>
      <c r="BW30" s="3470"/>
      <c r="BX30" s="3470"/>
      <c r="BY30" s="3470"/>
      <c r="BZ30" s="3470"/>
    </row>
    <row r="31" spans="1:152" s="3612" customFormat="1" ht="14.25">
      <c r="B31" s="4253" t="s">
        <v>3664</v>
      </c>
      <c r="C31" s="3567" t="s">
        <v>3665</v>
      </c>
      <c r="D31" s="3556">
        <v>164.47</v>
      </c>
      <c r="E31" s="3556">
        <v>46.02</v>
      </c>
      <c r="F31" s="4240">
        <v>92.04</v>
      </c>
      <c r="G31" s="4240"/>
      <c r="H31" s="3528"/>
      <c r="I31" s="3538"/>
      <c r="J31" s="3557"/>
      <c r="K31" s="4241"/>
      <c r="L31" s="4241"/>
      <c r="M31" s="4241"/>
      <c r="N31" s="4241"/>
      <c r="O31" s="4241"/>
      <c r="P31" s="4241"/>
      <c r="Q31" s="4241"/>
      <c r="R31" s="4241"/>
      <c r="S31" s="4241"/>
      <c r="T31" s="4241"/>
      <c r="U31" s="4241"/>
      <c r="V31" s="4241"/>
      <c r="W31" s="4241"/>
      <c r="X31" s="4241"/>
      <c r="Y31" s="4241"/>
      <c r="Z31" s="3470"/>
      <c r="AA31" s="3505">
        <f t="shared" si="1"/>
        <v>0</v>
      </c>
      <c r="AB31" s="3505">
        <f t="shared" si="2"/>
        <v>0</v>
      </c>
      <c r="AC31" s="3505">
        <f t="shared" si="2"/>
        <v>0</v>
      </c>
      <c r="AD31" s="3505">
        <f t="shared" si="2"/>
        <v>0</v>
      </c>
      <c r="AE31" s="3505">
        <f t="shared" si="2"/>
        <v>0</v>
      </c>
      <c r="AF31" s="3505">
        <f t="shared" si="2"/>
        <v>0</v>
      </c>
      <c r="AG31" s="3505">
        <f t="shared" si="2"/>
        <v>0</v>
      </c>
      <c r="AH31" s="3505">
        <f t="shared" si="2"/>
        <v>0</v>
      </c>
      <c r="AI31" s="3505">
        <f t="shared" si="2"/>
        <v>0</v>
      </c>
      <c r="AJ31" s="3505">
        <f t="shared" si="2"/>
        <v>0</v>
      </c>
      <c r="AK31" s="3505">
        <f t="shared" si="2"/>
        <v>0</v>
      </c>
      <c r="AL31" s="3505">
        <f t="shared" si="2"/>
        <v>0</v>
      </c>
      <c r="AM31" s="3470"/>
      <c r="AN31" s="3470"/>
      <c r="AO31" s="3470"/>
      <c r="AP31" s="3470"/>
      <c r="AQ31" s="3470"/>
      <c r="AR31" s="3470"/>
      <c r="AS31" s="3470"/>
      <c r="AT31" s="3470"/>
      <c r="AU31" s="3470"/>
      <c r="AV31" s="3470"/>
      <c r="AW31" s="3470"/>
      <c r="AX31" s="3470"/>
      <c r="AY31" s="3470"/>
      <c r="AZ31" s="3470"/>
      <c r="BA31" s="3470"/>
      <c r="BB31" s="3470"/>
      <c r="BC31" s="3470"/>
      <c r="BD31" s="3470"/>
      <c r="BE31" s="3470"/>
      <c r="BF31" s="3470"/>
      <c r="BG31" s="3470"/>
      <c r="BH31" s="3470"/>
      <c r="BI31" s="3470"/>
      <c r="BJ31" s="3470"/>
      <c r="BK31" s="3470"/>
      <c r="BL31" s="3470"/>
      <c r="BM31" s="3470"/>
      <c r="BN31" s="3470"/>
      <c r="BO31" s="3470"/>
      <c r="BP31" s="3470"/>
      <c r="BQ31" s="3470"/>
      <c r="BR31" s="3470"/>
      <c r="BS31" s="3470"/>
      <c r="BT31" s="3470"/>
      <c r="BU31" s="3470"/>
      <c r="BV31" s="3470"/>
      <c r="BW31" s="3470"/>
      <c r="BX31" s="3470"/>
      <c r="BY31" s="3470"/>
      <c r="BZ31" s="3470"/>
    </row>
    <row r="32" spans="1:152" s="3612" customFormat="1" ht="14.25">
      <c r="B32" s="4253"/>
      <c r="C32" s="3538" t="s">
        <v>3666</v>
      </c>
      <c r="D32" s="3556"/>
      <c r="E32" s="3556">
        <v>46.02</v>
      </c>
      <c r="F32" s="4240"/>
      <c r="G32" s="4240"/>
      <c r="H32" s="3528"/>
      <c r="I32" s="3567"/>
      <c r="J32" s="3558"/>
      <c r="K32" s="4242"/>
      <c r="L32" s="4242"/>
      <c r="M32" s="4242"/>
      <c r="N32" s="4242"/>
      <c r="O32" s="4242"/>
      <c r="P32" s="4242"/>
      <c r="Q32" s="4242"/>
      <c r="R32" s="4242"/>
      <c r="S32" s="4242"/>
      <c r="T32" s="4242"/>
      <c r="U32" s="4242"/>
      <c r="V32" s="4242"/>
      <c r="W32" s="4242"/>
      <c r="X32" s="4242"/>
      <c r="Y32" s="4242"/>
      <c r="Z32" s="3470"/>
      <c r="AA32" s="3505">
        <f t="shared" si="1"/>
        <v>0</v>
      </c>
      <c r="AB32" s="3505">
        <f t="shared" si="2"/>
        <v>0</v>
      </c>
      <c r="AC32" s="3505">
        <f t="shared" si="2"/>
        <v>0</v>
      </c>
      <c r="AD32" s="3505">
        <f t="shared" si="2"/>
        <v>0</v>
      </c>
      <c r="AE32" s="3505">
        <f t="shared" si="2"/>
        <v>0</v>
      </c>
      <c r="AF32" s="3505">
        <f t="shared" si="2"/>
        <v>0</v>
      </c>
      <c r="AG32" s="3505">
        <f t="shared" si="2"/>
        <v>0</v>
      </c>
      <c r="AH32" s="3505">
        <f t="shared" si="2"/>
        <v>0</v>
      </c>
      <c r="AI32" s="3505">
        <f t="shared" si="2"/>
        <v>0</v>
      </c>
      <c r="AJ32" s="3505">
        <f t="shared" si="2"/>
        <v>0</v>
      </c>
      <c r="AK32" s="3505">
        <f t="shared" si="2"/>
        <v>0</v>
      </c>
      <c r="AL32" s="3505">
        <f t="shared" si="2"/>
        <v>0</v>
      </c>
      <c r="AM32" s="3470"/>
      <c r="AN32" s="3470"/>
      <c r="AO32" s="3470"/>
      <c r="AP32" s="3470"/>
      <c r="AQ32" s="3470"/>
      <c r="AR32" s="3470"/>
      <c r="AS32" s="3470"/>
      <c r="AT32" s="3470"/>
      <c r="AU32" s="3470"/>
      <c r="AV32" s="3470"/>
      <c r="AW32" s="3470"/>
      <c r="AX32" s="3470"/>
      <c r="AY32" s="3470"/>
      <c r="AZ32" s="3470"/>
      <c r="BA32" s="3470"/>
      <c r="BB32" s="3470"/>
      <c r="BC32" s="3470"/>
      <c r="BD32" s="3470"/>
      <c r="BE32" s="3470"/>
      <c r="BF32" s="3470"/>
      <c r="BG32" s="3470"/>
      <c r="BH32" s="3470"/>
      <c r="BI32" s="3470"/>
      <c r="BJ32" s="3470"/>
      <c r="BK32" s="3470"/>
      <c r="BL32" s="3470"/>
      <c r="BM32" s="3470"/>
      <c r="BN32" s="3470"/>
      <c r="BO32" s="3470"/>
      <c r="BP32" s="3470"/>
      <c r="BQ32" s="3470"/>
      <c r="BR32" s="3470"/>
      <c r="BS32" s="3470"/>
      <c r="BT32" s="3470"/>
      <c r="BU32" s="3470"/>
      <c r="BV32" s="3470"/>
      <c r="BW32" s="3470"/>
      <c r="BX32" s="3470"/>
      <c r="BY32" s="3470"/>
      <c r="BZ32" s="3470"/>
    </row>
    <row r="33" spans="1:78" s="3610" customFormat="1" ht="14.25">
      <c r="A33" s="4222">
        <v>1</v>
      </c>
      <c r="B33" s="4253"/>
      <c r="C33" s="3575" t="s">
        <v>3667</v>
      </c>
      <c r="D33" s="4204">
        <f>787.69</f>
        <v>787.69</v>
      </c>
      <c r="E33" s="3517">
        <v>230</v>
      </c>
      <c r="F33" s="4249">
        <f>363+17</f>
        <v>380</v>
      </c>
      <c r="G33" s="4249">
        <v>378</v>
      </c>
      <c r="H33" s="4205" t="s">
        <v>3737</v>
      </c>
      <c r="I33" s="4250" t="s">
        <v>3738</v>
      </c>
      <c r="J33" s="4250">
        <v>80908.33</v>
      </c>
      <c r="K33" s="3559">
        <v>3.37</v>
      </c>
      <c r="L33" s="4250">
        <v>0.64</v>
      </c>
      <c r="M33" s="4250">
        <v>15358.33</v>
      </c>
      <c r="N33" s="4250"/>
      <c r="O33" s="4250"/>
      <c r="P33" s="4250"/>
      <c r="Q33" s="4250"/>
      <c r="R33" s="4250"/>
      <c r="S33" s="4250"/>
      <c r="T33" s="4250"/>
      <c r="U33" s="4250"/>
      <c r="V33" s="4250">
        <v>288799.98</v>
      </c>
      <c r="W33" s="4250"/>
      <c r="X33" s="4250"/>
      <c r="Y33" s="4250">
        <v>288799.98</v>
      </c>
      <c r="Z33" s="3470"/>
      <c r="AA33" s="3505">
        <f t="shared" si="1"/>
        <v>966243.56920000014</v>
      </c>
      <c r="AB33" s="3505">
        <f t="shared" si="2"/>
        <v>968898.08450000023</v>
      </c>
      <c r="AC33" s="3505">
        <f t="shared" si="2"/>
        <v>966243.56920000014</v>
      </c>
      <c r="AD33" s="3505">
        <f t="shared" si="2"/>
        <v>966243.56920000014</v>
      </c>
      <c r="AE33" s="3505">
        <f t="shared" si="2"/>
        <v>966243.56920000014</v>
      </c>
      <c r="AF33" s="3505">
        <f t="shared" si="2"/>
        <v>968898.08450000023</v>
      </c>
      <c r="AG33" s="3505">
        <f t="shared" si="2"/>
        <v>966243.56920000014</v>
      </c>
      <c r="AH33" s="3505">
        <f t="shared" si="2"/>
        <v>966243.56920000014</v>
      </c>
      <c r="AI33" s="3505">
        <f t="shared" si="2"/>
        <v>966243.56920000014</v>
      </c>
      <c r="AJ33" s="3505">
        <f t="shared" si="2"/>
        <v>968898.08450000023</v>
      </c>
      <c r="AK33" s="3505">
        <f t="shared" si="2"/>
        <v>966243.56920000014</v>
      </c>
      <c r="AL33" s="3505">
        <f t="shared" si="2"/>
        <v>966243.56920000014</v>
      </c>
      <c r="AM33" s="3470"/>
      <c r="AN33" s="3470"/>
      <c r="AO33" s="3470"/>
      <c r="AP33" s="3470"/>
      <c r="AQ33" s="3470"/>
      <c r="AR33" s="3470"/>
      <c r="AS33" s="3470"/>
      <c r="AT33" s="3470"/>
      <c r="AU33" s="3470"/>
      <c r="AV33" s="3470"/>
      <c r="AW33" s="3470"/>
      <c r="AX33" s="3470"/>
      <c r="AY33" s="3470"/>
      <c r="AZ33" s="3470"/>
      <c r="BA33" s="3470"/>
      <c r="BB33" s="3470"/>
      <c r="BC33" s="3470"/>
      <c r="BD33" s="3470"/>
      <c r="BE33" s="3470"/>
      <c r="BF33" s="3470"/>
      <c r="BG33" s="3470"/>
      <c r="BH33" s="3470"/>
      <c r="BI33" s="3470"/>
      <c r="BJ33" s="3470"/>
      <c r="BK33" s="3470"/>
      <c r="BL33" s="3470"/>
      <c r="BM33" s="3470"/>
      <c r="BN33" s="3470"/>
      <c r="BO33" s="3470"/>
      <c r="BP33" s="3470"/>
      <c r="BQ33" s="3470"/>
      <c r="BR33" s="3470"/>
      <c r="BS33" s="3470"/>
      <c r="BT33" s="3470"/>
      <c r="BU33" s="3470"/>
      <c r="BV33" s="3470"/>
      <c r="BW33" s="3470"/>
      <c r="BX33" s="3470"/>
      <c r="BY33" s="3470"/>
      <c r="BZ33" s="3470"/>
    </row>
    <row r="34" spans="1:78" s="3610" customFormat="1" ht="14.25">
      <c r="A34" s="4222"/>
      <c r="B34" s="4253"/>
      <c r="C34" s="3575" t="s">
        <v>3668</v>
      </c>
      <c r="D34" s="4204"/>
      <c r="E34" s="3517">
        <f>150-17</f>
        <v>133</v>
      </c>
      <c r="F34" s="4249"/>
      <c r="G34" s="4249"/>
      <c r="H34" s="4206"/>
      <c r="I34" s="4251"/>
      <c r="J34" s="4251"/>
      <c r="K34" s="3560">
        <f>K33</f>
        <v>3.37</v>
      </c>
      <c r="L34" s="4252"/>
      <c r="M34" s="4252"/>
      <c r="N34" s="4252"/>
      <c r="O34" s="4252"/>
      <c r="P34" s="4252"/>
      <c r="Q34" s="4252"/>
      <c r="R34" s="4252"/>
      <c r="S34" s="4252"/>
      <c r="T34" s="4252"/>
      <c r="U34" s="4252"/>
      <c r="V34" s="4252"/>
      <c r="W34" s="4252"/>
      <c r="X34" s="4252"/>
      <c r="Y34" s="4252"/>
      <c r="Z34" s="3470"/>
      <c r="AA34" s="3505">
        <f t="shared" si="1"/>
        <v>0</v>
      </c>
      <c r="AB34" s="3505">
        <f t="shared" si="2"/>
        <v>0</v>
      </c>
      <c r="AC34" s="3505">
        <f t="shared" si="2"/>
        <v>0</v>
      </c>
      <c r="AD34" s="3505">
        <f t="shared" si="2"/>
        <v>0</v>
      </c>
      <c r="AE34" s="3505">
        <f t="shared" si="2"/>
        <v>0</v>
      </c>
      <c r="AF34" s="3505">
        <f t="shared" si="2"/>
        <v>0</v>
      </c>
      <c r="AG34" s="3505">
        <f t="shared" si="2"/>
        <v>0</v>
      </c>
      <c r="AH34" s="3505">
        <f t="shared" si="2"/>
        <v>0</v>
      </c>
      <c r="AI34" s="3505">
        <f t="shared" si="2"/>
        <v>0</v>
      </c>
      <c r="AJ34" s="3505">
        <f t="shared" si="2"/>
        <v>0</v>
      </c>
      <c r="AK34" s="3505">
        <f t="shared" si="2"/>
        <v>0</v>
      </c>
      <c r="AL34" s="3505">
        <f t="shared" si="2"/>
        <v>0</v>
      </c>
      <c r="AM34" s="3470"/>
      <c r="AN34" s="3470"/>
      <c r="AO34" s="3470"/>
      <c r="AP34" s="3470"/>
      <c r="AQ34" s="3470"/>
      <c r="AR34" s="3470"/>
      <c r="AS34" s="3470"/>
      <c r="AT34" s="3470"/>
      <c r="AU34" s="3470"/>
      <c r="AV34" s="3470"/>
      <c r="AW34" s="3470"/>
      <c r="AX34" s="3470"/>
      <c r="AY34" s="3470"/>
      <c r="AZ34" s="3470"/>
      <c r="BA34" s="3470"/>
      <c r="BB34" s="3470"/>
      <c r="BC34" s="3470"/>
      <c r="BD34" s="3470"/>
      <c r="BE34" s="3470"/>
      <c r="BF34" s="3470"/>
      <c r="BG34" s="3470"/>
      <c r="BH34" s="3470"/>
      <c r="BI34" s="3470"/>
      <c r="BJ34" s="3470"/>
      <c r="BK34" s="3470"/>
      <c r="BL34" s="3470"/>
      <c r="BM34" s="3470"/>
      <c r="BN34" s="3470"/>
      <c r="BO34" s="3470"/>
      <c r="BP34" s="3470"/>
      <c r="BQ34" s="3470"/>
      <c r="BR34" s="3470"/>
      <c r="BS34" s="3470"/>
      <c r="BT34" s="3470"/>
      <c r="BU34" s="3470"/>
      <c r="BV34" s="3470"/>
      <c r="BW34" s="3470"/>
      <c r="BX34" s="3470"/>
      <c r="BY34" s="3470"/>
      <c r="BZ34" s="3470"/>
    </row>
    <row r="35" spans="1:78" s="3613" customFormat="1" ht="14.25">
      <c r="B35" s="3561"/>
      <c r="C35" s="3538" t="s">
        <v>3669</v>
      </c>
      <c r="D35" s="3562">
        <v>85.49</v>
      </c>
      <c r="E35" s="3562">
        <v>36.82</v>
      </c>
      <c r="F35" s="4265">
        <v>168.93</v>
      </c>
      <c r="G35" s="3563"/>
      <c r="H35" s="3564"/>
      <c r="I35" s="3565"/>
      <c r="J35" s="3566"/>
      <c r="K35" s="3566"/>
      <c r="L35" s="3566"/>
      <c r="M35" s="3566"/>
      <c r="N35" s="3566"/>
      <c r="O35" s="3566"/>
      <c r="P35" s="3566"/>
      <c r="Q35" s="3566"/>
      <c r="R35" s="3566"/>
      <c r="S35" s="3566"/>
      <c r="T35" s="3566"/>
      <c r="U35" s="3566"/>
      <c r="V35" s="3566"/>
      <c r="W35" s="3566"/>
      <c r="X35" s="3566"/>
      <c r="Y35" s="3566"/>
      <c r="Z35" s="3470"/>
      <c r="AA35" s="3505">
        <f t="shared" si="1"/>
        <v>0</v>
      </c>
      <c r="AB35" s="3505">
        <f t="shared" si="2"/>
        <v>0</v>
      </c>
      <c r="AC35" s="3505">
        <f t="shared" si="2"/>
        <v>0</v>
      </c>
      <c r="AD35" s="3505">
        <f t="shared" si="2"/>
        <v>0</v>
      </c>
      <c r="AE35" s="3505">
        <f t="shared" si="2"/>
        <v>0</v>
      </c>
      <c r="AF35" s="3505">
        <f t="shared" si="2"/>
        <v>0</v>
      </c>
      <c r="AG35" s="3505">
        <f t="shared" si="2"/>
        <v>0</v>
      </c>
      <c r="AH35" s="3505">
        <f t="shared" si="2"/>
        <v>0</v>
      </c>
      <c r="AI35" s="3505">
        <f t="shared" si="2"/>
        <v>0</v>
      </c>
      <c r="AJ35" s="3505">
        <f t="shared" si="2"/>
        <v>0</v>
      </c>
      <c r="AK35" s="3505">
        <f t="shared" si="2"/>
        <v>0</v>
      </c>
      <c r="AL35" s="3505">
        <f t="shared" si="2"/>
        <v>0</v>
      </c>
      <c r="AM35" s="3470"/>
      <c r="AN35" s="3470"/>
      <c r="AO35" s="3470"/>
      <c r="AP35" s="3470"/>
      <c r="AQ35" s="3470"/>
      <c r="AR35" s="3470"/>
      <c r="AS35" s="3470"/>
      <c r="AT35" s="3470"/>
      <c r="AU35" s="3470"/>
      <c r="AV35" s="3470"/>
      <c r="AW35" s="3470"/>
      <c r="AX35" s="3470"/>
      <c r="AY35" s="3470"/>
      <c r="AZ35" s="3470"/>
      <c r="BA35" s="3470"/>
      <c r="BB35" s="3470"/>
      <c r="BC35" s="3470"/>
      <c r="BD35" s="3470"/>
      <c r="BE35" s="3470"/>
      <c r="BF35" s="3470"/>
      <c r="BG35" s="3470"/>
      <c r="BH35" s="3470"/>
      <c r="BI35" s="3470"/>
      <c r="BJ35" s="3470"/>
      <c r="BK35" s="3470"/>
      <c r="BL35" s="3470"/>
      <c r="BM35" s="3470"/>
      <c r="BN35" s="3470"/>
      <c r="BO35" s="3470"/>
      <c r="BP35" s="3470"/>
      <c r="BQ35" s="3470"/>
      <c r="BR35" s="3470"/>
      <c r="BS35" s="3470"/>
      <c r="BT35" s="3470"/>
      <c r="BU35" s="3470"/>
      <c r="BV35" s="3470"/>
      <c r="BW35" s="3470"/>
      <c r="BX35" s="3470"/>
      <c r="BY35" s="3470"/>
      <c r="BZ35" s="3470"/>
    </row>
    <row r="36" spans="1:78" s="3616" customFormat="1" ht="14.25">
      <c r="A36" s="4254">
        <v>1</v>
      </c>
      <c r="B36" s="4255" t="s">
        <v>3739</v>
      </c>
      <c r="C36" s="3519" t="s">
        <v>3670</v>
      </c>
      <c r="D36" s="3536">
        <v>136.03</v>
      </c>
      <c r="E36" s="3536">
        <v>73.53</v>
      </c>
      <c r="F36" s="4266"/>
      <c r="G36" s="4239">
        <v>132.11000000000001</v>
      </c>
      <c r="H36" s="4211" t="s">
        <v>3671</v>
      </c>
      <c r="I36" s="4207" t="s">
        <v>3672</v>
      </c>
      <c r="J36" s="4217">
        <v>34000</v>
      </c>
      <c r="K36" s="3537">
        <f>34000*12/365/244.4</f>
        <v>4.5736833845257046</v>
      </c>
      <c r="L36" s="4217" t="s">
        <v>3625</v>
      </c>
      <c r="M36" s="4217">
        <v>6000</v>
      </c>
      <c r="N36" s="4217"/>
      <c r="O36" s="4217"/>
      <c r="P36" s="4217"/>
      <c r="Q36" s="4217"/>
      <c r="R36" s="4217"/>
      <c r="S36" s="4217"/>
      <c r="T36" s="4217"/>
      <c r="U36" s="4217"/>
      <c r="V36" s="4217">
        <v>120000</v>
      </c>
      <c r="W36" s="4217"/>
      <c r="X36" s="4217"/>
      <c r="Y36" s="4217">
        <v>120000</v>
      </c>
      <c r="Z36" s="3470"/>
      <c r="AA36" s="3505">
        <f t="shared" si="1"/>
        <v>226465.56689011949</v>
      </c>
      <c r="AB36" s="3505">
        <f t="shared" si="2"/>
        <v>227087.72504091653</v>
      </c>
      <c r="AC36" s="3505">
        <f t="shared" si="2"/>
        <v>226465.56689011949</v>
      </c>
      <c r="AD36" s="3505">
        <f t="shared" si="2"/>
        <v>226465.56689011949</v>
      </c>
      <c r="AE36" s="3505">
        <f t="shared" si="2"/>
        <v>226465.56689011949</v>
      </c>
      <c r="AF36" s="3505">
        <f t="shared" si="2"/>
        <v>227087.72504091653</v>
      </c>
      <c r="AG36" s="3505">
        <f t="shared" si="2"/>
        <v>226465.56689011949</v>
      </c>
      <c r="AH36" s="3505">
        <f t="shared" si="2"/>
        <v>226465.56689011949</v>
      </c>
      <c r="AI36" s="3505">
        <f t="shared" si="2"/>
        <v>226465.56689011949</v>
      </c>
      <c r="AJ36" s="3505">
        <f t="shared" si="2"/>
        <v>227087.72504091653</v>
      </c>
      <c r="AK36" s="3505">
        <f t="shared" si="2"/>
        <v>226465.56689011949</v>
      </c>
      <c r="AL36" s="3505">
        <f t="shared" si="2"/>
        <v>226465.56689011949</v>
      </c>
      <c r="AM36" s="3470"/>
      <c r="AN36" s="3470"/>
      <c r="AO36" s="3470"/>
      <c r="AP36" s="3470"/>
      <c r="AQ36" s="3470"/>
      <c r="AR36" s="3470"/>
      <c r="AS36" s="3470"/>
      <c r="AT36" s="3470"/>
      <c r="AU36" s="3470"/>
      <c r="AV36" s="3470"/>
      <c r="AW36" s="3470"/>
      <c r="AX36" s="3470"/>
      <c r="AY36" s="3470"/>
      <c r="AZ36" s="3470"/>
      <c r="BA36" s="3470"/>
      <c r="BB36" s="3470"/>
      <c r="BC36" s="3470"/>
      <c r="BD36" s="3470"/>
      <c r="BE36" s="3470"/>
      <c r="BF36" s="3470"/>
      <c r="BG36" s="3470"/>
      <c r="BH36" s="3470"/>
      <c r="BI36" s="3470"/>
      <c r="BJ36" s="3470"/>
      <c r="BK36" s="3470"/>
      <c r="BL36" s="3470"/>
      <c r="BM36" s="3470"/>
      <c r="BN36" s="3470"/>
      <c r="BO36" s="3470"/>
      <c r="BP36" s="3470"/>
      <c r="BQ36" s="3470"/>
      <c r="BR36" s="3470"/>
      <c r="BS36" s="3470"/>
      <c r="BT36" s="3470"/>
      <c r="BU36" s="3470"/>
      <c r="BV36" s="3470"/>
      <c r="BW36" s="3470"/>
      <c r="BX36" s="3470"/>
      <c r="BY36" s="3470"/>
      <c r="BZ36" s="3470"/>
    </row>
    <row r="37" spans="1:78" s="3616" customFormat="1" ht="14.25">
      <c r="A37" s="4254"/>
      <c r="B37" s="4209"/>
      <c r="C37" s="3519" t="s">
        <v>3673</v>
      </c>
      <c r="D37" s="3536">
        <v>108.37</v>
      </c>
      <c r="E37" s="3536">
        <v>58.58</v>
      </c>
      <c r="F37" s="4266"/>
      <c r="G37" s="4239"/>
      <c r="H37" s="4211"/>
      <c r="I37" s="4207"/>
      <c r="J37" s="4217"/>
      <c r="K37" s="3590">
        <f>K36</f>
        <v>4.5736833845257046</v>
      </c>
      <c r="L37" s="4217"/>
      <c r="M37" s="4217"/>
      <c r="N37" s="4217"/>
      <c r="O37" s="4217"/>
      <c r="P37" s="4217"/>
      <c r="Q37" s="4217"/>
      <c r="R37" s="4217"/>
      <c r="S37" s="4217"/>
      <c r="T37" s="4217"/>
      <c r="U37" s="4217"/>
      <c r="V37" s="4217"/>
      <c r="W37" s="4217"/>
      <c r="X37" s="4217"/>
      <c r="Y37" s="4217"/>
      <c r="Z37" s="3470"/>
      <c r="AA37" s="3505">
        <f t="shared" si="1"/>
        <v>180416.62489070243</v>
      </c>
      <c r="AB37" s="3505">
        <f t="shared" ref="AB37:AL52" si="3">$D37*$K37*(AB$2-AB$1)</f>
        <v>180912.27495908347</v>
      </c>
      <c r="AC37" s="3505">
        <f t="shared" si="3"/>
        <v>180416.62489070243</v>
      </c>
      <c r="AD37" s="3505">
        <f t="shared" si="3"/>
        <v>180416.62489070243</v>
      </c>
      <c r="AE37" s="3505">
        <f t="shared" si="3"/>
        <v>180416.62489070243</v>
      </c>
      <c r="AF37" s="3505">
        <f t="shared" si="3"/>
        <v>180912.27495908347</v>
      </c>
      <c r="AG37" s="3505">
        <f t="shared" si="3"/>
        <v>180416.62489070243</v>
      </c>
      <c r="AH37" s="3505">
        <f t="shared" si="3"/>
        <v>180416.62489070243</v>
      </c>
      <c r="AI37" s="3505">
        <f t="shared" si="3"/>
        <v>180416.62489070243</v>
      </c>
      <c r="AJ37" s="3505">
        <f t="shared" si="3"/>
        <v>180912.27495908347</v>
      </c>
      <c r="AK37" s="3505">
        <f t="shared" si="3"/>
        <v>180416.62489070243</v>
      </c>
      <c r="AL37" s="3505">
        <f t="shared" si="3"/>
        <v>180416.62489070243</v>
      </c>
      <c r="AM37" s="3470"/>
      <c r="AN37" s="3470"/>
      <c r="AO37" s="3470"/>
      <c r="AP37" s="3470"/>
      <c r="AQ37" s="3470"/>
      <c r="AR37" s="3470"/>
      <c r="AS37" s="3470"/>
      <c r="AT37" s="3470"/>
      <c r="AU37" s="3470"/>
      <c r="AV37" s="3470"/>
      <c r="AW37" s="3470"/>
      <c r="AX37" s="3470"/>
      <c r="AY37" s="3470"/>
      <c r="AZ37" s="3470"/>
      <c r="BA37" s="3470"/>
      <c r="BB37" s="3470"/>
      <c r="BC37" s="3470"/>
      <c r="BD37" s="3470"/>
      <c r="BE37" s="3470"/>
      <c r="BF37" s="3470"/>
      <c r="BG37" s="3470"/>
      <c r="BH37" s="3470"/>
      <c r="BI37" s="3470"/>
      <c r="BJ37" s="3470"/>
      <c r="BK37" s="3470"/>
      <c r="BL37" s="3470"/>
      <c r="BM37" s="3470"/>
      <c r="BN37" s="3470"/>
      <c r="BO37" s="3470"/>
      <c r="BP37" s="3470"/>
      <c r="BQ37" s="3470"/>
      <c r="BR37" s="3470"/>
      <c r="BS37" s="3470"/>
      <c r="BT37" s="3470"/>
      <c r="BU37" s="3470"/>
      <c r="BV37" s="3470"/>
      <c r="BW37" s="3470"/>
      <c r="BX37" s="3470"/>
      <c r="BY37" s="3470"/>
      <c r="BZ37" s="3470"/>
    </row>
    <row r="38" spans="1:78" s="3612" customFormat="1" ht="14.25">
      <c r="B38" s="3568"/>
      <c r="C38" s="3567" t="s">
        <v>3674</v>
      </c>
      <c r="D38" s="3556"/>
      <c r="E38" s="3556">
        <v>15</v>
      </c>
      <c r="F38" s="3556">
        <v>15</v>
      </c>
      <c r="G38" s="3569"/>
      <c r="H38" s="3570"/>
      <c r="I38" s="3571"/>
      <c r="J38" s="3572"/>
      <c r="K38" s="3572"/>
      <c r="L38" s="3572"/>
      <c r="M38" s="3572"/>
      <c r="N38" s="3572"/>
      <c r="O38" s="3572"/>
      <c r="P38" s="3572"/>
      <c r="Q38" s="3572"/>
      <c r="R38" s="3572"/>
      <c r="S38" s="3572"/>
      <c r="T38" s="3572"/>
      <c r="U38" s="3572"/>
      <c r="V38" s="3572"/>
      <c r="W38" s="3572"/>
      <c r="X38" s="3572"/>
      <c r="Y38" s="3572"/>
      <c r="Z38" s="3470"/>
      <c r="AA38" s="3505">
        <f t="shared" si="1"/>
        <v>0</v>
      </c>
      <c r="AB38" s="3505">
        <f t="shared" si="3"/>
        <v>0</v>
      </c>
      <c r="AC38" s="3505">
        <f t="shared" si="3"/>
        <v>0</v>
      </c>
      <c r="AD38" s="3505">
        <f t="shared" si="3"/>
        <v>0</v>
      </c>
      <c r="AE38" s="3505">
        <f t="shared" si="3"/>
        <v>0</v>
      </c>
      <c r="AF38" s="3505">
        <f t="shared" si="3"/>
        <v>0</v>
      </c>
      <c r="AG38" s="3505">
        <f t="shared" si="3"/>
        <v>0</v>
      </c>
      <c r="AH38" s="3505">
        <f t="shared" si="3"/>
        <v>0</v>
      </c>
      <c r="AI38" s="3505">
        <f t="shared" si="3"/>
        <v>0</v>
      </c>
      <c r="AJ38" s="3505">
        <f t="shared" si="3"/>
        <v>0</v>
      </c>
      <c r="AK38" s="3505">
        <f t="shared" si="3"/>
        <v>0</v>
      </c>
      <c r="AL38" s="3505">
        <f t="shared" si="3"/>
        <v>0</v>
      </c>
      <c r="AM38" s="3470"/>
      <c r="AN38" s="3470"/>
      <c r="AO38" s="3470"/>
      <c r="AP38" s="3470"/>
      <c r="AQ38" s="3470"/>
      <c r="AR38" s="3470"/>
      <c r="AS38" s="3470"/>
      <c r="AT38" s="3470"/>
      <c r="AU38" s="3470"/>
      <c r="AV38" s="3470"/>
      <c r="AW38" s="3470"/>
      <c r="AX38" s="3470"/>
      <c r="AY38" s="3470"/>
      <c r="AZ38" s="3470"/>
      <c r="BA38" s="3470"/>
      <c r="BB38" s="3470"/>
      <c r="BC38" s="3470"/>
      <c r="BD38" s="3470"/>
      <c r="BE38" s="3470"/>
      <c r="BF38" s="3470"/>
      <c r="BG38" s="3470"/>
      <c r="BH38" s="3470"/>
      <c r="BI38" s="3470"/>
      <c r="BJ38" s="3470"/>
      <c r="BK38" s="3470"/>
      <c r="BL38" s="3470"/>
      <c r="BM38" s="3470"/>
      <c r="BN38" s="3470"/>
      <c r="BO38" s="3470"/>
      <c r="BP38" s="3470"/>
      <c r="BQ38" s="3470"/>
      <c r="BR38" s="3470"/>
      <c r="BS38" s="3470"/>
      <c r="BT38" s="3470"/>
      <c r="BU38" s="3470"/>
      <c r="BV38" s="3470"/>
      <c r="BW38" s="3470"/>
      <c r="BX38" s="3470"/>
      <c r="BY38" s="3470"/>
      <c r="BZ38" s="3470"/>
    </row>
    <row r="39" spans="1:78" s="3616" customFormat="1" ht="14.25">
      <c r="B39" s="4256" t="s">
        <v>3740</v>
      </c>
      <c r="C39" s="3574" t="s">
        <v>3675</v>
      </c>
      <c r="D39" s="3536">
        <v>132.41</v>
      </c>
      <c r="E39" s="3536">
        <v>67.569999999999993</v>
      </c>
      <c r="F39" s="3575">
        <v>67.569999999999993</v>
      </c>
      <c r="G39" s="4258">
        <v>3407.72</v>
      </c>
      <c r="H39" s="4205" t="s">
        <v>3741</v>
      </c>
      <c r="I39" s="4250" t="s">
        <v>3742</v>
      </c>
      <c r="J39" s="4235">
        <v>240000</v>
      </c>
      <c r="K39" s="3537">
        <f>J39*12/365/G39</f>
        <v>2.3154516682427282</v>
      </c>
      <c r="L39" s="4235">
        <f>20000/G39</f>
        <v>5.8690267979763595</v>
      </c>
      <c r="M39" s="4235">
        <v>20000</v>
      </c>
      <c r="N39" s="4235"/>
      <c r="O39" s="4235"/>
      <c r="P39" s="4235"/>
      <c r="Q39" s="4235"/>
      <c r="R39" s="4235"/>
      <c r="S39" s="4235"/>
      <c r="T39" s="4235"/>
      <c r="U39" s="4235">
        <f>20000*3</f>
        <v>60000</v>
      </c>
      <c r="V39" s="4194">
        <f>240000*3</f>
        <v>720000</v>
      </c>
      <c r="W39" s="4194"/>
      <c r="X39" s="4194" t="s">
        <v>3743</v>
      </c>
      <c r="Y39" s="4196">
        <f>U39+V39</f>
        <v>780000</v>
      </c>
      <c r="Z39" s="3470"/>
      <c r="AA39" s="3505">
        <f t="shared" si="1"/>
        <v>111598.37976269514</v>
      </c>
      <c r="AB39" s="3505">
        <f t="shared" si="3"/>
        <v>111904.96871808716</v>
      </c>
      <c r="AC39" s="3505">
        <f t="shared" si="3"/>
        <v>111598.37976269514</v>
      </c>
      <c r="AD39" s="3505">
        <f t="shared" si="3"/>
        <v>111598.37976269514</v>
      </c>
      <c r="AE39" s="3505">
        <f t="shared" si="3"/>
        <v>111598.37976269514</v>
      </c>
      <c r="AF39" s="3505">
        <f t="shared" si="3"/>
        <v>111904.96871808716</v>
      </c>
      <c r="AG39" s="3505">
        <f t="shared" si="3"/>
        <v>111598.37976269514</v>
      </c>
      <c r="AH39" s="3505">
        <f t="shared" si="3"/>
        <v>111598.37976269514</v>
      </c>
      <c r="AI39" s="3505">
        <f t="shared" si="3"/>
        <v>111598.37976269514</v>
      </c>
      <c r="AJ39" s="3505">
        <f t="shared" si="3"/>
        <v>111904.96871808716</v>
      </c>
      <c r="AK39" s="3505">
        <f t="shared" si="3"/>
        <v>111598.37976269514</v>
      </c>
      <c r="AL39" s="3505">
        <f t="shared" si="3"/>
        <v>111598.37976269514</v>
      </c>
      <c r="AM39" s="3399"/>
      <c r="AN39" s="3399"/>
      <c r="AO39" s="3399"/>
      <c r="AP39" s="3399"/>
      <c r="AQ39" s="3399"/>
      <c r="AR39" s="3399"/>
      <c r="AS39" s="3399"/>
      <c r="AT39" s="3399"/>
      <c r="AU39" s="3399"/>
      <c r="AV39" s="3399"/>
      <c r="AW39" s="3399"/>
      <c r="AX39" s="3399"/>
      <c r="AY39" s="3399"/>
      <c r="AZ39" s="3399"/>
      <c r="BA39" s="3399"/>
      <c r="BB39" s="3399"/>
      <c r="BC39" s="3399"/>
      <c r="BD39" s="3399"/>
      <c r="BE39" s="3399"/>
      <c r="BF39" s="3399"/>
      <c r="BG39" s="3399"/>
      <c r="BH39" s="3399"/>
      <c r="BI39" s="3399"/>
      <c r="BJ39" s="3399"/>
      <c r="BK39" s="3399"/>
      <c r="BL39" s="3399"/>
      <c r="BM39" s="3399"/>
      <c r="BN39" s="3399"/>
      <c r="BO39" s="3399"/>
      <c r="BP39" s="3399"/>
      <c r="BQ39" s="3399"/>
      <c r="BR39" s="3399"/>
      <c r="BS39" s="3399"/>
      <c r="BT39" s="3399"/>
      <c r="BU39" s="3399"/>
      <c r="BV39" s="3399"/>
      <c r="BW39" s="3399"/>
      <c r="BX39" s="3399"/>
      <c r="BY39" s="3399"/>
      <c r="BZ39" s="3399"/>
    </row>
    <row r="40" spans="1:78" s="3610" customFormat="1" ht="14.25">
      <c r="B40" s="4257"/>
      <c r="C40" s="3574" t="s">
        <v>3676</v>
      </c>
      <c r="D40" s="3517">
        <v>117.92</v>
      </c>
      <c r="E40" s="3517">
        <v>63.74</v>
      </c>
      <c r="F40" s="3517">
        <v>63.74</v>
      </c>
      <c r="G40" s="4259"/>
      <c r="H40" s="4261"/>
      <c r="I40" s="4262"/>
      <c r="J40" s="4264"/>
      <c r="K40" s="3588">
        <f>K39</f>
        <v>2.3154516682427282</v>
      </c>
      <c r="L40" s="4264"/>
      <c r="M40" s="4264"/>
      <c r="N40" s="4264"/>
      <c r="O40" s="4264"/>
      <c r="P40" s="4264"/>
      <c r="Q40" s="4264"/>
      <c r="R40" s="4264"/>
      <c r="S40" s="4264"/>
      <c r="T40" s="4264"/>
      <c r="U40" s="4264"/>
      <c r="V40" s="4195"/>
      <c r="W40" s="4220"/>
      <c r="X40" s="4195"/>
      <c r="Y40" s="4197"/>
      <c r="Z40" s="3470"/>
      <c r="AA40" s="3505">
        <f t="shared" si="1"/>
        <v>99385.854101782432</v>
      </c>
      <c r="AB40" s="3505">
        <f t="shared" si="3"/>
        <v>99658.892162501623</v>
      </c>
      <c r="AC40" s="3505">
        <f t="shared" si="3"/>
        <v>99385.854101782432</v>
      </c>
      <c r="AD40" s="3505">
        <f t="shared" si="3"/>
        <v>99385.854101782432</v>
      </c>
      <c r="AE40" s="3505">
        <f t="shared" si="3"/>
        <v>99385.854101782432</v>
      </c>
      <c r="AF40" s="3505">
        <f t="shared" si="3"/>
        <v>99658.892162501623</v>
      </c>
      <c r="AG40" s="3505">
        <f t="shared" si="3"/>
        <v>99385.854101782432</v>
      </c>
      <c r="AH40" s="3505">
        <f t="shared" si="3"/>
        <v>99385.854101782432</v>
      </c>
      <c r="AI40" s="3505">
        <f t="shared" si="3"/>
        <v>99385.854101782432</v>
      </c>
      <c r="AJ40" s="3505">
        <f t="shared" si="3"/>
        <v>99658.892162501623</v>
      </c>
      <c r="AK40" s="3505">
        <f t="shared" si="3"/>
        <v>99385.854101782432</v>
      </c>
      <c r="AL40" s="3505">
        <f t="shared" si="3"/>
        <v>99385.854101782432</v>
      </c>
      <c r="AM40" s="3397"/>
      <c r="AN40" s="3397"/>
      <c r="AO40" s="3397"/>
      <c r="AP40" s="3397"/>
      <c r="AQ40" s="3397"/>
      <c r="AR40" s="3397"/>
      <c r="AS40" s="3397"/>
      <c r="AT40" s="3397"/>
      <c r="AU40" s="3397"/>
      <c r="AV40" s="3397"/>
      <c r="AW40" s="3397"/>
      <c r="AX40" s="3397"/>
      <c r="AY40" s="3397"/>
      <c r="AZ40" s="3397"/>
      <c r="BA40" s="3397"/>
      <c r="BB40" s="3397"/>
      <c r="BC40" s="3397"/>
      <c r="BD40" s="3397"/>
      <c r="BE40" s="3397"/>
      <c r="BF40" s="3397"/>
      <c r="BG40" s="3397"/>
      <c r="BH40" s="3397"/>
      <c r="BI40" s="3397"/>
      <c r="BJ40" s="3397"/>
      <c r="BK40" s="3397"/>
      <c r="BL40" s="3397"/>
      <c r="BM40" s="3397"/>
      <c r="BN40" s="3397"/>
      <c r="BO40" s="3397"/>
      <c r="BP40" s="3397"/>
      <c r="BQ40" s="3397"/>
      <c r="BR40" s="3397"/>
      <c r="BS40" s="3397"/>
      <c r="BT40" s="3397"/>
      <c r="BU40" s="3397"/>
      <c r="BV40" s="3397"/>
      <c r="BW40" s="3397"/>
      <c r="BX40" s="3397"/>
      <c r="BY40" s="3397"/>
      <c r="BZ40" s="3397"/>
    </row>
    <row r="41" spans="1:78" s="3610" customFormat="1" ht="14.25">
      <c r="B41" s="4257"/>
      <c r="C41" s="3576" t="s">
        <v>3677</v>
      </c>
      <c r="D41" s="3517">
        <v>60.55</v>
      </c>
      <c r="E41" s="3517">
        <v>32.729999999999997</v>
      </c>
      <c r="F41" s="4204">
        <v>1704.99</v>
      </c>
      <c r="G41" s="4259"/>
      <c r="H41" s="4261"/>
      <c r="I41" s="4262"/>
      <c r="J41" s="4264"/>
      <c r="K41" s="3588">
        <f t="shared" ref="K41:K48" si="4">K40</f>
        <v>2.3154516682427282</v>
      </c>
      <c r="L41" s="4264"/>
      <c r="M41" s="4264"/>
      <c r="N41" s="4264"/>
      <c r="O41" s="4264"/>
      <c r="P41" s="4264"/>
      <c r="Q41" s="4264"/>
      <c r="R41" s="4264"/>
      <c r="S41" s="4264"/>
      <c r="T41" s="4264"/>
      <c r="U41" s="4264"/>
      <c r="V41" s="4195"/>
      <c r="W41" s="4194"/>
      <c r="X41" s="4195"/>
      <c r="Y41" s="4197"/>
      <c r="Z41" s="3399"/>
      <c r="AA41" s="3505">
        <f t="shared" si="1"/>
        <v>51033.017858403371</v>
      </c>
      <c r="AB41" s="3505">
        <f t="shared" si="3"/>
        <v>51173.218456915471</v>
      </c>
      <c r="AC41" s="3505">
        <f t="shared" si="3"/>
        <v>51033.017858403371</v>
      </c>
      <c r="AD41" s="3505">
        <f t="shared" si="3"/>
        <v>51033.017858403371</v>
      </c>
      <c r="AE41" s="3505">
        <f t="shared" si="3"/>
        <v>51033.017858403371</v>
      </c>
      <c r="AF41" s="3505">
        <f t="shared" si="3"/>
        <v>51173.218456915471</v>
      </c>
      <c r="AG41" s="3505">
        <f t="shared" si="3"/>
        <v>51033.017858403371</v>
      </c>
      <c r="AH41" s="3505">
        <f t="shared" si="3"/>
        <v>51033.017858403371</v>
      </c>
      <c r="AI41" s="3505">
        <f t="shared" si="3"/>
        <v>51033.017858403371</v>
      </c>
      <c r="AJ41" s="3505">
        <f t="shared" si="3"/>
        <v>51173.218456915471</v>
      </c>
      <c r="AK41" s="3505">
        <f t="shared" si="3"/>
        <v>51033.017858403371</v>
      </c>
      <c r="AL41" s="3505">
        <f t="shared" si="3"/>
        <v>51033.017858403371</v>
      </c>
      <c r="AM41" s="3397"/>
      <c r="AN41" s="3397"/>
      <c r="AO41" s="3397"/>
      <c r="AP41" s="3397"/>
      <c r="AQ41" s="3397"/>
      <c r="AR41" s="3397"/>
      <c r="AS41" s="3397"/>
      <c r="AT41" s="3397"/>
      <c r="AU41" s="3397"/>
      <c r="AV41" s="3397"/>
      <c r="AW41" s="3397"/>
      <c r="AX41" s="3397"/>
      <c r="AY41" s="3397"/>
      <c r="AZ41" s="3397"/>
      <c r="BA41" s="3397"/>
      <c r="BB41" s="3397"/>
      <c r="BC41" s="3397"/>
      <c r="BD41" s="3397"/>
      <c r="BE41" s="3397"/>
      <c r="BF41" s="3397"/>
      <c r="BG41" s="3397"/>
      <c r="BH41" s="3397"/>
      <c r="BI41" s="3397"/>
      <c r="BJ41" s="3397"/>
      <c r="BK41" s="3397"/>
      <c r="BL41" s="3397"/>
      <c r="BM41" s="3397"/>
      <c r="BN41" s="3397"/>
      <c r="BO41" s="3397"/>
      <c r="BP41" s="3397"/>
      <c r="BQ41" s="3397"/>
      <c r="BR41" s="3397"/>
      <c r="BS41" s="3397"/>
      <c r="BT41" s="3397"/>
      <c r="BU41" s="3397"/>
      <c r="BV41" s="3397"/>
      <c r="BW41" s="3397"/>
      <c r="BX41" s="3397"/>
      <c r="BY41" s="3397"/>
      <c r="BZ41" s="3397"/>
    </row>
    <row r="42" spans="1:78" s="3610" customFormat="1" ht="14.25">
      <c r="B42" s="4257"/>
      <c r="C42" s="3576" t="s">
        <v>3678</v>
      </c>
      <c r="D42" s="3517">
        <v>1730.28</v>
      </c>
      <c r="E42" s="3517">
        <v>931.27</v>
      </c>
      <c r="F42" s="4204"/>
      <c r="G42" s="4259"/>
      <c r="H42" s="4261"/>
      <c r="I42" s="4262"/>
      <c r="J42" s="4264"/>
      <c r="K42" s="3588">
        <f t="shared" si="4"/>
        <v>2.3154516682427282</v>
      </c>
      <c r="L42" s="4264"/>
      <c r="M42" s="4264"/>
      <c r="N42" s="4264"/>
      <c r="O42" s="4264"/>
      <c r="P42" s="4264"/>
      <c r="Q42" s="4264"/>
      <c r="R42" s="4264"/>
      <c r="S42" s="4264"/>
      <c r="T42" s="4264"/>
      <c r="U42" s="4264"/>
      <c r="V42" s="4195"/>
      <c r="W42" s="4272"/>
      <c r="X42" s="4195"/>
      <c r="Y42" s="4197"/>
      <c r="Z42" s="3399"/>
      <c r="AA42" s="3505">
        <f t="shared" si="1"/>
        <v>1458322.215359838</v>
      </c>
      <c r="AB42" s="3505">
        <f t="shared" si="3"/>
        <v>1462328.5950723651</v>
      </c>
      <c r="AC42" s="3505">
        <f t="shared" si="3"/>
        <v>1458322.215359838</v>
      </c>
      <c r="AD42" s="3505">
        <f t="shared" si="3"/>
        <v>1458322.215359838</v>
      </c>
      <c r="AE42" s="3505">
        <f t="shared" si="3"/>
        <v>1458322.215359838</v>
      </c>
      <c r="AF42" s="3505">
        <f t="shared" si="3"/>
        <v>1462328.5950723651</v>
      </c>
      <c r="AG42" s="3505">
        <f t="shared" si="3"/>
        <v>1458322.215359838</v>
      </c>
      <c r="AH42" s="3505">
        <f t="shared" si="3"/>
        <v>1458322.215359838</v>
      </c>
      <c r="AI42" s="3505">
        <f t="shared" si="3"/>
        <v>1458322.215359838</v>
      </c>
      <c r="AJ42" s="3505">
        <f t="shared" si="3"/>
        <v>1462328.5950723651</v>
      </c>
      <c r="AK42" s="3505">
        <f t="shared" si="3"/>
        <v>1458322.215359838</v>
      </c>
      <c r="AL42" s="3505">
        <f t="shared" si="3"/>
        <v>1458322.215359838</v>
      </c>
      <c r="AM42" s="3397"/>
      <c r="AN42" s="3397"/>
      <c r="AO42" s="3397"/>
      <c r="AP42" s="3397"/>
      <c r="AQ42" s="3397"/>
      <c r="AR42" s="3397"/>
      <c r="AS42" s="3397"/>
      <c r="AT42" s="3397"/>
      <c r="AU42" s="3397"/>
      <c r="AV42" s="3397"/>
      <c r="AW42" s="3397"/>
      <c r="AX42" s="3397"/>
      <c r="AY42" s="3397"/>
      <c r="AZ42" s="3397"/>
      <c r="BA42" s="3397"/>
      <c r="BB42" s="3397"/>
      <c r="BC42" s="3397"/>
      <c r="BD42" s="3397"/>
      <c r="BE42" s="3397"/>
      <c r="BF42" s="3397"/>
      <c r="BG42" s="3397"/>
      <c r="BH42" s="3397"/>
      <c r="BI42" s="3397"/>
      <c r="BJ42" s="3397"/>
      <c r="BK42" s="3397"/>
      <c r="BL42" s="3397"/>
      <c r="BM42" s="3397"/>
      <c r="BN42" s="3397"/>
      <c r="BO42" s="3397"/>
      <c r="BP42" s="3397"/>
      <c r="BQ42" s="3397"/>
      <c r="BR42" s="3397"/>
      <c r="BS42" s="3397"/>
      <c r="BT42" s="3397"/>
      <c r="BU42" s="3397"/>
      <c r="BV42" s="3397"/>
      <c r="BW42" s="3397"/>
      <c r="BX42" s="3397"/>
      <c r="BY42" s="3397"/>
      <c r="BZ42" s="3397"/>
    </row>
    <row r="43" spans="1:78" s="3610" customFormat="1" ht="14.25">
      <c r="B43" s="4257"/>
      <c r="C43" s="3576" t="s">
        <v>3679</v>
      </c>
      <c r="D43" s="3517">
        <v>230.24</v>
      </c>
      <c r="E43" s="3517">
        <v>118.88</v>
      </c>
      <c r="F43" s="4204"/>
      <c r="G43" s="4259"/>
      <c r="H43" s="4261"/>
      <c r="I43" s="4262"/>
      <c r="J43" s="4264"/>
      <c r="K43" s="3588">
        <f t="shared" si="4"/>
        <v>2.3154516682427282</v>
      </c>
      <c r="L43" s="4264"/>
      <c r="M43" s="4264"/>
      <c r="N43" s="4264"/>
      <c r="O43" s="4264"/>
      <c r="P43" s="4264"/>
      <c r="Q43" s="4264"/>
      <c r="R43" s="4264"/>
      <c r="S43" s="4264"/>
      <c r="T43" s="4264"/>
      <c r="U43" s="4264"/>
      <c r="V43" s="4195"/>
      <c r="W43" s="4272"/>
      <c r="X43" s="4195"/>
      <c r="Y43" s="4197"/>
      <c r="Z43" s="3399"/>
      <c r="AA43" s="3505">
        <f t="shared" si="1"/>
        <v>194051.89152301892</v>
      </c>
      <c r="AB43" s="3505">
        <f t="shared" si="3"/>
        <v>194585.00111511513</v>
      </c>
      <c r="AC43" s="3505">
        <f t="shared" si="3"/>
        <v>194051.89152301892</v>
      </c>
      <c r="AD43" s="3505">
        <f t="shared" si="3"/>
        <v>194051.89152301892</v>
      </c>
      <c r="AE43" s="3505">
        <f t="shared" si="3"/>
        <v>194051.89152301892</v>
      </c>
      <c r="AF43" s="3505">
        <f t="shared" si="3"/>
        <v>194585.00111511513</v>
      </c>
      <c r="AG43" s="3505">
        <f t="shared" si="3"/>
        <v>194051.89152301892</v>
      </c>
      <c r="AH43" s="3505">
        <f t="shared" si="3"/>
        <v>194051.89152301892</v>
      </c>
      <c r="AI43" s="3505">
        <f t="shared" si="3"/>
        <v>194051.89152301892</v>
      </c>
      <c r="AJ43" s="3505">
        <f t="shared" si="3"/>
        <v>194585.00111511513</v>
      </c>
      <c r="AK43" s="3505">
        <f t="shared" si="3"/>
        <v>194051.89152301892</v>
      </c>
      <c r="AL43" s="3505">
        <f t="shared" si="3"/>
        <v>194051.89152301892</v>
      </c>
      <c r="AM43" s="3397"/>
      <c r="AN43" s="3397"/>
      <c r="AO43" s="3397"/>
      <c r="AP43" s="3397"/>
      <c r="AQ43" s="3397"/>
      <c r="AR43" s="3397"/>
      <c r="AS43" s="3397"/>
      <c r="AT43" s="3397"/>
      <c r="AU43" s="3397"/>
      <c r="AV43" s="3397"/>
      <c r="AW43" s="3397"/>
      <c r="AX43" s="3397"/>
      <c r="AY43" s="3397"/>
      <c r="AZ43" s="3397"/>
      <c r="BA43" s="3397"/>
      <c r="BB43" s="3397"/>
      <c r="BC43" s="3397"/>
      <c r="BD43" s="3397"/>
      <c r="BE43" s="3397"/>
      <c r="BF43" s="3397"/>
      <c r="BG43" s="3397"/>
      <c r="BH43" s="3397"/>
      <c r="BI43" s="3397"/>
      <c r="BJ43" s="3397"/>
      <c r="BK43" s="3397"/>
      <c r="BL43" s="3397"/>
      <c r="BM43" s="3397"/>
      <c r="BN43" s="3397"/>
      <c r="BO43" s="3397"/>
      <c r="BP43" s="3397"/>
      <c r="BQ43" s="3397"/>
      <c r="BR43" s="3397"/>
      <c r="BS43" s="3397"/>
      <c r="BT43" s="3397"/>
      <c r="BU43" s="3397"/>
      <c r="BV43" s="3397"/>
      <c r="BW43" s="3397"/>
      <c r="BX43" s="3397"/>
      <c r="BY43" s="3397"/>
      <c r="BZ43" s="3397"/>
    </row>
    <row r="44" spans="1:78" s="3610" customFormat="1" ht="14.25">
      <c r="B44" s="4257"/>
      <c r="C44" s="3576" t="s">
        <v>3680</v>
      </c>
      <c r="D44" s="3517">
        <v>104.64</v>
      </c>
      <c r="E44" s="3517">
        <v>56.56</v>
      </c>
      <c r="F44" s="4204"/>
      <c r="G44" s="4259"/>
      <c r="H44" s="4261"/>
      <c r="I44" s="4262"/>
      <c r="J44" s="4264"/>
      <c r="K44" s="3588">
        <f t="shared" si="4"/>
        <v>2.3154516682427282</v>
      </c>
      <c r="L44" s="4264"/>
      <c r="M44" s="4264"/>
      <c r="N44" s="4264"/>
      <c r="O44" s="4264"/>
      <c r="P44" s="4264"/>
      <c r="Q44" s="4264"/>
      <c r="R44" s="4264"/>
      <c r="S44" s="4264"/>
      <c r="T44" s="4264"/>
      <c r="U44" s="4264"/>
      <c r="V44" s="4195"/>
      <c r="W44" s="4272"/>
      <c r="X44" s="4195"/>
      <c r="Y44" s="4197"/>
      <c r="Z44" s="3399"/>
      <c r="AA44" s="3505">
        <f t="shared" si="1"/>
        <v>88193.145973630541</v>
      </c>
      <c r="AB44" s="3505">
        <f t="shared" si="3"/>
        <v>88435.434836195462</v>
      </c>
      <c r="AC44" s="3505">
        <f t="shared" si="3"/>
        <v>88193.145973630541</v>
      </c>
      <c r="AD44" s="3505">
        <f t="shared" si="3"/>
        <v>88193.145973630541</v>
      </c>
      <c r="AE44" s="3505">
        <f t="shared" si="3"/>
        <v>88193.145973630541</v>
      </c>
      <c r="AF44" s="3505">
        <f t="shared" si="3"/>
        <v>88435.434836195462</v>
      </c>
      <c r="AG44" s="3505">
        <f t="shared" si="3"/>
        <v>88193.145973630541</v>
      </c>
      <c r="AH44" s="3505">
        <f t="shared" si="3"/>
        <v>88193.145973630541</v>
      </c>
      <c r="AI44" s="3505">
        <f t="shared" si="3"/>
        <v>88193.145973630541</v>
      </c>
      <c r="AJ44" s="3505">
        <f t="shared" si="3"/>
        <v>88435.434836195462</v>
      </c>
      <c r="AK44" s="3505">
        <f t="shared" si="3"/>
        <v>88193.145973630541</v>
      </c>
      <c r="AL44" s="3505">
        <f t="shared" si="3"/>
        <v>88193.145973630541</v>
      </c>
      <c r="AM44" s="3397"/>
      <c r="AN44" s="3397"/>
      <c r="AO44" s="3397"/>
      <c r="AP44" s="3397"/>
      <c r="AQ44" s="3397"/>
      <c r="AR44" s="3397"/>
      <c r="AS44" s="3397"/>
      <c r="AT44" s="3397"/>
      <c r="AU44" s="3397"/>
      <c r="AV44" s="3397"/>
      <c r="AW44" s="3397"/>
      <c r="AX44" s="3397"/>
      <c r="AY44" s="3397"/>
      <c r="AZ44" s="3397"/>
      <c r="BA44" s="3397"/>
      <c r="BB44" s="3397"/>
      <c r="BC44" s="3397"/>
      <c r="BD44" s="3397"/>
      <c r="BE44" s="3397"/>
      <c r="BF44" s="3397"/>
      <c r="BG44" s="3397"/>
      <c r="BH44" s="3397"/>
      <c r="BI44" s="3397"/>
      <c r="BJ44" s="3397"/>
      <c r="BK44" s="3397"/>
      <c r="BL44" s="3397"/>
      <c r="BM44" s="3397"/>
      <c r="BN44" s="3397"/>
      <c r="BO44" s="3397"/>
      <c r="BP44" s="3397"/>
      <c r="BQ44" s="3397"/>
      <c r="BR44" s="3397"/>
      <c r="BS44" s="3397"/>
      <c r="BT44" s="3397"/>
      <c r="BU44" s="3397"/>
      <c r="BV44" s="3397"/>
      <c r="BW44" s="3397"/>
      <c r="BX44" s="3397"/>
      <c r="BY44" s="3397"/>
      <c r="BZ44" s="3397"/>
    </row>
    <row r="45" spans="1:78" s="3610" customFormat="1" ht="14.25">
      <c r="B45" s="4257"/>
      <c r="C45" s="3576" t="s">
        <v>3681</v>
      </c>
      <c r="D45" s="3517">
        <v>214.94</v>
      </c>
      <c r="E45" s="3517">
        <v>116.18</v>
      </c>
      <c r="F45" s="4204"/>
      <c r="G45" s="4259"/>
      <c r="H45" s="4261"/>
      <c r="I45" s="4262"/>
      <c r="J45" s="4264"/>
      <c r="K45" s="3588">
        <f t="shared" si="4"/>
        <v>2.3154516682427282</v>
      </c>
      <c r="L45" s="4264"/>
      <c r="M45" s="4264"/>
      <c r="N45" s="4264"/>
      <c r="O45" s="4264"/>
      <c r="P45" s="4264"/>
      <c r="Q45" s="4264"/>
      <c r="R45" s="4264"/>
      <c r="S45" s="4264"/>
      <c r="T45" s="4264"/>
      <c r="U45" s="4264"/>
      <c r="V45" s="4195"/>
      <c r="W45" s="4272"/>
      <c r="X45" s="4195"/>
      <c r="Y45" s="4197"/>
      <c r="Z45" s="3399"/>
      <c r="AA45" s="3505">
        <f t="shared" si="1"/>
        <v>181156.67809224149</v>
      </c>
      <c r="AB45" s="3505">
        <f t="shared" si="3"/>
        <v>181654.36127381359</v>
      </c>
      <c r="AC45" s="3505">
        <f t="shared" si="3"/>
        <v>181156.67809224149</v>
      </c>
      <c r="AD45" s="3505">
        <f t="shared" si="3"/>
        <v>181156.67809224149</v>
      </c>
      <c r="AE45" s="3505">
        <f t="shared" si="3"/>
        <v>181156.67809224149</v>
      </c>
      <c r="AF45" s="3505">
        <f t="shared" si="3"/>
        <v>181654.36127381359</v>
      </c>
      <c r="AG45" s="3505">
        <f t="shared" si="3"/>
        <v>181156.67809224149</v>
      </c>
      <c r="AH45" s="3505">
        <f t="shared" si="3"/>
        <v>181156.67809224149</v>
      </c>
      <c r="AI45" s="3505">
        <f t="shared" si="3"/>
        <v>181156.67809224149</v>
      </c>
      <c r="AJ45" s="3505">
        <f t="shared" si="3"/>
        <v>181654.36127381359</v>
      </c>
      <c r="AK45" s="3505">
        <f t="shared" si="3"/>
        <v>181156.67809224149</v>
      </c>
      <c r="AL45" s="3505">
        <f t="shared" si="3"/>
        <v>181156.67809224149</v>
      </c>
      <c r="AM45" s="3397"/>
      <c r="AN45" s="3397"/>
      <c r="AO45" s="3397"/>
      <c r="AP45" s="3397"/>
      <c r="AQ45" s="3397"/>
      <c r="AR45" s="3397"/>
      <c r="AS45" s="3397"/>
      <c r="AT45" s="3397"/>
      <c r="AU45" s="3397"/>
      <c r="AV45" s="3397"/>
      <c r="AW45" s="3397"/>
      <c r="AX45" s="3397"/>
      <c r="AY45" s="3397"/>
      <c r="AZ45" s="3397"/>
      <c r="BA45" s="3397"/>
      <c r="BB45" s="3397"/>
      <c r="BC45" s="3397"/>
      <c r="BD45" s="3397"/>
      <c r="BE45" s="3397"/>
      <c r="BF45" s="3397"/>
      <c r="BG45" s="3397"/>
      <c r="BH45" s="3397"/>
      <c r="BI45" s="3397"/>
      <c r="BJ45" s="3397"/>
      <c r="BK45" s="3397"/>
      <c r="BL45" s="3397"/>
      <c r="BM45" s="3397"/>
      <c r="BN45" s="3397"/>
      <c r="BO45" s="3397"/>
      <c r="BP45" s="3397"/>
      <c r="BQ45" s="3397"/>
      <c r="BR45" s="3397"/>
      <c r="BS45" s="3397"/>
      <c r="BT45" s="3397"/>
      <c r="BU45" s="3397"/>
      <c r="BV45" s="3397"/>
      <c r="BW45" s="3397"/>
      <c r="BX45" s="3397"/>
      <c r="BY45" s="3397"/>
      <c r="BZ45" s="3397"/>
    </row>
    <row r="46" spans="1:78" s="3610" customFormat="1" ht="14.25">
      <c r="B46" s="4257"/>
      <c r="C46" s="3576" t="s">
        <v>3682</v>
      </c>
      <c r="D46" s="3517">
        <v>83.6</v>
      </c>
      <c r="E46" s="3517">
        <v>45.19</v>
      </c>
      <c r="F46" s="4204"/>
      <c r="G46" s="4259"/>
      <c r="H46" s="4261"/>
      <c r="I46" s="4262"/>
      <c r="J46" s="4264"/>
      <c r="K46" s="3588">
        <f t="shared" si="4"/>
        <v>2.3154516682427282</v>
      </c>
      <c r="L46" s="4264"/>
      <c r="M46" s="4264"/>
      <c r="N46" s="4264"/>
      <c r="O46" s="4264"/>
      <c r="P46" s="4264"/>
      <c r="Q46" s="4264"/>
      <c r="R46" s="4264"/>
      <c r="S46" s="4264"/>
      <c r="T46" s="4264"/>
      <c r="U46" s="4264"/>
      <c r="V46" s="4195"/>
      <c r="W46" s="4272"/>
      <c r="X46" s="4195"/>
      <c r="Y46" s="4197"/>
      <c r="Z46" s="3399"/>
      <c r="AA46" s="3505">
        <f t="shared" si="1"/>
        <v>70460.12044529352</v>
      </c>
      <c r="AB46" s="3505">
        <f t="shared" si="3"/>
        <v>70653.692204758612</v>
      </c>
      <c r="AC46" s="3505">
        <f t="shared" si="3"/>
        <v>70460.12044529352</v>
      </c>
      <c r="AD46" s="3505">
        <f t="shared" si="3"/>
        <v>70460.12044529352</v>
      </c>
      <c r="AE46" s="3505">
        <f t="shared" si="3"/>
        <v>70460.12044529352</v>
      </c>
      <c r="AF46" s="3505">
        <f t="shared" si="3"/>
        <v>70653.692204758612</v>
      </c>
      <c r="AG46" s="3505">
        <f t="shared" si="3"/>
        <v>70460.12044529352</v>
      </c>
      <c r="AH46" s="3505">
        <f t="shared" si="3"/>
        <v>70460.12044529352</v>
      </c>
      <c r="AI46" s="3505">
        <f t="shared" si="3"/>
        <v>70460.12044529352</v>
      </c>
      <c r="AJ46" s="3505">
        <f t="shared" si="3"/>
        <v>70653.692204758612</v>
      </c>
      <c r="AK46" s="3505">
        <f t="shared" si="3"/>
        <v>70460.12044529352</v>
      </c>
      <c r="AL46" s="3505">
        <f t="shared" si="3"/>
        <v>70460.12044529352</v>
      </c>
      <c r="AM46" s="3397"/>
      <c r="AN46" s="3397"/>
      <c r="AO46" s="3397"/>
      <c r="AP46" s="3397"/>
      <c r="AQ46" s="3397"/>
      <c r="AR46" s="3397"/>
      <c r="AS46" s="3397"/>
      <c r="AT46" s="3397"/>
      <c r="AU46" s="3397"/>
      <c r="AV46" s="3397"/>
      <c r="AW46" s="3397"/>
      <c r="AX46" s="3397"/>
      <c r="AY46" s="3397"/>
      <c r="AZ46" s="3397"/>
      <c r="BA46" s="3397"/>
      <c r="BB46" s="3397"/>
      <c r="BC46" s="3397"/>
      <c r="BD46" s="3397"/>
      <c r="BE46" s="3397"/>
      <c r="BF46" s="3397"/>
      <c r="BG46" s="3397"/>
      <c r="BH46" s="3397"/>
      <c r="BI46" s="3397"/>
      <c r="BJ46" s="3397"/>
      <c r="BK46" s="3397"/>
      <c r="BL46" s="3397"/>
      <c r="BM46" s="3397"/>
      <c r="BN46" s="3397"/>
      <c r="BO46" s="3397"/>
      <c r="BP46" s="3397"/>
      <c r="BQ46" s="3397"/>
      <c r="BR46" s="3397"/>
      <c r="BS46" s="3397"/>
      <c r="BT46" s="3397"/>
      <c r="BU46" s="3397"/>
      <c r="BV46" s="3397"/>
      <c r="BW46" s="3397"/>
      <c r="BX46" s="3397"/>
      <c r="BY46" s="3397"/>
      <c r="BZ46" s="3397"/>
    </row>
    <row r="47" spans="1:78" s="3610" customFormat="1" ht="14.25">
      <c r="B47" s="4257"/>
      <c r="C47" s="4274" t="s">
        <v>3683</v>
      </c>
      <c r="D47" s="4275"/>
      <c r="E47" s="3575">
        <v>317.88</v>
      </c>
      <c r="F47" s="4204"/>
      <c r="G47" s="4259"/>
      <c r="H47" s="4261"/>
      <c r="I47" s="4262"/>
      <c r="J47" s="4264"/>
      <c r="K47" s="3588">
        <f t="shared" si="4"/>
        <v>2.3154516682427282</v>
      </c>
      <c r="L47" s="4264"/>
      <c r="M47" s="4264"/>
      <c r="N47" s="4264"/>
      <c r="O47" s="4264"/>
      <c r="P47" s="4264"/>
      <c r="Q47" s="4264"/>
      <c r="R47" s="4264"/>
      <c r="S47" s="4264"/>
      <c r="T47" s="4264"/>
      <c r="U47" s="4264"/>
      <c r="V47" s="4195"/>
      <c r="W47" s="4272"/>
      <c r="X47" s="4195"/>
      <c r="Y47" s="4197"/>
      <c r="Z47" s="3399"/>
      <c r="AA47" s="3505">
        <f>$E47*$K47*(AA$2-AA$1)</f>
        <v>267917.02257356344</v>
      </c>
      <c r="AB47" s="3505">
        <f t="shared" ref="AB47:AL48" si="5">$E47*$K47*(AB$2-AB$1)</f>
        <v>268653.05834986444</v>
      </c>
      <c r="AC47" s="3505">
        <f t="shared" si="5"/>
        <v>267917.02257356344</v>
      </c>
      <c r="AD47" s="3505">
        <f t="shared" si="5"/>
        <v>267917.02257356344</v>
      </c>
      <c r="AE47" s="3505">
        <f t="shared" si="5"/>
        <v>267917.02257356344</v>
      </c>
      <c r="AF47" s="3505">
        <f t="shared" si="5"/>
        <v>268653.05834986444</v>
      </c>
      <c r="AG47" s="3505">
        <f t="shared" si="5"/>
        <v>267917.02257356344</v>
      </c>
      <c r="AH47" s="3505">
        <f t="shared" si="5"/>
        <v>267917.02257356344</v>
      </c>
      <c r="AI47" s="3505">
        <f t="shared" si="5"/>
        <v>267917.02257356344</v>
      </c>
      <c r="AJ47" s="3505">
        <f t="shared" si="5"/>
        <v>268653.05834986444</v>
      </c>
      <c r="AK47" s="3505">
        <f t="shared" si="5"/>
        <v>267917.02257356344</v>
      </c>
      <c r="AL47" s="3505">
        <f t="shared" si="5"/>
        <v>267917.02257356344</v>
      </c>
      <c r="AM47" s="3397"/>
      <c r="AN47" s="3397"/>
      <c r="AO47" s="3397"/>
      <c r="AP47" s="3397"/>
      <c r="AQ47" s="3397"/>
      <c r="AR47" s="3397"/>
      <c r="AS47" s="3397"/>
      <c r="AT47" s="3397"/>
      <c r="AU47" s="3397"/>
      <c r="AV47" s="3397"/>
      <c r="AW47" s="3397"/>
      <c r="AX47" s="3397"/>
      <c r="AY47" s="3397"/>
      <c r="AZ47" s="3397"/>
      <c r="BA47" s="3397"/>
      <c r="BB47" s="3397"/>
      <c r="BC47" s="3397"/>
      <c r="BD47" s="3397"/>
      <c r="BE47" s="3397"/>
      <c r="BF47" s="3397"/>
      <c r="BG47" s="3397"/>
      <c r="BH47" s="3397"/>
      <c r="BI47" s="3397"/>
      <c r="BJ47" s="3397"/>
      <c r="BK47" s="3397"/>
      <c r="BL47" s="3397"/>
      <c r="BM47" s="3397"/>
      <c r="BN47" s="3397"/>
      <c r="BO47" s="3397"/>
      <c r="BP47" s="3397"/>
      <c r="BQ47" s="3397"/>
      <c r="BR47" s="3397"/>
      <c r="BS47" s="3397"/>
      <c r="BT47" s="3397"/>
      <c r="BU47" s="3397"/>
      <c r="BV47" s="3397"/>
      <c r="BW47" s="3397"/>
      <c r="BX47" s="3397"/>
      <c r="BY47" s="3397"/>
      <c r="BZ47" s="3397"/>
    </row>
    <row r="48" spans="1:78" s="3610" customFormat="1" ht="14.25">
      <c r="B48" s="4257"/>
      <c r="C48" s="4274" t="s">
        <v>3684</v>
      </c>
      <c r="D48" s="4275"/>
      <c r="E48" s="3575">
        <v>86.3</v>
      </c>
      <c r="F48" s="4204"/>
      <c r="G48" s="4260"/>
      <c r="H48" s="4206"/>
      <c r="I48" s="4263"/>
      <c r="J48" s="4236"/>
      <c r="K48" s="3588">
        <f t="shared" si="4"/>
        <v>2.3154516682427282</v>
      </c>
      <c r="L48" s="4236"/>
      <c r="M48" s="4236"/>
      <c r="N48" s="4236"/>
      <c r="O48" s="4236"/>
      <c r="P48" s="4236"/>
      <c r="Q48" s="4236"/>
      <c r="R48" s="4236"/>
      <c r="S48" s="4236"/>
      <c r="T48" s="4236"/>
      <c r="U48" s="4236"/>
      <c r="V48" s="4220"/>
      <c r="W48" s="4273"/>
      <c r="X48" s="4220"/>
      <c r="Y48" s="4243"/>
      <c r="Z48" s="3399"/>
      <c r="AA48" s="3505">
        <f>$E48*$K48*(AA$2-AA$1)</f>
        <v>72735.746344842468</v>
      </c>
      <c r="AB48" s="3505">
        <f t="shared" si="5"/>
        <v>72935.56982381182</v>
      </c>
      <c r="AC48" s="3505">
        <f t="shared" si="5"/>
        <v>72735.746344842468</v>
      </c>
      <c r="AD48" s="3505">
        <f t="shared" si="5"/>
        <v>72735.746344842468</v>
      </c>
      <c r="AE48" s="3505">
        <f t="shared" si="5"/>
        <v>72735.746344842468</v>
      </c>
      <c r="AF48" s="3505">
        <f t="shared" si="5"/>
        <v>72935.56982381182</v>
      </c>
      <c r="AG48" s="3505">
        <f t="shared" si="5"/>
        <v>72735.746344842468</v>
      </c>
      <c r="AH48" s="3505">
        <f t="shared" si="5"/>
        <v>72735.746344842468</v>
      </c>
      <c r="AI48" s="3505">
        <f t="shared" si="5"/>
        <v>72735.746344842468</v>
      </c>
      <c r="AJ48" s="3505">
        <f t="shared" si="5"/>
        <v>72935.56982381182</v>
      </c>
      <c r="AK48" s="3505">
        <f t="shared" si="5"/>
        <v>72735.746344842468</v>
      </c>
      <c r="AL48" s="3505">
        <f t="shared" si="5"/>
        <v>72735.746344842468</v>
      </c>
      <c r="AM48" s="3397"/>
      <c r="AN48" s="3397"/>
      <c r="AO48" s="3397"/>
      <c r="AP48" s="3397"/>
      <c r="AQ48" s="3397"/>
      <c r="AR48" s="3397"/>
      <c r="AS48" s="3397"/>
      <c r="AT48" s="3397"/>
      <c r="AU48" s="3397"/>
      <c r="AV48" s="3397"/>
      <c r="AW48" s="3397"/>
      <c r="AX48" s="3397"/>
      <c r="AY48" s="3397"/>
      <c r="AZ48" s="3397"/>
      <c r="BA48" s="3397"/>
      <c r="BB48" s="3397"/>
      <c r="BC48" s="3397"/>
      <c r="BD48" s="3397"/>
      <c r="BE48" s="3397"/>
      <c r="BF48" s="3397"/>
      <c r="BG48" s="3397"/>
      <c r="BH48" s="3397"/>
      <c r="BI48" s="3397"/>
      <c r="BJ48" s="3397"/>
      <c r="BK48" s="3397"/>
      <c r="BL48" s="3397"/>
      <c r="BM48" s="3397"/>
      <c r="BN48" s="3397"/>
      <c r="BO48" s="3397"/>
      <c r="BP48" s="3397"/>
      <c r="BQ48" s="3397"/>
      <c r="BR48" s="3397"/>
      <c r="BS48" s="3397"/>
      <c r="BT48" s="3397"/>
      <c r="BU48" s="3397"/>
      <c r="BV48" s="3397"/>
      <c r="BW48" s="3397"/>
      <c r="BX48" s="3397"/>
      <c r="BY48" s="3397"/>
      <c r="BZ48" s="3397"/>
    </row>
    <row r="49" spans="1:78" s="3617" customFormat="1" ht="14.25">
      <c r="B49" s="4267"/>
      <c r="C49" s="3418" t="s">
        <v>3685</v>
      </c>
      <c r="D49" s="3411">
        <v>75.650000000000006</v>
      </c>
      <c r="E49" s="3411">
        <v>40.89</v>
      </c>
      <c r="F49" s="3411">
        <v>40.89</v>
      </c>
      <c r="G49" s="3411"/>
      <c r="H49" s="3577"/>
      <c r="I49" s="3578"/>
      <c r="J49" s="3579"/>
      <c r="K49" s="3579"/>
      <c r="L49" s="3501"/>
      <c r="M49" s="3579"/>
      <c r="N49" s="3579"/>
      <c r="O49" s="3579"/>
      <c r="P49" s="3579"/>
      <c r="Q49" s="3579"/>
      <c r="R49" s="3579"/>
      <c r="S49" s="3579"/>
      <c r="T49" s="3579"/>
      <c r="U49" s="3579"/>
      <c r="V49" s="3579"/>
      <c r="W49" s="3579"/>
      <c r="X49" s="3579"/>
      <c r="Y49" s="3579"/>
      <c r="Z49" s="3399"/>
      <c r="AA49" s="3505">
        <f t="shared" si="1"/>
        <v>0</v>
      </c>
      <c r="AB49" s="3505">
        <f t="shared" si="3"/>
        <v>0</v>
      </c>
      <c r="AC49" s="3505">
        <f t="shared" si="3"/>
        <v>0</v>
      </c>
      <c r="AD49" s="3505">
        <f t="shared" si="3"/>
        <v>0</v>
      </c>
      <c r="AE49" s="3505">
        <f t="shared" si="3"/>
        <v>0</v>
      </c>
      <c r="AF49" s="3505">
        <f t="shared" si="3"/>
        <v>0</v>
      </c>
      <c r="AG49" s="3505">
        <f t="shared" si="3"/>
        <v>0</v>
      </c>
      <c r="AH49" s="3505">
        <f t="shared" si="3"/>
        <v>0</v>
      </c>
      <c r="AI49" s="3505">
        <f t="shared" si="3"/>
        <v>0</v>
      </c>
      <c r="AJ49" s="3505">
        <f t="shared" si="3"/>
        <v>0</v>
      </c>
      <c r="AK49" s="3505">
        <f t="shared" si="3"/>
        <v>0</v>
      </c>
      <c r="AL49" s="3505">
        <f t="shared" si="3"/>
        <v>0</v>
      </c>
      <c r="AM49" s="3397"/>
      <c r="AN49" s="3397"/>
      <c r="AO49" s="3397"/>
      <c r="AP49" s="3397"/>
      <c r="AQ49" s="3397"/>
      <c r="AR49" s="3397"/>
      <c r="AS49" s="3397"/>
      <c r="AT49" s="3397"/>
      <c r="AU49" s="3397"/>
      <c r="AV49" s="3397"/>
      <c r="AW49" s="3397"/>
      <c r="AX49" s="3397"/>
      <c r="AY49" s="3397"/>
      <c r="AZ49" s="3397"/>
      <c r="BA49" s="3397"/>
      <c r="BB49" s="3397"/>
      <c r="BC49" s="3397"/>
      <c r="BD49" s="3397"/>
      <c r="BE49" s="3397"/>
      <c r="BF49" s="3397"/>
      <c r="BG49" s="3397"/>
      <c r="BH49" s="3397"/>
      <c r="BI49" s="3397"/>
      <c r="BJ49" s="3397"/>
      <c r="BK49" s="3397"/>
      <c r="BL49" s="3397"/>
      <c r="BM49" s="3397"/>
      <c r="BN49" s="3397"/>
      <c r="BO49" s="3397"/>
      <c r="BP49" s="3397"/>
      <c r="BQ49" s="3397"/>
      <c r="BR49" s="3397"/>
      <c r="BS49" s="3397"/>
      <c r="BT49" s="3397"/>
      <c r="BU49" s="3397"/>
      <c r="BV49" s="3397"/>
      <c r="BW49" s="3397"/>
      <c r="BX49" s="3397"/>
      <c r="BY49" s="3397"/>
      <c r="BZ49" s="3397"/>
    </row>
    <row r="50" spans="1:78" s="3617" customFormat="1" ht="14.25">
      <c r="B50" s="4267"/>
      <c r="C50" s="3418" t="s">
        <v>3686</v>
      </c>
      <c r="D50" s="3411">
        <v>75.650000000000006</v>
      </c>
      <c r="E50" s="3411">
        <v>40.89</v>
      </c>
      <c r="F50" s="3411">
        <v>40.89</v>
      </c>
      <c r="G50" s="3411"/>
      <c r="H50" s="3577"/>
      <c r="I50" s="3578"/>
      <c r="J50" s="3579"/>
      <c r="K50" s="3579"/>
      <c r="L50" s="3501"/>
      <c r="M50" s="3579"/>
      <c r="N50" s="3579"/>
      <c r="O50" s="3579"/>
      <c r="P50" s="3579"/>
      <c r="Q50" s="3579"/>
      <c r="R50" s="3579"/>
      <c r="S50" s="3579"/>
      <c r="T50" s="3579"/>
      <c r="U50" s="3579"/>
      <c r="V50" s="3579"/>
      <c r="W50" s="3579"/>
      <c r="X50" s="3579"/>
      <c r="Y50" s="3579"/>
      <c r="Z50" s="3399"/>
      <c r="AA50" s="3505">
        <f t="shared" si="1"/>
        <v>0</v>
      </c>
      <c r="AB50" s="3505">
        <f t="shared" si="3"/>
        <v>0</v>
      </c>
      <c r="AC50" s="3505">
        <f t="shared" si="3"/>
        <v>0</v>
      </c>
      <c r="AD50" s="3505">
        <f t="shared" si="3"/>
        <v>0</v>
      </c>
      <c r="AE50" s="3505">
        <f t="shared" si="3"/>
        <v>0</v>
      </c>
      <c r="AF50" s="3505">
        <f t="shared" si="3"/>
        <v>0</v>
      </c>
      <c r="AG50" s="3505">
        <f t="shared" si="3"/>
        <v>0</v>
      </c>
      <c r="AH50" s="3505">
        <f t="shared" si="3"/>
        <v>0</v>
      </c>
      <c r="AI50" s="3505">
        <f t="shared" si="3"/>
        <v>0</v>
      </c>
      <c r="AJ50" s="3505">
        <f t="shared" si="3"/>
        <v>0</v>
      </c>
      <c r="AK50" s="3505">
        <f t="shared" si="3"/>
        <v>0</v>
      </c>
      <c r="AL50" s="3505">
        <f t="shared" si="3"/>
        <v>0</v>
      </c>
      <c r="AM50" s="3397"/>
      <c r="AN50" s="3397"/>
      <c r="AO50" s="3397"/>
      <c r="AP50" s="3397"/>
      <c r="AQ50" s="3397"/>
      <c r="AR50" s="3397"/>
      <c r="AS50" s="3397"/>
      <c r="AT50" s="3397"/>
      <c r="AU50" s="3397"/>
      <c r="AV50" s="3397"/>
      <c r="AW50" s="3397"/>
      <c r="AX50" s="3397"/>
      <c r="AY50" s="3397"/>
      <c r="AZ50" s="3397"/>
      <c r="BA50" s="3397"/>
      <c r="BB50" s="3397"/>
      <c r="BC50" s="3397"/>
      <c r="BD50" s="3397"/>
      <c r="BE50" s="3397"/>
      <c r="BF50" s="3397"/>
      <c r="BG50" s="3397"/>
      <c r="BH50" s="3397"/>
      <c r="BI50" s="3397"/>
      <c r="BJ50" s="3397"/>
      <c r="BK50" s="3397"/>
      <c r="BL50" s="3397"/>
      <c r="BM50" s="3397"/>
      <c r="BN50" s="3397"/>
      <c r="BO50" s="3397"/>
      <c r="BP50" s="3397"/>
      <c r="BQ50" s="3397"/>
      <c r="BR50" s="3397"/>
      <c r="BS50" s="3397"/>
      <c r="BT50" s="3397"/>
      <c r="BU50" s="3397"/>
      <c r="BV50" s="3397"/>
      <c r="BW50" s="3397"/>
      <c r="BX50" s="3397"/>
      <c r="BY50" s="3397"/>
      <c r="BZ50" s="3397"/>
    </row>
    <row r="51" spans="1:78" s="3618" customFormat="1" ht="14.25">
      <c r="B51" s="3580"/>
      <c r="C51" s="3581" t="s">
        <v>3687</v>
      </c>
      <c r="D51" s="3582"/>
      <c r="E51" s="3582">
        <v>15</v>
      </c>
      <c r="F51" s="3582">
        <v>15</v>
      </c>
      <c r="G51" s="3582"/>
      <c r="H51" s="3410"/>
      <c r="I51" s="3581"/>
      <c r="J51" s="3583"/>
      <c r="K51" s="3583"/>
      <c r="L51" s="3583"/>
      <c r="M51" s="3583"/>
      <c r="N51" s="3583"/>
      <c r="O51" s="3583"/>
      <c r="P51" s="3583"/>
      <c r="Q51" s="3583"/>
      <c r="R51" s="3583"/>
      <c r="S51" s="3583"/>
      <c r="T51" s="3583"/>
      <c r="U51" s="3583"/>
      <c r="V51" s="3584"/>
      <c r="W51" s="3584"/>
      <c r="X51" s="3585"/>
      <c r="Y51" s="3586"/>
      <c r="Z51" s="3399"/>
      <c r="AA51" s="3505">
        <f t="shared" si="1"/>
        <v>0</v>
      </c>
      <c r="AB51" s="3505">
        <f t="shared" si="3"/>
        <v>0</v>
      </c>
      <c r="AC51" s="3505">
        <f t="shared" si="3"/>
        <v>0</v>
      </c>
      <c r="AD51" s="3505">
        <f t="shared" si="3"/>
        <v>0</v>
      </c>
      <c r="AE51" s="3505">
        <f t="shared" si="3"/>
        <v>0</v>
      </c>
      <c r="AF51" s="3505">
        <f t="shared" si="3"/>
        <v>0</v>
      </c>
      <c r="AG51" s="3505">
        <f t="shared" si="3"/>
        <v>0</v>
      </c>
      <c r="AH51" s="3505">
        <f t="shared" si="3"/>
        <v>0</v>
      </c>
      <c r="AI51" s="3505">
        <f t="shared" si="3"/>
        <v>0</v>
      </c>
      <c r="AJ51" s="3505">
        <f t="shared" si="3"/>
        <v>0</v>
      </c>
      <c r="AK51" s="3505">
        <f t="shared" si="3"/>
        <v>0</v>
      </c>
      <c r="AL51" s="3505">
        <f t="shared" si="3"/>
        <v>0</v>
      </c>
      <c r="AM51" s="3397"/>
      <c r="AN51" s="3397"/>
      <c r="AO51" s="3397"/>
      <c r="AP51" s="3397"/>
      <c r="AQ51" s="3397"/>
      <c r="AR51" s="3397"/>
      <c r="AS51" s="3397"/>
      <c r="AT51" s="3397"/>
      <c r="AU51" s="3397"/>
      <c r="AV51" s="3397"/>
      <c r="AW51" s="3397"/>
      <c r="AX51" s="3397"/>
      <c r="AY51" s="3397"/>
      <c r="AZ51" s="3397"/>
      <c r="BA51" s="3397"/>
      <c r="BB51" s="3397"/>
      <c r="BC51" s="3397"/>
      <c r="BD51" s="3397"/>
      <c r="BE51" s="3397"/>
      <c r="BF51" s="3397"/>
      <c r="BG51" s="3397"/>
      <c r="BH51" s="3397"/>
      <c r="BI51" s="3397"/>
      <c r="BJ51" s="3397"/>
      <c r="BK51" s="3397"/>
      <c r="BL51" s="3397"/>
      <c r="BM51" s="3397"/>
      <c r="BN51" s="3397"/>
      <c r="BO51" s="3397"/>
      <c r="BP51" s="3397"/>
      <c r="BQ51" s="3397"/>
      <c r="BR51" s="3397"/>
      <c r="BS51" s="3397"/>
      <c r="BT51" s="3397"/>
      <c r="BU51" s="3397"/>
      <c r="BV51" s="3397"/>
      <c r="BW51" s="3397"/>
      <c r="BX51" s="3397"/>
      <c r="BY51" s="3397"/>
      <c r="BZ51" s="3397"/>
    </row>
    <row r="52" spans="1:78" s="3616" customFormat="1" ht="14.25">
      <c r="B52" s="4268" t="s">
        <v>3688</v>
      </c>
      <c r="C52" s="3519" t="s">
        <v>3689</v>
      </c>
      <c r="D52" s="3536">
        <v>828.06</v>
      </c>
      <c r="E52" s="4270">
        <v>987</v>
      </c>
      <c r="F52" s="4270">
        <v>987</v>
      </c>
      <c r="G52" s="4270"/>
      <c r="H52" s="4205"/>
      <c r="I52" s="4278" t="s">
        <v>3690</v>
      </c>
      <c r="J52" s="4217">
        <v>120085</v>
      </c>
      <c r="K52" s="3537">
        <v>4</v>
      </c>
      <c r="L52" s="4217">
        <v>1.8</v>
      </c>
      <c r="M52" s="4217">
        <v>54038.25</v>
      </c>
      <c r="N52" s="4217"/>
      <c r="O52" s="4217"/>
      <c r="P52" s="4217"/>
      <c r="Q52" s="4217"/>
      <c r="R52" s="4217"/>
      <c r="S52" s="4217"/>
      <c r="T52" s="4218"/>
      <c r="U52" s="4217">
        <f>M52*3</f>
        <v>162114.75</v>
      </c>
      <c r="V52" s="4219">
        <f>J52*3</f>
        <v>360255</v>
      </c>
      <c r="W52" s="4194" t="s">
        <v>3691</v>
      </c>
      <c r="X52" s="4194"/>
      <c r="Y52" s="4196">
        <f>U52+V52</f>
        <v>522369.75</v>
      </c>
      <c r="Z52" s="3399"/>
      <c r="AA52" s="3505">
        <f t="shared" si="1"/>
        <v>1205655.3599999999</v>
      </c>
      <c r="AB52" s="3505">
        <f t="shared" si="3"/>
        <v>1208967.5999999999</v>
      </c>
      <c r="AC52" s="3505">
        <f t="shared" si="3"/>
        <v>1205655.3599999999</v>
      </c>
      <c r="AD52" s="3505">
        <f t="shared" si="3"/>
        <v>1205655.3599999999</v>
      </c>
      <c r="AE52" s="3505">
        <f t="shared" si="3"/>
        <v>1205655.3599999999</v>
      </c>
      <c r="AF52" s="3505">
        <f t="shared" si="3"/>
        <v>1208967.5999999999</v>
      </c>
      <c r="AG52" s="3505">
        <f t="shared" si="3"/>
        <v>1205655.3599999999</v>
      </c>
      <c r="AH52" s="3505">
        <f t="shared" si="3"/>
        <v>1205655.3599999999</v>
      </c>
      <c r="AI52" s="3505">
        <f t="shared" si="3"/>
        <v>1205655.3599999999</v>
      </c>
      <c r="AJ52" s="3505">
        <f t="shared" si="3"/>
        <v>1208967.5999999999</v>
      </c>
      <c r="AK52" s="3505">
        <f t="shared" si="3"/>
        <v>1205655.3599999999</v>
      </c>
      <c r="AL52" s="3505">
        <f t="shared" si="3"/>
        <v>1205655.3599999999</v>
      </c>
      <c r="AM52" s="3397"/>
      <c r="AN52" s="3397"/>
      <c r="AO52" s="3397"/>
      <c r="AP52" s="3397"/>
      <c r="AQ52" s="3397"/>
      <c r="AR52" s="3397"/>
      <c r="AS52" s="3397"/>
      <c r="AT52" s="3397"/>
      <c r="AU52" s="3397"/>
      <c r="AV52" s="3397"/>
      <c r="AW52" s="3397"/>
      <c r="AX52" s="3397"/>
      <c r="AY52" s="3397"/>
      <c r="AZ52" s="3397"/>
      <c r="BA52" s="3397"/>
      <c r="BB52" s="3397"/>
      <c r="BC52" s="3397"/>
      <c r="BD52" s="3397"/>
      <c r="BE52" s="3397"/>
      <c r="BF52" s="3397"/>
      <c r="BG52" s="3397"/>
      <c r="BH52" s="3397"/>
      <c r="BI52" s="3397"/>
      <c r="BJ52" s="3397"/>
      <c r="BK52" s="3397"/>
      <c r="BL52" s="3397"/>
      <c r="BM52" s="3397"/>
      <c r="BN52" s="3397"/>
      <c r="BO52" s="3397"/>
      <c r="BP52" s="3397"/>
      <c r="BQ52" s="3397"/>
      <c r="BR52" s="3397"/>
      <c r="BS52" s="3397"/>
      <c r="BT52" s="3397"/>
      <c r="BU52" s="3397"/>
      <c r="BV52" s="3397"/>
      <c r="BW52" s="3397"/>
      <c r="BX52" s="3397"/>
      <c r="BY52" s="3397"/>
      <c r="BZ52" s="3397"/>
    </row>
    <row r="53" spans="1:78" s="3616" customFormat="1" ht="14.25">
      <c r="B53" s="4269"/>
      <c r="C53" s="3519" t="s">
        <v>3692</v>
      </c>
      <c r="D53" s="3536">
        <v>159.44</v>
      </c>
      <c r="E53" s="4271"/>
      <c r="F53" s="4271"/>
      <c r="G53" s="4271"/>
      <c r="H53" s="4206"/>
      <c r="I53" s="4263"/>
      <c r="J53" s="4217"/>
      <c r="K53" s="3590">
        <f>K52</f>
        <v>4</v>
      </c>
      <c r="L53" s="4217"/>
      <c r="M53" s="4217"/>
      <c r="N53" s="4217"/>
      <c r="O53" s="4217"/>
      <c r="P53" s="4217"/>
      <c r="Q53" s="4217"/>
      <c r="R53" s="4217"/>
      <c r="S53" s="4217"/>
      <c r="T53" s="4218"/>
      <c r="U53" s="4217"/>
      <c r="V53" s="4219"/>
      <c r="W53" s="4195"/>
      <c r="X53" s="4195"/>
      <c r="Y53" s="4243"/>
      <c r="Z53" s="3399"/>
      <c r="AA53" s="3505">
        <f t="shared" si="1"/>
        <v>232144.63999999998</v>
      </c>
      <c r="AB53" s="3505">
        <f t="shared" ref="AB53:AL67" si="6">$D53*$K53*(AB$2-AB$1)</f>
        <v>232782.4</v>
      </c>
      <c r="AC53" s="3505">
        <f t="shared" si="6"/>
        <v>232144.63999999998</v>
      </c>
      <c r="AD53" s="3505">
        <f t="shared" si="6"/>
        <v>232144.63999999998</v>
      </c>
      <c r="AE53" s="3505">
        <f t="shared" si="6"/>
        <v>232144.63999999998</v>
      </c>
      <c r="AF53" s="3505">
        <f t="shared" si="6"/>
        <v>232782.4</v>
      </c>
      <c r="AG53" s="3505">
        <f t="shared" si="6"/>
        <v>232144.63999999998</v>
      </c>
      <c r="AH53" s="3505">
        <f t="shared" si="6"/>
        <v>232144.63999999998</v>
      </c>
      <c r="AI53" s="3505">
        <f t="shared" si="6"/>
        <v>232144.63999999998</v>
      </c>
      <c r="AJ53" s="3505">
        <f t="shared" si="6"/>
        <v>232782.4</v>
      </c>
      <c r="AK53" s="3505">
        <f t="shared" si="6"/>
        <v>232144.63999999998</v>
      </c>
      <c r="AL53" s="3505">
        <f t="shared" si="6"/>
        <v>232144.63999999998</v>
      </c>
      <c r="AM53" s="3397"/>
      <c r="AN53" s="3397"/>
      <c r="AO53" s="3397"/>
      <c r="AP53" s="3397"/>
      <c r="AQ53" s="3397"/>
      <c r="AR53" s="3397"/>
      <c r="AS53" s="3397"/>
      <c r="AT53" s="3397"/>
      <c r="AU53" s="3397"/>
      <c r="AV53" s="3397"/>
      <c r="AW53" s="3397"/>
      <c r="AX53" s="3397"/>
      <c r="AY53" s="3397"/>
      <c r="AZ53" s="3397"/>
      <c r="BA53" s="3397"/>
      <c r="BB53" s="3397"/>
      <c r="BC53" s="3397"/>
      <c r="BD53" s="3397"/>
      <c r="BE53" s="3397"/>
      <c r="BF53" s="3397"/>
      <c r="BG53" s="3397"/>
      <c r="BH53" s="3397"/>
      <c r="BI53" s="3397"/>
      <c r="BJ53" s="3397"/>
      <c r="BK53" s="3397"/>
      <c r="BL53" s="3397"/>
      <c r="BM53" s="3397"/>
      <c r="BN53" s="3397"/>
      <c r="BO53" s="3397"/>
      <c r="BP53" s="3397"/>
      <c r="BQ53" s="3397"/>
      <c r="BR53" s="3397"/>
      <c r="BS53" s="3397"/>
      <c r="BT53" s="3397"/>
      <c r="BU53" s="3397"/>
      <c r="BV53" s="3397"/>
      <c r="BW53" s="3397"/>
      <c r="BX53" s="3397"/>
      <c r="BY53" s="3397"/>
      <c r="BZ53" s="3397"/>
    </row>
    <row r="54" spans="1:78" s="3616" customFormat="1" ht="14.25">
      <c r="A54" s="4276">
        <v>1</v>
      </c>
      <c r="B54" s="4276" t="s">
        <v>3693</v>
      </c>
      <c r="C54" s="3519" t="s">
        <v>3694</v>
      </c>
      <c r="D54" s="3536">
        <v>82.88</v>
      </c>
      <c r="E54" s="4270">
        <v>3113</v>
      </c>
      <c r="F54" s="4270">
        <v>3113</v>
      </c>
      <c r="G54" s="4270">
        <v>3113</v>
      </c>
      <c r="H54" s="4261" t="s">
        <v>3695</v>
      </c>
      <c r="I54" s="4207" t="s">
        <v>3690</v>
      </c>
      <c r="J54" s="4195">
        <v>423251.26</v>
      </c>
      <c r="K54" s="3660">
        <v>4.47</v>
      </c>
      <c r="L54" s="4283">
        <v>1.22</v>
      </c>
      <c r="M54" s="4283">
        <v>115518.24</v>
      </c>
      <c r="N54" s="3588"/>
      <c r="O54" s="3588"/>
      <c r="P54" s="3589"/>
      <c r="Q54" s="3589"/>
      <c r="R54" s="3589"/>
      <c r="S54" s="3589"/>
      <c r="T54" s="4283"/>
      <c r="U54" s="4195">
        <f>M54*3</f>
        <v>346554.72000000003</v>
      </c>
      <c r="V54" s="4195">
        <f>J54*3</f>
        <v>1269753.78</v>
      </c>
      <c r="W54" s="4195"/>
      <c r="X54" s="4195"/>
      <c r="Y54" s="4196">
        <f>U54+V54</f>
        <v>1616308.5</v>
      </c>
      <c r="Z54" s="3399"/>
      <c r="AA54" s="3505">
        <f t="shared" si="1"/>
        <v>134852.3904</v>
      </c>
      <c r="AB54" s="3505">
        <f t="shared" si="6"/>
        <v>135222.864</v>
      </c>
      <c r="AC54" s="3505">
        <f t="shared" si="6"/>
        <v>134852.3904</v>
      </c>
      <c r="AD54" s="3505">
        <f t="shared" si="6"/>
        <v>134852.3904</v>
      </c>
      <c r="AE54" s="3505">
        <f t="shared" si="6"/>
        <v>134852.3904</v>
      </c>
      <c r="AF54" s="3505">
        <f t="shared" si="6"/>
        <v>135222.864</v>
      </c>
      <c r="AG54" s="3505">
        <f t="shared" si="6"/>
        <v>134852.3904</v>
      </c>
      <c r="AH54" s="3505">
        <f t="shared" si="6"/>
        <v>134852.3904</v>
      </c>
      <c r="AI54" s="3505">
        <f t="shared" si="6"/>
        <v>134852.3904</v>
      </c>
      <c r="AJ54" s="3505">
        <f t="shared" si="6"/>
        <v>135222.864</v>
      </c>
      <c r="AK54" s="3505">
        <f t="shared" si="6"/>
        <v>134852.3904</v>
      </c>
      <c r="AL54" s="3505">
        <f t="shared" si="6"/>
        <v>134852.3904</v>
      </c>
      <c r="AM54" s="3397"/>
      <c r="AN54" s="3397"/>
      <c r="AO54" s="3397"/>
      <c r="AP54" s="3397"/>
      <c r="AQ54" s="3397"/>
      <c r="AR54" s="3397"/>
      <c r="AS54" s="3397"/>
      <c r="AT54" s="3397"/>
      <c r="AU54" s="3397"/>
      <c r="AV54" s="3397"/>
      <c r="AW54" s="3397"/>
      <c r="AX54" s="3397"/>
      <c r="AY54" s="3397"/>
      <c r="AZ54" s="3397"/>
      <c r="BA54" s="3397"/>
      <c r="BB54" s="3397"/>
      <c r="BC54" s="3397"/>
      <c r="BD54" s="3397"/>
      <c r="BE54" s="3397"/>
      <c r="BF54" s="3397"/>
      <c r="BG54" s="3397"/>
      <c r="BH54" s="3397"/>
      <c r="BI54" s="3397"/>
      <c r="BJ54" s="3397"/>
      <c r="BK54" s="3397"/>
      <c r="BL54" s="3397"/>
      <c r="BM54" s="3397"/>
      <c r="BN54" s="3397"/>
      <c r="BO54" s="3397"/>
      <c r="BP54" s="3397"/>
      <c r="BQ54" s="3397"/>
      <c r="BR54" s="3397"/>
      <c r="BS54" s="3397"/>
      <c r="BT54" s="3397"/>
      <c r="BU54" s="3397"/>
      <c r="BV54" s="3397"/>
      <c r="BW54" s="3397"/>
      <c r="BX54" s="3397"/>
      <c r="BY54" s="3397"/>
      <c r="BZ54" s="3397"/>
    </row>
    <row r="55" spans="1:78" s="3616" customFormat="1" ht="27">
      <c r="A55" s="4209"/>
      <c r="B55" s="4209"/>
      <c r="C55" s="3519" t="s">
        <v>3696</v>
      </c>
      <c r="D55" s="3536">
        <v>236.94</v>
      </c>
      <c r="E55" s="4277"/>
      <c r="F55" s="4277"/>
      <c r="G55" s="4277"/>
      <c r="H55" s="4261"/>
      <c r="I55" s="4257"/>
      <c r="J55" s="4195"/>
      <c r="K55" s="3589">
        <f>K54</f>
        <v>4.47</v>
      </c>
      <c r="L55" s="4283"/>
      <c r="M55" s="4283"/>
      <c r="N55" s="3588"/>
      <c r="O55" s="3588"/>
      <c r="P55" s="3589"/>
      <c r="Q55" s="3589"/>
      <c r="R55" s="3589"/>
      <c r="S55" s="3589"/>
      <c r="T55" s="4283"/>
      <c r="U55" s="4195"/>
      <c r="V55" s="4195"/>
      <c r="W55" s="4195"/>
      <c r="X55" s="4195"/>
      <c r="Y55" s="4197"/>
      <c r="Z55" s="3399"/>
      <c r="AA55" s="3505">
        <f t="shared" si="1"/>
        <v>385520.33519999997</v>
      </c>
      <c r="AB55" s="3505">
        <f t="shared" si="6"/>
        <v>386579.45699999994</v>
      </c>
      <c r="AC55" s="3505">
        <f t="shared" si="6"/>
        <v>385520.33519999997</v>
      </c>
      <c r="AD55" s="3505">
        <f t="shared" si="6"/>
        <v>385520.33519999997</v>
      </c>
      <c r="AE55" s="3505">
        <f t="shared" si="6"/>
        <v>385520.33519999997</v>
      </c>
      <c r="AF55" s="3505">
        <f t="shared" si="6"/>
        <v>386579.45699999994</v>
      </c>
      <c r="AG55" s="3505">
        <f t="shared" si="6"/>
        <v>385520.33519999997</v>
      </c>
      <c r="AH55" s="3505">
        <f t="shared" si="6"/>
        <v>385520.33519999997</v>
      </c>
      <c r="AI55" s="3505">
        <f t="shared" si="6"/>
        <v>385520.33519999997</v>
      </c>
      <c r="AJ55" s="3505">
        <f t="shared" si="6"/>
        <v>386579.45699999994</v>
      </c>
      <c r="AK55" s="3505">
        <f t="shared" si="6"/>
        <v>385520.33519999997</v>
      </c>
      <c r="AL55" s="3505">
        <f t="shared" si="6"/>
        <v>385520.33519999997</v>
      </c>
      <c r="AM55" s="3397"/>
      <c r="AN55" s="3397"/>
      <c r="AO55" s="3397"/>
      <c r="AP55" s="3397"/>
      <c r="AQ55" s="3397"/>
      <c r="AR55" s="3397"/>
      <c r="AS55" s="3397"/>
      <c r="AT55" s="3397"/>
      <c r="AU55" s="3397"/>
      <c r="AV55" s="3397"/>
      <c r="AW55" s="3397"/>
      <c r="AX55" s="3397"/>
      <c r="AY55" s="3397"/>
      <c r="AZ55" s="3397"/>
      <c r="BA55" s="3397"/>
      <c r="BB55" s="3397"/>
      <c r="BC55" s="3397"/>
      <c r="BD55" s="3397"/>
      <c r="BE55" s="3397"/>
      <c r="BF55" s="3397"/>
      <c r="BG55" s="3397"/>
      <c r="BH55" s="3397"/>
      <c r="BI55" s="3397"/>
      <c r="BJ55" s="3397"/>
      <c r="BK55" s="3397"/>
      <c r="BL55" s="3397"/>
      <c r="BM55" s="3397"/>
      <c r="BN55" s="3397"/>
      <c r="BO55" s="3397"/>
      <c r="BP55" s="3397"/>
      <c r="BQ55" s="3397"/>
      <c r="BR55" s="3397"/>
      <c r="BS55" s="3397"/>
      <c r="BT55" s="3397"/>
      <c r="BU55" s="3397"/>
      <c r="BV55" s="3397"/>
      <c r="BW55" s="3397"/>
      <c r="BX55" s="3397"/>
      <c r="BY55" s="3397"/>
      <c r="BZ55" s="3397"/>
    </row>
    <row r="56" spans="1:78" s="3616" customFormat="1" ht="14.25">
      <c r="A56" s="4209"/>
      <c r="B56" s="4209"/>
      <c r="C56" s="3519" t="s">
        <v>3697</v>
      </c>
      <c r="D56" s="3536">
        <v>128.36000000000001</v>
      </c>
      <c r="E56" s="4277"/>
      <c r="F56" s="4277"/>
      <c r="G56" s="4277"/>
      <c r="H56" s="4261"/>
      <c r="I56" s="4257"/>
      <c r="J56" s="4195"/>
      <c r="K56" s="3589">
        <f t="shared" ref="K56:K66" si="7">K55</f>
        <v>4.47</v>
      </c>
      <c r="L56" s="4283"/>
      <c r="M56" s="4283"/>
      <c r="N56" s="3588"/>
      <c r="O56" s="3588"/>
      <c r="P56" s="3589"/>
      <c r="Q56" s="3589"/>
      <c r="R56" s="3589"/>
      <c r="S56" s="3589"/>
      <c r="T56" s="4283"/>
      <c r="U56" s="4195"/>
      <c r="V56" s="4195"/>
      <c r="W56" s="4195"/>
      <c r="X56" s="4195"/>
      <c r="Y56" s="4197"/>
      <c r="Z56" s="3399"/>
      <c r="AA56" s="3505">
        <f t="shared" si="1"/>
        <v>208851.98880000002</v>
      </c>
      <c r="AB56" s="3505">
        <f t="shared" si="6"/>
        <v>209425.75800000003</v>
      </c>
      <c r="AC56" s="3505">
        <f t="shared" si="6"/>
        <v>208851.98880000002</v>
      </c>
      <c r="AD56" s="3505">
        <f t="shared" si="6"/>
        <v>208851.98880000002</v>
      </c>
      <c r="AE56" s="3505">
        <f t="shared" si="6"/>
        <v>208851.98880000002</v>
      </c>
      <c r="AF56" s="3505">
        <f t="shared" si="6"/>
        <v>209425.75800000003</v>
      </c>
      <c r="AG56" s="3505">
        <f t="shared" si="6"/>
        <v>208851.98880000002</v>
      </c>
      <c r="AH56" s="3505">
        <f t="shared" si="6"/>
        <v>208851.98880000002</v>
      </c>
      <c r="AI56" s="3505">
        <f t="shared" si="6"/>
        <v>208851.98880000002</v>
      </c>
      <c r="AJ56" s="3505">
        <f t="shared" si="6"/>
        <v>209425.75800000003</v>
      </c>
      <c r="AK56" s="3505">
        <f t="shared" si="6"/>
        <v>208851.98880000002</v>
      </c>
      <c r="AL56" s="3505">
        <f t="shared" si="6"/>
        <v>208851.98880000002</v>
      </c>
      <c r="AM56" s="3397"/>
      <c r="AN56" s="3397"/>
      <c r="AO56" s="3397"/>
      <c r="AP56" s="3397"/>
      <c r="AQ56" s="3397"/>
      <c r="AR56" s="3397"/>
      <c r="AS56" s="3397"/>
      <c r="AT56" s="3397"/>
      <c r="AU56" s="3397"/>
      <c r="AV56" s="3397"/>
      <c r="AW56" s="3397"/>
      <c r="AX56" s="3397"/>
      <c r="AY56" s="3397"/>
      <c r="AZ56" s="3397"/>
      <c r="BA56" s="3397"/>
      <c r="BB56" s="3397"/>
      <c r="BC56" s="3397"/>
      <c r="BD56" s="3397"/>
      <c r="BE56" s="3397"/>
      <c r="BF56" s="3397"/>
      <c r="BG56" s="3397"/>
      <c r="BH56" s="3397"/>
      <c r="BI56" s="3397"/>
      <c r="BJ56" s="3397"/>
      <c r="BK56" s="3397"/>
      <c r="BL56" s="3397"/>
      <c r="BM56" s="3397"/>
      <c r="BN56" s="3397"/>
      <c r="BO56" s="3397"/>
      <c r="BP56" s="3397"/>
      <c r="BQ56" s="3397"/>
      <c r="BR56" s="3397"/>
      <c r="BS56" s="3397"/>
      <c r="BT56" s="3397"/>
      <c r="BU56" s="3397"/>
      <c r="BV56" s="3397"/>
      <c r="BW56" s="3397"/>
      <c r="BX56" s="3397"/>
      <c r="BY56" s="3397"/>
      <c r="BZ56" s="3397"/>
    </row>
    <row r="57" spans="1:78" s="3616" customFormat="1" ht="14.25">
      <c r="A57" s="4209"/>
      <c r="B57" s="4209"/>
      <c r="C57" s="3519" t="s">
        <v>3698</v>
      </c>
      <c r="D57" s="3536">
        <v>114.32</v>
      </c>
      <c r="E57" s="4277"/>
      <c r="F57" s="4277"/>
      <c r="G57" s="4277"/>
      <c r="H57" s="4261"/>
      <c r="I57" s="4257"/>
      <c r="J57" s="4195"/>
      <c r="K57" s="3589">
        <f t="shared" si="7"/>
        <v>4.47</v>
      </c>
      <c r="L57" s="4283"/>
      <c r="M57" s="4283"/>
      <c r="N57" s="3588"/>
      <c r="O57" s="3588"/>
      <c r="P57" s="3589"/>
      <c r="Q57" s="3589"/>
      <c r="R57" s="3589"/>
      <c r="S57" s="3589"/>
      <c r="T57" s="4283"/>
      <c r="U57" s="4195"/>
      <c r="V57" s="4195"/>
      <c r="W57" s="4195"/>
      <c r="X57" s="4195"/>
      <c r="Y57" s="4197"/>
      <c r="Z57" s="3399"/>
      <c r="AA57" s="3505">
        <f t="shared" si="1"/>
        <v>186007.78559999997</v>
      </c>
      <c r="AB57" s="3505">
        <f t="shared" si="6"/>
        <v>186518.79599999997</v>
      </c>
      <c r="AC57" s="3505">
        <f t="shared" si="6"/>
        <v>186007.78559999997</v>
      </c>
      <c r="AD57" s="3505">
        <f t="shared" si="6"/>
        <v>186007.78559999997</v>
      </c>
      <c r="AE57" s="3505">
        <f t="shared" si="6"/>
        <v>186007.78559999997</v>
      </c>
      <c r="AF57" s="3505">
        <f t="shared" si="6"/>
        <v>186518.79599999997</v>
      </c>
      <c r="AG57" s="3505">
        <f t="shared" si="6"/>
        <v>186007.78559999997</v>
      </c>
      <c r="AH57" s="3505">
        <f t="shared" si="6"/>
        <v>186007.78559999997</v>
      </c>
      <c r="AI57" s="3505">
        <f t="shared" si="6"/>
        <v>186007.78559999997</v>
      </c>
      <c r="AJ57" s="3505">
        <f t="shared" si="6"/>
        <v>186518.79599999997</v>
      </c>
      <c r="AK57" s="3505">
        <f t="shared" si="6"/>
        <v>186007.78559999997</v>
      </c>
      <c r="AL57" s="3505">
        <f t="shared" si="6"/>
        <v>186007.78559999997</v>
      </c>
      <c r="AM57" s="3397"/>
      <c r="AN57" s="3397"/>
      <c r="AO57" s="3397"/>
      <c r="AP57" s="3397"/>
      <c r="AQ57" s="3397"/>
      <c r="AR57" s="3397"/>
      <c r="AS57" s="3397"/>
      <c r="AT57" s="3397"/>
      <c r="AU57" s="3397"/>
      <c r="AV57" s="3397"/>
      <c r="AW57" s="3397"/>
      <c r="AX57" s="3397"/>
      <c r="AY57" s="3397"/>
      <c r="AZ57" s="3397"/>
      <c r="BA57" s="3397"/>
      <c r="BB57" s="3397"/>
      <c r="BC57" s="3397"/>
      <c r="BD57" s="3397"/>
      <c r="BE57" s="3397"/>
      <c r="BF57" s="3397"/>
      <c r="BG57" s="3397"/>
      <c r="BH57" s="3397"/>
      <c r="BI57" s="3397"/>
      <c r="BJ57" s="3397"/>
      <c r="BK57" s="3397"/>
      <c r="BL57" s="3397"/>
      <c r="BM57" s="3397"/>
      <c r="BN57" s="3397"/>
      <c r="BO57" s="3397"/>
      <c r="BP57" s="3397"/>
      <c r="BQ57" s="3397"/>
      <c r="BR57" s="3397"/>
      <c r="BS57" s="3397"/>
      <c r="BT57" s="3397"/>
      <c r="BU57" s="3397"/>
      <c r="BV57" s="3397"/>
      <c r="BW57" s="3397"/>
      <c r="BX57" s="3397"/>
      <c r="BY57" s="3397"/>
      <c r="BZ57" s="3397"/>
    </row>
    <row r="58" spans="1:78" s="3616" customFormat="1" ht="14.25">
      <c r="A58" s="4209"/>
      <c r="B58" s="4209"/>
      <c r="C58" s="3519" t="s">
        <v>3699</v>
      </c>
      <c r="D58" s="3536">
        <v>58.68</v>
      </c>
      <c r="E58" s="4277"/>
      <c r="F58" s="4277"/>
      <c r="G58" s="4277"/>
      <c r="H58" s="4261"/>
      <c r="I58" s="4257"/>
      <c r="J58" s="4195"/>
      <c r="K58" s="3589">
        <f t="shared" si="7"/>
        <v>4.47</v>
      </c>
      <c r="L58" s="4283"/>
      <c r="M58" s="4283"/>
      <c r="N58" s="3588"/>
      <c r="O58" s="3588"/>
      <c r="P58" s="3589"/>
      <c r="Q58" s="3589"/>
      <c r="R58" s="3589"/>
      <c r="S58" s="3589"/>
      <c r="T58" s="4283"/>
      <c r="U58" s="4195"/>
      <c r="V58" s="4195"/>
      <c r="W58" s="4195"/>
      <c r="X58" s="4195"/>
      <c r="Y58" s="4197"/>
      <c r="Z58" s="3399"/>
      <c r="AA58" s="3505">
        <f t="shared" si="1"/>
        <v>95477.054399999994</v>
      </c>
      <c r="AB58" s="3505">
        <f t="shared" si="6"/>
        <v>95739.353999999992</v>
      </c>
      <c r="AC58" s="3505">
        <f t="shared" si="6"/>
        <v>95477.054399999994</v>
      </c>
      <c r="AD58" s="3505">
        <f t="shared" si="6"/>
        <v>95477.054399999994</v>
      </c>
      <c r="AE58" s="3505">
        <f t="shared" si="6"/>
        <v>95477.054399999994</v>
      </c>
      <c r="AF58" s="3505">
        <f t="shared" si="6"/>
        <v>95739.353999999992</v>
      </c>
      <c r="AG58" s="3505">
        <f t="shared" si="6"/>
        <v>95477.054399999994</v>
      </c>
      <c r="AH58" s="3505">
        <f t="shared" si="6"/>
        <v>95477.054399999994</v>
      </c>
      <c r="AI58" s="3505">
        <f t="shared" si="6"/>
        <v>95477.054399999994</v>
      </c>
      <c r="AJ58" s="3505">
        <f t="shared" si="6"/>
        <v>95739.353999999992</v>
      </c>
      <c r="AK58" s="3505">
        <f t="shared" si="6"/>
        <v>95477.054399999994</v>
      </c>
      <c r="AL58" s="3505">
        <f t="shared" si="6"/>
        <v>95477.054399999994</v>
      </c>
      <c r="AM58" s="3397"/>
      <c r="AN58" s="3397"/>
      <c r="AO58" s="3397"/>
      <c r="AP58" s="3397"/>
      <c r="AQ58" s="3397"/>
      <c r="AR58" s="3397"/>
      <c r="AS58" s="3397"/>
      <c r="AT58" s="3397"/>
      <c r="AU58" s="3397"/>
      <c r="AV58" s="3397"/>
      <c r="AW58" s="3397"/>
      <c r="AX58" s="3397"/>
      <c r="AY58" s="3397"/>
      <c r="AZ58" s="3397"/>
      <c r="BA58" s="3397"/>
      <c r="BB58" s="3397"/>
      <c r="BC58" s="3397"/>
      <c r="BD58" s="3397"/>
      <c r="BE58" s="3397"/>
      <c r="BF58" s="3397"/>
      <c r="BG58" s="3397"/>
      <c r="BH58" s="3397"/>
      <c r="BI58" s="3397"/>
      <c r="BJ58" s="3397"/>
      <c r="BK58" s="3397"/>
      <c r="BL58" s="3397"/>
      <c r="BM58" s="3397"/>
      <c r="BN58" s="3397"/>
      <c r="BO58" s="3397"/>
      <c r="BP58" s="3397"/>
      <c r="BQ58" s="3397"/>
      <c r="BR58" s="3397"/>
      <c r="BS58" s="3397"/>
      <c r="BT58" s="3397"/>
      <c r="BU58" s="3397"/>
      <c r="BV58" s="3397"/>
      <c r="BW58" s="3397"/>
      <c r="BX58" s="3397"/>
      <c r="BY58" s="3397"/>
      <c r="BZ58" s="3397"/>
    </row>
    <row r="59" spans="1:78" s="3616" customFormat="1" ht="14.25">
      <c r="A59" s="4209"/>
      <c r="B59" s="4209"/>
      <c r="C59" s="3519" t="s">
        <v>3700</v>
      </c>
      <c r="D59" s="3536">
        <v>1846.87</v>
      </c>
      <c r="E59" s="4277"/>
      <c r="F59" s="4277"/>
      <c r="G59" s="4277"/>
      <c r="H59" s="4261"/>
      <c r="I59" s="4257"/>
      <c r="J59" s="4195"/>
      <c r="K59" s="3589">
        <f t="shared" si="7"/>
        <v>4.47</v>
      </c>
      <c r="L59" s="4283"/>
      <c r="M59" s="4283"/>
      <c r="N59" s="3588"/>
      <c r="O59" s="3588"/>
      <c r="P59" s="3589"/>
      <c r="Q59" s="3589"/>
      <c r="R59" s="3589"/>
      <c r="S59" s="3589"/>
      <c r="T59" s="4283"/>
      <c r="U59" s="4195"/>
      <c r="V59" s="4195"/>
      <c r="W59" s="4195"/>
      <c r="X59" s="4195"/>
      <c r="Y59" s="4197"/>
      <c r="Z59" s="3399"/>
      <c r="AA59" s="3505">
        <f t="shared" si="1"/>
        <v>3005005.2395999995</v>
      </c>
      <c r="AB59" s="3505">
        <f t="shared" si="6"/>
        <v>3013260.7484999998</v>
      </c>
      <c r="AC59" s="3505">
        <f t="shared" si="6"/>
        <v>3005005.2395999995</v>
      </c>
      <c r="AD59" s="3505">
        <f t="shared" si="6"/>
        <v>3005005.2395999995</v>
      </c>
      <c r="AE59" s="3505">
        <f t="shared" si="6"/>
        <v>3005005.2395999995</v>
      </c>
      <c r="AF59" s="3505">
        <f t="shared" si="6"/>
        <v>3013260.7484999998</v>
      </c>
      <c r="AG59" s="3505">
        <f t="shared" si="6"/>
        <v>3005005.2395999995</v>
      </c>
      <c r="AH59" s="3505">
        <f t="shared" si="6"/>
        <v>3005005.2395999995</v>
      </c>
      <c r="AI59" s="3505">
        <f t="shared" si="6"/>
        <v>3005005.2395999995</v>
      </c>
      <c r="AJ59" s="3505">
        <f t="shared" si="6"/>
        <v>3013260.7484999998</v>
      </c>
      <c r="AK59" s="3505">
        <f t="shared" si="6"/>
        <v>3005005.2395999995</v>
      </c>
      <c r="AL59" s="3505">
        <f t="shared" si="6"/>
        <v>3005005.2395999995</v>
      </c>
      <c r="AM59" s="3397"/>
      <c r="AN59" s="3397"/>
      <c r="AO59" s="3397"/>
      <c r="AP59" s="3397"/>
      <c r="AQ59" s="3397"/>
      <c r="AR59" s="3397"/>
      <c r="AS59" s="3397"/>
      <c r="AT59" s="3397"/>
      <c r="AU59" s="3397"/>
      <c r="AV59" s="3397"/>
      <c r="AW59" s="3397"/>
      <c r="AX59" s="3397"/>
      <c r="AY59" s="3397"/>
      <c r="AZ59" s="3397"/>
      <c r="BA59" s="3397"/>
      <c r="BB59" s="3397"/>
      <c r="BC59" s="3397"/>
      <c r="BD59" s="3397"/>
      <c r="BE59" s="3397"/>
      <c r="BF59" s="3397"/>
      <c r="BG59" s="3397"/>
      <c r="BH59" s="3397"/>
      <c r="BI59" s="3397"/>
      <c r="BJ59" s="3397"/>
      <c r="BK59" s="3397"/>
      <c r="BL59" s="3397"/>
      <c r="BM59" s="3397"/>
      <c r="BN59" s="3397"/>
      <c r="BO59" s="3397"/>
      <c r="BP59" s="3397"/>
      <c r="BQ59" s="3397"/>
      <c r="BR59" s="3397"/>
      <c r="BS59" s="3397"/>
      <c r="BT59" s="3397"/>
      <c r="BU59" s="3397"/>
      <c r="BV59" s="3397"/>
      <c r="BW59" s="3397"/>
      <c r="BX59" s="3397"/>
      <c r="BY59" s="3397"/>
      <c r="BZ59" s="3397"/>
    </row>
    <row r="60" spans="1:78" s="3616" customFormat="1" ht="27">
      <c r="A60" s="4209"/>
      <c r="B60" s="4209"/>
      <c r="C60" s="3519" t="s">
        <v>3701</v>
      </c>
      <c r="D60" s="3536">
        <v>344.07</v>
      </c>
      <c r="E60" s="4277"/>
      <c r="F60" s="4277"/>
      <c r="G60" s="4277"/>
      <c r="H60" s="4261"/>
      <c r="I60" s="4257"/>
      <c r="J60" s="4195"/>
      <c r="K60" s="3589">
        <f t="shared" si="7"/>
        <v>4.47</v>
      </c>
      <c r="L60" s="4283"/>
      <c r="M60" s="4283"/>
      <c r="N60" s="3588"/>
      <c r="O60" s="3588"/>
      <c r="P60" s="3589"/>
      <c r="Q60" s="3589"/>
      <c r="R60" s="3589"/>
      <c r="S60" s="3589"/>
      <c r="T60" s="4283"/>
      <c r="U60" s="4195"/>
      <c r="V60" s="4195"/>
      <c r="W60" s="4195"/>
      <c r="X60" s="4195"/>
      <c r="Y60" s="4197"/>
      <c r="Z60" s="3399"/>
      <c r="AA60" s="3505">
        <f t="shared" si="1"/>
        <v>559829.41559999995</v>
      </c>
      <c r="AB60" s="3505">
        <f t="shared" si="6"/>
        <v>561367.40850000002</v>
      </c>
      <c r="AC60" s="3505">
        <f t="shared" si="6"/>
        <v>559829.41559999995</v>
      </c>
      <c r="AD60" s="3505">
        <f t="shared" si="6"/>
        <v>559829.41559999995</v>
      </c>
      <c r="AE60" s="3505">
        <f t="shared" si="6"/>
        <v>559829.41559999995</v>
      </c>
      <c r="AF60" s="3505">
        <f t="shared" si="6"/>
        <v>561367.40850000002</v>
      </c>
      <c r="AG60" s="3505">
        <f t="shared" si="6"/>
        <v>559829.41559999995</v>
      </c>
      <c r="AH60" s="3505">
        <f t="shared" si="6"/>
        <v>559829.41559999995</v>
      </c>
      <c r="AI60" s="3505">
        <f t="shared" si="6"/>
        <v>559829.41559999995</v>
      </c>
      <c r="AJ60" s="3505">
        <f t="shared" si="6"/>
        <v>561367.40850000002</v>
      </c>
      <c r="AK60" s="3505">
        <f t="shared" si="6"/>
        <v>559829.41559999995</v>
      </c>
      <c r="AL60" s="3505">
        <f t="shared" si="6"/>
        <v>559829.41559999995</v>
      </c>
      <c r="AM60" s="3397"/>
      <c r="AN60" s="3397"/>
      <c r="AO60" s="3397"/>
      <c r="AP60" s="3397"/>
      <c r="AQ60" s="3397"/>
      <c r="AR60" s="3397"/>
      <c r="AS60" s="3397"/>
      <c r="AT60" s="3397"/>
      <c r="AU60" s="3397"/>
      <c r="AV60" s="3397"/>
      <c r="AW60" s="3397"/>
      <c r="AX60" s="3397"/>
      <c r="AY60" s="3397"/>
      <c r="AZ60" s="3397"/>
      <c r="BA60" s="3397"/>
      <c r="BB60" s="3397"/>
      <c r="BC60" s="3397"/>
      <c r="BD60" s="3397"/>
      <c r="BE60" s="3397"/>
      <c r="BF60" s="3397"/>
      <c r="BG60" s="3397"/>
      <c r="BH60" s="3397"/>
      <c r="BI60" s="3397"/>
      <c r="BJ60" s="3397"/>
      <c r="BK60" s="3397"/>
      <c r="BL60" s="3397"/>
      <c r="BM60" s="3397"/>
      <c r="BN60" s="3397"/>
      <c r="BO60" s="3397"/>
      <c r="BP60" s="3397"/>
      <c r="BQ60" s="3397"/>
      <c r="BR60" s="3397"/>
      <c r="BS60" s="3397"/>
      <c r="BT60" s="3397"/>
      <c r="BU60" s="3397"/>
      <c r="BV60" s="3397"/>
      <c r="BW60" s="3397"/>
      <c r="BX60" s="3397"/>
      <c r="BY60" s="3397"/>
      <c r="BZ60" s="3397"/>
    </row>
    <row r="61" spans="1:78" s="3616" customFormat="1" ht="14.25">
      <c r="A61" s="4209"/>
      <c r="B61" s="4209"/>
      <c r="C61" s="3519" t="s">
        <v>3702</v>
      </c>
      <c r="D61" s="3536">
        <v>191.9</v>
      </c>
      <c r="E61" s="4277"/>
      <c r="F61" s="4277"/>
      <c r="G61" s="4277"/>
      <c r="H61" s="4261"/>
      <c r="I61" s="4257"/>
      <c r="J61" s="4195"/>
      <c r="K61" s="3589">
        <f t="shared" si="7"/>
        <v>4.47</v>
      </c>
      <c r="L61" s="4283"/>
      <c r="M61" s="4283"/>
      <c r="N61" s="3588"/>
      <c r="O61" s="3588"/>
      <c r="P61" s="3589"/>
      <c r="Q61" s="3589"/>
      <c r="R61" s="3589"/>
      <c r="S61" s="3589"/>
      <c r="T61" s="4283"/>
      <c r="U61" s="4195"/>
      <c r="V61" s="4195"/>
      <c r="W61" s="4195"/>
      <c r="X61" s="4195"/>
      <c r="Y61" s="4197"/>
      <c r="Z61" s="3399"/>
      <c r="AA61" s="3505">
        <f t="shared" si="1"/>
        <v>312236.652</v>
      </c>
      <c r="AB61" s="3505">
        <f t="shared" si="6"/>
        <v>313094.44500000001</v>
      </c>
      <c r="AC61" s="3505">
        <f t="shared" si="6"/>
        <v>312236.652</v>
      </c>
      <c r="AD61" s="3505">
        <f t="shared" si="6"/>
        <v>312236.652</v>
      </c>
      <c r="AE61" s="3505">
        <f t="shared" si="6"/>
        <v>312236.652</v>
      </c>
      <c r="AF61" s="3505">
        <f t="shared" si="6"/>
        <v>313094.44500000001</v>
      </c>
      <c r="AG61" s="3505">
        <f t="shared" si="6"/>
        <v>312236.652</v>
      </c>
      <c r="AH61" s="3505">
        <f t="shared" si="6"/>
        <v>312236.652</v>
      </c>
      <c r="AI61" s="3505">
        <f t="shared" si="6"/>
        <v>312236.652</v>
      </c>
      <c r="AJ61" s="3505">
        <f t="shared" si="6"/>
        <v>313094.44500000001</v>
      </c>
      <c r="AK61" s="3505">
        <f t="shared" si="6"/>
        <v>312236.652</v>
      </c>
      <c r="AL61" s="3505">
        <f t="shared" si="6"/>
        <v>312236.652</v>
      </c>
      <c r="AM61" s="3397"/>
      <c r="AN61" s="3397"/>
      <c r="AO61" s="3397"/>
      <c r="AP61" s="3397"/>
      <c r="AQ61" s="3397"/>
      <c r="AR61" s="3397"/>
      <c r="AS61" s="3397"/>
      <c r="AT61" s="3397"/>
      <c r="AU61" s="3397"/>
      <c r="AV61" s="3397"/>
      <c r="AW61" s="3397"/>
      <c r="AX61" s="3397"/>
      <c r="AY61" s="3397"/>
      <c r="AZ61" s="3397"/>
      <c r="BA61" s="3397"/>
      <c r="BB61" s="3397"/>
      <c r="BC61" s="3397"/>
      <c r="BD61" s="3397"/>
      <c r="BE61" s="3397"/>
      <c r="BF61" s="3397"/>
      <c r="BG61" s="3397"/>
      <c r="BH61" s="3397"/>
      <c r="BI61" s="3397"/>
      <c r="BJ61" s="3397"/>
      <c r="BK61" s="3397"/>
      <c r="BL61" s="3397"/>
      <c r="BM61" s="3397"/>
      <c r="BN61" s="3397"/>
      <c r="BO61" s="3397"/>
      <c r="BP61" s="3397"/>
      <c r="BQ61" s="3397"/>
      <c r="BR61" s="3397"/>
      <c r="BS61" s="3397"/>
      <c r="BT61" s="3397"/>
      <c r="BU61" s="3397"/>
      <c r="BV61" s="3397"/>
      <c r="BW61" s="3397"/>
      <c r="BX61" s="3397"/>
      <c r="BY61" s="3397"/>
      <c r="BZ61" s="3397"/>
    </row>
    <row r="62" spans="1:78" s="3616" customFormat="1" ht="14.25">
      <c r="A62" s="4209"/>
      <c r="B62" s="4209"/>
      <c r="C62" s="3519" t="s">
        <v>3703</v>
      </c>
      <c r="D62" s="3536">
        <v>81.5</v>
      </c>
      <c r="E62" s="4277"/>
      <c r="F62" s="4277"/>
      <c r="G62" s="4277"/>
      <c r="H62" s="4261"/>
      <c r="I62" s="4257"/>
      <c r="J62" s="4195"/>
      <c r="K62" s="3589">
        <f t="shared" si="7"/>
        <v>4.47</v>
      </c>
      <c r="L62" s="4283"/>
      <c r="M62" s="4283"/>
      <c r="N62" s="3588"/>
      <c r="O62" s="3588"/>
      <c r="P62" s="3589"/>
      <c r="Q62" s="3589"/>
      <c r="R62" s="3589"/>
      <c r="S62" s="3589"/>
      <c r="T62" s="4283"/>
      <c r="U62" s="4195"/>
      <c r="V62" s="4195"/>
      <c r="W62" s="4195"/>
      <c r="X62" s="4195"/>
      <c r="Y62" s="4197"/>
      <c r="Z62" s="3399"/>
      <c r="AA62" s="3505">
        <f t="shared" si="1"/>
        <v>132607.01999999999</v>
      </c>
      <c r="AB62" s="3505">
        <f t="shared" si="6"/>
        <v>132971.32500000001</v>
      </c>
      <c r="AC62" s="3505">
        <f t="shared" si="6"/>
        <v>132607.01999999999</v>
      </c>
      <c r="AD62" s="3505">
        <f t="shared" si="6"/>
        <v>132607.01999999999</v>
      </c>
      <c r="AE62" s="3505">
        <f t="shared" si="6"/>
        <v>132607.01999999999</v>
      </c>
      <c r="AF62" s="3505">
        <f t="shared" si="6"/>
        <v>132971.32500000001</v>
      </c>
      <c r="AG62" s="3505">
        <f t="shared" si="6"/>
        <v>132607.01999999999</v>
      </c>
      <c r="AH62" s="3505">
        <f t="shared" si="6"/>
        <v>132607.01999999999</v>
      </c>
      <c r="AI62" s="3505">
        <f t="shared" si="6"/>
        <v>132607.01999999999</v>
      </c>
      <c r="AJ62" s="3505">
        <f t="shared" si="6"/>
        <v>132971.32500000001</v>
      </c>
      <c r="AK62" s="3505">
        <f t="shared" si="6"/>
        <v>132607.01999999999</v>
      </c>
      <c r="AL62" s="3505">
        <f t="shared" si="6"/>
        <v>132607.01999999999</v>
      </c>
      <c r="AM62" s="3397"/>
      <c r="AN62" s="3397"/>
      <c r="AO62" s="3397"/>
      <c r="AP62" s="3397"/>
      <c r="AQ62" s="3397"/>
      <c r="AR62" s="3397"/>
      <c r="AS62" s="3397"/>
      <c r="AT62" s="3397"/>
      <c r="AU62" s="3397"/>
      <c r="AV62" s="3397"/>
      <c r="AW62" s="3397"/>
      <c r="AX62" s="3397"/>
      <c r="AY62" s="3397"/>
      <c r="AZ62" s="3397"/>
      <c r="BA62" s="3397"/>
      <c r="BB62" s="3397"/>
      <c r="BC62" s="3397"/>
      <c r="BD62" s="3397"/>
      <c r="BE62" s="3397"/>
      <c r="BF62" s="3397"/>
      <c r="BG62" s="3397"/>
      <c r="BH62" s="3397"/>
      <c r="BI62" s="3397"/>
      <c r="BJ62" s="3397"/>
      <c r="BK62" s="3397"/>
      <c r="BL62" s="3397"/>
      <c r="BM62" s="3397"/>
      <c r="BN62" s="3397"/>
      <c r="BO62" s="3397"/>
      <c r="BP62" s="3397"/>
      <c r="BQ62" s="3397"/>
      <c r="BR62" s="3397"/>
      <c r="BS62" s="3397"/>
      <c r="BT62" s="3397"/>
      <c r="BU62" s="3397"/>
      <c r="BV62" s="3397"/>
      <c r="BW62" s="3397"/>
      <c r="BX62" s="3397"/>
      <c r="BY62" s="3397"/>
      <c r="BZ62" s="3397"/>
    </row>
    <row r="63" spans="1:78" s="3616" customFormat="1" ht="14.25">
      <c r="A63" s="4209"/>
      <c r="B63" s="4209"/>
      <c r="C63" s="3519" t="s">
        <v>3704</v>
      </c>
      <c r="D63" s="3536">
        <v>272.27</v>
      </c>
      <c r="E63" s="4277"/>
      <c r="F63" s="4277"/>
      <c r="G63" s="4277"/>
      <c r="H63" s="4261"/>
      <c r="I63" s="4257"/>
      <c r="J63" s="4195"/>
      <c r="K63" s="3589">
        <f t="shared" si="7"/>
        <v>4.47</v>
      </c>
      <c r="L63" s="4283"/>
      <c r="M63" s="4283"/>
      <c r="N63" s="3588"/>
      <c r="O63" s="3588"/>
      <c r="P63" s="3589"/>
      <c r="Q63" s="3589"/>
      <c r="R63" s="3589"/>
      <c r="S63" s="3589"/>
      <c r="T63" s="4283"/>
      <c r="U63" s="4195"/>
      <c r="V63" s="4195"/>
      <c r="W63" s="4195"/>
      <c r="X63" s="4195"/>
      <c r="Y63" s="4197"/>
      <c r="Z63" s="3399"/>
      <c r="AA63" s="3505">
        <f t="shared" si="1"/>
        <v>443005.07159999991</v>
      </c>
      <c r="AB63" s="3505">
        <f t="shared" si="6"/>
        <v>444222.11849999992</v>
      </c>
      <c r="AC63" s="3505">
        <f t="shared" si="6"/>
        <v>443005.07159999991</v>
      </c>
      <c r="AD63" s="3505">
        <f t="shared" si="6"/>
        <v>443005.07159999991</v>
      </c>
      <c r="AE63" s="3505">
        <f t="shared" si="6"/>
        <v>443005.07159999991</v>
      </c>
      <c r="AF63" s="3505">
        <f t="shared" si="6"/>
        <v>444222.11849999992</v>
      </c>
      <c r="AG63" s="3505">
        <f t="shared" si="6"/>
        <v>443005.07159999991</v>
      </c>
      <c r="AH63" s="3505">
        <f t="shared" si="6"/>
        <v>443005.07159999991</v>
      </c>
      <c r="AI63" s="3505">
        <f t="shared" si="6"/>
        <v>443005.07159999991</v>
      </c>
      <c r="AJ63" s="3505">
        <f t="shared" si="6"/>
        <v>444222.11849999992</v>
      </c>
      <c r="AK63" s="3505">
        <f t="shared" si="6"/>
        <v>443005.07159999991</v>
      </c>
      <c r="AL63" s="3505">
        <f t="shared" si="6"/>
        <v>443005.07159999991</v>
      </c>
      <c r="AM63" s="3397"/>
      <c r="AN63" s="3397"/>
      <c r="AO63" s="3397"/>
      <c r="AP63" s="3397"/>
      <c r="AQ63" s="3397"/>
      <c r="AR63" s="3397"/>
      <c r="AS63" s="3397"/>
      <c r="AT63" s="3397"/>
      <c r="AU63" s="3397"/>
      <c r="AV63" s="3397"/>
      <c r="AW63" s="3397"/>
      <c r="AX63" s="3397"/>
      <c r="AY63" s="3397"/>
      <c r="AZ63" s="3397"/>
      <c r="BA63" s="3397"/>
      <c r="BB63" s="3397"/>
      <c r="BC63" s="3397"/>
      <c r="BD63" s="3397"/>
      <c r="BE63" s="3397"/>
      <c r="BF63" s="3397"/>
      <c r="BG63" s="3397"/>
      <c r="BH63" s="3397"/>
      <c r="BI63" s="3397"/>
      <c r="BJ63" s="3397"/>
      <c r="BK63" s="3397"/>
      <c r="BL63" s="3397"/>
      <c r="BM63" s="3397"/>
      <c r="BN63" s="3397"/>
      <c r="BO63" s="3397"/>
      <c r="BP63" s="3397"/>
      <c r="BQ63" s="3397"/>
      <c r="BR63" s="3397"/>
      <c r="BS63" s="3397"/>
      <c r="BT63" s="3397"/>
      <c r="BU63" s="3397"/>
      <c r="BV63" s="3397"/>
      <c r="BW63" s="3397"/>
      <c r="BX63" s="3397"/>
      <c r="BY63" s="3397"/>
      <c r="BZ63" s="3397"/>
    </row>
    <row r="64" spans="1:78" s="3616" customFormat="1" ht="14.25">
      <c r="A64" s="4209"/>
      <c r="B64" s="4209"/>
      <c r="C64" s="3519" t="s">
        <v>3705</v>
      </c>
      <c r="D64" s="3536">
        <v>686.82</v>
      </c>
      <c r="E64" s="4277"/>
      <c r="F64" s="4277"/>
      <c r="G64" s="4277"/>
      <c r="H64" s="4261"/>
      <c r="I64" s="4257"/>
      <c r="J64" s="4195"/>
      <c r="K64" s="3589">
        <f t="shared" si="7"/>
        <v>4.47</v>
      </c>
      <c r="L64" s="4283"/>
      <c r="M64" s="4283"/>
      <c r="N64" s="3588"/>
      <c r="O64" s="3588"/>
      <c r="P64" s="3589"/>
      <c r="Q64" s="3589"/>
      <c r="R64" s="3589"/>
      <c r="S64" s="3589"/>
      <c r="T64" s="4283"/>
      <c r="U64" s="4195"/>
      <c r="V64" s="4195"/>
      <c r="W64" s="4195"/>
      <c r="X64" s="4195"/>
      <c r="Y64" s="4197"/>
      <c r="Z64" s="3399"/>
      <c r="AA64" s="3505">
        <f t="shared" si="1"/>
        <v>1117511.0855999999</v>
      </c>
      <c r="AB64" s="3505">
        <f t="shared" si="6"/>
        <v>1120581.1710000001</v>
      </c>
      <c r="AC64" s="3505">
        <f t="shared" si="6"/>
        <v>1117511.0855999999</v>
      </c>
      <c r="AD64" s="3505">
        <f t="shared" si="6"/>
        <v>1117511.0855999999</v>
      </c>
      <c r="AE64" s="3505">
        <f t="shared" si="6"/>
        <v>1117511.0855999999</v>
      </c>
      <c r="AF64" s="3505">
        <f t="shared" si="6"/>
        <v>1120581.1710000001</v>
      </c>
      <c r="AG64" s="3505">
        <f t="shared" si="6"/>
        <v>1117511.0855999999</v>
      </c>
      <c r="AH64" s="3505">
        <f t="shared" si="6"/>
        <v>1117511.0855999999</v>
      </c>
      <c r="AI64" s="3505">
        <f t="shared" si="6"/>
        <v>1117511.0855999999</v>
      </c>
      <c r="AJ64" s="3505">
        <f t="shared" si="6"/>
        <v>1120581.1710000001</v>
      </c>
      <c r="AK64" s="3505">
        <f t="shared" si="6"/>
        <v>1117511.0855999999</v>
      </c>
      <c r="AL64" s="3505">
        <f t="shared" si="6"/>
        <v>1117511.0855999999</v>
      </c>
      <c r="AM64" s="3397"/>
      <c r="AN64" s="3397"/>
      <c r="AO64" s="3397"/>
      <c r="AP64" s="3397"/>
      <c r="AQ64" s="3397"/>
      <c r="AR64" s="3397"/>
      <c r="AS64" s="3397"/>
      <c r="AT64" s="3397"/>
      <c r="AU64" s="3397"/>
      <c r="AV64" s="3397"/>
      <c r="AW64" s="3397"/>
      <c r="AX64" s="3397"/>
      <c r="AY64" s="3397"/>
      <c r="AZ64" s="3397"/>
      <c r="BA64" s="3397"/>
      <c r="BB64" s="3397"/>
      <c r="BC64" s="3397"/>
      <c r="BD64" s="3397"/>
      <c r="BE64" s="3397"/>
      <c r="BF64" s="3397"/>
      <c r="BG64" s="3397"/>
      <c r="BH64" s="3397"/>
      <c r="BI64" s="3397"/>
      <c r="BJ64" s="3397"/>
      <c r="BK64" s="3397"/>
      <c r="BL64" s="3397"/>
      <c r="BM64" s="3397"/>
      <c r="BN64" s="3397"/>
      <c r="BO64" s="3397"/>
      <c r="BP64" s="3397"/>
      <c r="BQ64" s="3397"/>
      <c r="BR64" s="3397"/>
      <c r="BS64" s="3397"/>
      <c r="BT64" s="3397"/>
      <c r="BU64" s="3397"/>
      <c r="BV64" s="3397"/>
      <c r="BW64" s="3397"/>
      <c r="BX64" s="3397"/>
      <c r="BY64" s="3397"/>
      <c r="BZ64" s="3397"/>
    </row>
    <row r="65" spans="1:78" s="3616" customFormat="1" ht="14.25">
      <c r="A65" s="4209"/>
      <c r="B65" s="4209"/>
      <c r="C65" s="3519" t="s">
        <v>3706</v>
      </c>
      <c r="D65" s="3536">
        <v>548</v>
      </c>
      <c r="E65" s="4277"/>
      <c r="F65" s="4277"/>
      <c r="G65" s="4277"/>
      <c r="H65" s="4261"/>
      <c r="I65" s="4257"/>
      <c r="J65" s="4195"/>
      <c r="K65" s="3589">
        <f t="shared" si="7"/>
        <v>4.47</v>
      </c>
      <c r="L65" s="4283"/>
      <c r="M65" s="4283"/>
      <c r="N65" s="3588"/>
      <c r="O65" s="3588"/>
      <c r="P65" s="3589"/>
      <c r="Q65" s="3589"/>
      <c r="R65" s="3589"/>
      <c r="S65" s="3589"/>
      <c r="T65" s="4283"/>
      <c r="U65" s="4195"/>
      <c r="V65" s="4195"/>
      <c r="W65" s="4195"/>
      <c r="X65" s="4195"/>
      <c r="Y65" s="4197"/>
      <c r="Z65" s="3399"/>
      <c r="AA65" s="3505">
        <f t="shared" si="1"/>
        <v>891639.84</v>
      </c>
      <c r="AB65" s="3505">
        <f t="shared" si="6"/>
        <v>894089.4</v>
      </c>
      <c r="AC65" s="3505">
        <f t="shared" si="6"/>
        <v>891639.84</v>
      </c>
      <c r="AD65" s="3505">
        <f t="shared" si="6"/>
        <v>891639.84</v>
      </c>
      <c r="AE65" s="3505">
        <f t="shared" si="6"/>
        <v>891639.84</v>
      </c>
      <c r="AF65" s="3505">
        <f t="shared" si="6"/>
        <v>894089.4</v>
      </c>
      <c r="AG65" s="3505">
        <f t="shared" si="6"/>
        <v>891639.84</v>
      </c>
      <c r="AH65" s="3505">
        <f t="shared" si="6"/>
        <v>891639.84</v>
      </c>
      <c r="AI65" s="3505">
        <f t="shared" si="6"/>
        <v>891639.84</v>
      </c>
      <c r="AJ65" s="3505">
        <f t="shared" si="6"/>
        <v>894089.4</v>
      </c>
      <c r="AK65" s="3505">
        <f t="shared" si="6"/>
        <v>891639.84</v>
      </c>
      <c r="AL65" s="3505">
        <f t="shared" si="6"/>
        <v>891639.84</v>
      </c>
      <c r="AM65" s="3397"/>
      <c r="AN65" s="3397"/>
      <c r="AO65" s="3397"/>
      <c r="AP65" s="3397"/>
      <c r="AQ65" s="3397"/>
      <c r="AR65" s="3397"/>
      <c r="AS65" s="3397"/>
      <c r="AT65" s="3397"/>
      <c r="AU65" s="3397"/>
      <c r="AV65" s="3397"/>
      <c r="AW65" s="3397"/>
      <c r="AX65" s="3397"/>
      <c r="AY65" s="3397"/>
      <c r="AZ65" s="3397"/>
      <c r="BA65" s="3397"/>
      <c r="BB65" s="3397"/>
      <c r="BC65" s="3397"/>
      <c r="BD65" s="3397"/>
      <c r="BE65" s="3397"/>
      <c r="BF65" s="3397"/>
      <c r="BG65" s="3397"/>
      <c r="BH65" s="3397"/>
      <c r="BI65" s="3397"/>
      <c r="BJ65" s="3397"/>
      <c r="BK65" s="3397"/>
      <c r="BL65" s="3397"/>
      <c r="BM65" s="3397"/>
      <c r="BN65" s="3397"/>
      <c r="BO65" s="3397"/>
      <c r="BP65" s="3397"/>
      <c r="BQ65" s="3397"/>
      <c r="BR65" s="3397"/>
      <c r="BS65" s="3397"/>
      <c r="BT65" s="3397"/>
      <c r="BU65" s="3397"/>
      <c r="BV65" s="3397"/>
      <c r="BW65" s="3397"/>
      <c r="BX65" s="3397"/>
      <c r="BY65" s="3397"/>
      <c r="BZ65" s="3397"/>
    </row>
    <row r="66" spans="1:78" s="3616" customFormat="1" ht="14.25">
      <c r="A66" s="4210"/>
      <c r="B66" s="4210"/>
      <c r="C66" s="4207" t="s">
        <v>3683</v>
      </c>
      <c r="D66" s="4207"/>
      <c r="E66" s="4271"/>
      <c r="F66" s="4271"/>
      <c r="G66" s="4271"/>
      <c r="H66" s="4206"/>
      <c r="I66" s="4257"/>
      <c r="J66" s="4220"/>
      <c r="K66" s="3589">
        <f t="shared" si="7"/>
        <v>4.47</v>
      </c>
      <c r="L66" s="4251"/>
      <c r="M66" s="4251"/>
      <c r="N66" s="3590"/>
      <c r="O66" s="3590"/>
      <c r="P66" s="3591"/>
      <c r="Q66" s="3591"/>
      <c r="R66" s="3591"/>
      <c r="S66" s="3591"/>
      <c r="T66" s="4251"/>
      <c r="U66" s="4220"/>
      <c r="V66" s="4220"/>
      <c r="W66" s="4220"/>
      <c r="X66" s="4220"/>
      <c r="Y66" s="4243"/>
      <c r="Z66" s="3399"/>
      <c r="AA66" s="3505">
        <f t="shared" si="1"/>
        <v>0</v>
      </c>
      <c r="AB66" s="3505">
        <f t="shared" si="6"/>
        <v>0</v>
      </c>
      <c r="AC66" s="3505">
        <f t="shared" si="6"/>
        <v>0</v>
      </c>
      <c r="AD66" s="3505">
        <f t="shared" si="6"/>
        <v>0</v>
      </c>
      <c r="AE66" s="3505">
        <f t="shared" si="6"/>
        <v>0</v>
      </c>
      <c r="AF66" s="3505">
        <f t="shared" si="6"/>
        <v>0</v>
      </c>
      <c r="AG66" s="3505">
        <f t="shared" si="6"/>
        <v>0</v>
      </c>
      <c r="AH66" s="3505">
        <f t="shared" si="6"/>
        <v>0</v>
      </c>
      <c r="AI66" s="3505">
        <f t="shared" si="6"/>
        <v>0</v>
      </c>
      <c r="AJ66" s="3505">
        <f t="shared" si="6"/>
        <v>0</v>
      </c>
      <c r="AK66" s="3505">
        <f t="shared" si="6"/>
        <v>0</v>
      </c>
      <c r="AL66" s="3505">
        <f t="shared" si="6"/>
        <v>0</v>
      </c>
      <c r="AM66" s="3397"/>
      <c r="AN66" s="3397"/>
      <c r="AO66" s="3397"/>
      <c r="AP66" s="3397"/>
      <c r="AQ66" s="3397"/>
      <c r="AR66" s="3397"/>
      <c r="AS66" s="3397"/>
      <c r="AT66" s="3397"/>
      <c r="AU66" s="3397"/>
      <c r="AV66" s="3397"/>
      <c r="AW66" s="3397"/>
      <c r="AX66" s="3397"/>
      <c r="AY66" s="3397"/>
      <c r="AZ66" s="3397"/>
      <c r="BA66" s="3397"/>
      <c r="BB66" s="3397"/>
      <c r="BC66" s="3397"/>
      <c r="BD66" s="3397"/>
      <c r="BE66" s="3397"/>
      <c r="BF66" s="3397"/>
      <c r="BG66" s="3397"/>
      <c r="BH66" s="3397"/>
      <c r="BI66" s="3397"/>
      <c r="BJ66" s="3397"/>
      <c r="BK66" s="3397"/>
      <c r="BL66" s="3397"/>
      <c r="BM66" s="3397"/>
      <c r="BN66" s="3397"/>
      <c r="BO66" s="3397"/>
      <c r="BP66" s="3397"/>
      <c r="BQ66" s="3397"/>
      <c r="BR66" s="3397"/>
      <c r="BS66" s="3397"/>
      <c r="BT66" s="3397"/>
      <c r="BU66" s="3397"/>
      <c r="BV66" s="3397"/>
      <c r="BW66" s="3397"/>
      <c r="BX66" s="3397"/>
      <c r="BY66" s="3397"/>
      <c r="BZ66" s="3397"/>
    </row>
    <row r="67" spans="1:78" s="3610" customFormat="1" ht="28.5">
      <c r="A67" s="3610">
        <v>1</v>
      </c>
      <c r="B67" s="3592" t="s">
        <v>3707</v>
      </c>
      <c r="C67" s="4257" t="s">
        <v>3708</v>
      </c>
      <c r="D67" s="4204">
        <v>5577.94</v>
      </c>
      <c r="E67" s="3593">
        <v>2780</v>
      </c>
      <c r="F67" s="3593">
        <v>2780</v>
      </c>
      <c r="G67" s="3593">
        <v>2780</v>
      </c>
      <c r="H67" s="3521" t="s">
        <v>3709</v>
      </c>
      <c r="I67" s="3519" t="s">
        <v>3710</v>
      </c>
      <c r="J67" s="3594">
        <v>377975.75</v>
      </c>
      <c r="K67" s="3594">
        <v>4.4000000000000004</v>
      </c>
      <c r="L67" s="3537" t="s">
        <v>3711</v>
      </c>
      <c r="M67" s="3594">
        <v>126837.5</v>
      </c>
      <c r="N67" s="3594"/>
      <c r="O67" s="3594"/>
      <c r="P67" s="3594"/>
      <c r="Q67" s="3594"/>
      <c r="R67" s="3594"/>
      <c r="S67" s="3594"/>
      <c r="T67" s="3594"/>
      <c r="U67" s="3594"/>
      <c r="V67" s="3540">
        <v>1537270.5</v>
      </c>
      <c r="W67" s="3540" t="s">
        <v>3712</v>
      </c>
      <c r="X67" s="3595"/>
      <c r="Y67" s="3552">
        <v>1537270.5</v>
      </c>
      <c r="Z67" s="3399"/>
      <c r="AA67" s="3505">
        <f t="shared" si="1"/>
        <v>8933628.7039999999</v>
      </c>
      <c r="AB67" s="3505">
        <f t="shared" si="6"/>
        <v>8958171.6400000006</v>
      </c>
      <c r="AC67" s="3505">
        <f t="shared" si="6"/>
        <v>8933628.7039999999</v>
      </c>
      <c r="AD67" s="3505">
        <f t="shared" si="6"/>
        <v>8933628.7039999999</v>
      </c>
      <c r="AE67" s="3505">
        <f t="shared" si="6"/>
        <v>8933628.7039999999</v>
      </c>
      <c r="AF67" s="3505">
        <f t="shared" si="6"/>
        <v>8958171.6400000006</v>
      </c>
      <c r="AG67" s="3505">
        <f t="shared" si="6"/>
        <v>8933628.7039999999</v>
      </c>
      <c r="AH67" s="3505">
        <f t="shared" si="6"/>
        <v>8933628.7039999999</v>
      </c>
      <c r="AI67" s="3505">
        <f t="shared" si="6"/>
        <v>8933628.7039999999</v>
      </c>
      <c r="AJ67" s="3505">
        <f t="shared" si="6"/>
        <v>8958171.6400000006</v>
      </c>
      <c r="AK67" s="3505">
        <f t="shared" si="6"/>
        <v>8933628.7039999999</v>
      </c>
      <c r="AL67" s="3505">
        <f t="shared" si="6"/>
        <v>8933628.7039999999</v>
      </c>
      <c r="AM67" s="3397"/>
      <c r="AN67" s="3397"/>
      <c r="AO67" s="3397"/>
      <c r="AP67" s="3397"/>
      <c r="AQ67" s="3397"/>
      <c r="AR67" s="3397"/>
      <c r="AS67" s="3397"/>
      <c r="AT67" s="3397"/>
      <c r="AU67" s="3397"/>
      <c r="AV67" s="3397"/>
      <c r="AW67" s="3397"/>
      <c r="AX67" s="3397"/>
      <c r="AY67" s="3397"/>
      <c r="AZ67" s="3397"/>
      <c r="BA67" s="3397"/>
      <c r="BB67" s="3397"/>
      <c r="BC67" s="3397"/>
      <c r="BD67" s="3397"/>
      <c r="BE67" s="3397"/>
      <c r="BF67" s="3397"/>
      <c r="BG67" s="3397"/>
      <c r="BH67" s="3397"/>
      <c r="BI67" s="3397"/>
      <c r="BJ67" s="3397"/>
      <c r="BK67" s="3397"/>
      <c r="BL67" s="3397"/>
      <c r="BM67" s="3397"/>
      <c r="BN67" s="3397"/>
      <c r="BO67" s="3397"/>
      <c r="BP67" s="3397"/>
      <c r="BQ67" s="3397"/>
      <c r="BR67" s="3397"/>
      <c r="BS67" s="3397"/>
      <c r="BT67" s="3397"/>
      <c r="BU67" s="3397"/>
      <c r="BV67" s="3397"/>
      <c r="BW67" s="3397"/>
      <c r="BX67" s="3397"/>
      <c r="BY67" s="3397"/>
      <c r="BZ67" s="3397"/>
    </row>
    <row r="68" spans="1:78" s="3619" customFormat="1" ht="28.5">
      <c r="A68" s="3619">
        <v>1</v>
      </c>
      <c r="B68" s="3592" t="s">
        <v>3713</v>
      </c>
      <c r="C68" s="4257"/>
      <c r="D68" s="4204"/>
      <c r="E68" s="3593">
        <v>1830</v>
      </c>
      <c r="F68" s="3593">
        <v>1830</v>
      </c>
      <c r="G68" s="3596">
        <v>2162</v>
      </c>
      <c r="H68" s="3521" t="s">
        <v>3709</v>
      </c>
      <c r="I68" s="3575" t="s">
        <v>3714</v>
      </c>
      <c r="J68" s="3594">
        <v>235215.13</v>
      </c>
      <c r="K68" s="3594">
        <v>4.4000000000000004</v>
      </c>
      <c r="L68" s="3537" t="s">
        <v>3711</v>
      </c>
      <c r="M68" s="3594">
        <v>83493.75</v>
      </c>
      <c r="N68" s="3594"/>
      <c r="O68" s="3594"/>
      <c r="P68" s="3594"/>
      <c r="Q68" s="3594"/>
      <c r="R68" s="3594"/>
      <c r="S68" s="3594"/>
      <c r="T68" s="3594"/>
      <c r="U68" s="3594"/>
      <c r="V68" s="3540">
        <v>994533.78</v>
      </c>
      <c r="W68" s="3540" t="s">
        <v>3715</v>
      </c>
      <c r="X68" s="3595"/>
      <c r="Y68" s="3552">
        <v>994533.78</v>
      </c>
      <c r="Z68" s="3399"/>
      <c r="AA68" s="3505">
        <f t="shared" ref="AA68:AL68" si="8">$D68*$K68*(AA$2-AA$1)</f>
        <v>0</v>
      </c>
      <c r="AB68" s="3505">
        <f t="shared" si="8"/>
        <v>0</v>
      </c>
      <c r="AC68" s="3505">
        <f t="shared" si="8"/>
        <v>0</v>
      </c>
      <c r="AD68" s="3505">
        <f t="shared" si="8"/>
        <v>0</v>
      </c>
      <c r="AE68" s="3505">
        <f t="shared" si="8"/>
        <v>0</v>
      </c>
      <c r="AF68" s="3505">
        <f t="shared" si="8"/>
        <v>0</v>
      </c>
      <c r="AG68" s="3505">
        <f t="shared" si="8"/>
        <v>0</v>
      </c>
      <c r="AH68" s="3505">
        <f t="shared" si="8"/>
        <v>0</v>
      </c>
      <c r="AI68" s="3505">
        <f t="shared" si="8"/>
        <v>0</v>
      </c>
      <c r="AJ68" s="3505">
        <f t="shared" si="8"/>
        <v>0</v>
      </c>
      <c r="AK68" s="3505">
        <f t="shared" si="8"/>
        <v>0</v>
      </c>
      <c r="AL68" s="3505">
        <f t="shared" si="8"/>
        <v>0</v>
      </c>
      <c r="AM68" s="3397"/>
      <c r="AN68" s="3397"/>
      <c r="AO68" s="3397"/>
      <c r="AP68" s="3397"/>
      <c r="AQ68" s="3397"/>
      <c r="AR68" s="3397"/>
      <c r="AS68" s="3397"/>
      <c r="AT68" s="3397"/>
      <c r="AU68" s="3397"/>
      <c r="AV68" s="3397"/>
      <c r="AW68" s="3397"/>
      <c r="AX68" s="3397"/>
      <c r="AY68" s="3397"/>
      <c r="AZ68" s="3397"/>
      <c r="BA68" s="3397"/>
      <c r="BB68" s="3397"/>
      <c r="BC68" s="3397"/>
      <c r="BD68" s="3397"/>
      <c r="BE68" s="3397"/>
      <c r="BF68" s="3397"/>
      <c r="BG68" s="3397"/>
      <c r="BH68" s="3397"/>
      <c r="BI68" s="3397"/>
      <c r="BJ68" s="3397"/>
      <c r="BK68" s="3397"/>
      <c r="BL68" s="3397"/>
      <c r="BM68" s="3397"/>
      <c r="BN68" s="3397"/>
      <c r="BO68" s="3397"/>
      <c r="BP68" s="3397"/>
      <c r="BQ68" s="3397"/>
      <c r="BR68" s="3397"/>
      <c r="BS68" s="3397"/>
      <c r="BT68" s="3397"/>
      <c r="BU68" s="3397"/>
      <c r="BV68" s="3397"/>
      <c r="BW68" s="3397"/>
      <c r="BX68" s="3397"/>
      <c r="BY68" s="3397"/>
      <c r="BZ68" s="3397"/>
    </row>
    <row r="69" spans="1:78" s="3407" customFormat="1" ht="15" thickBot="1">
      <c r="B69" s="4279" t="s">
        <v>3716</v>
      </c>
      <c r="C69" s="4280"/>
      <c r="D69" s="3597">
        <f>SUM(D3:D68)</f>
        <v>24383.149999999998</v>
      </c>
      <c r="E69" s="3597">
        <f>SUM(E3:E68)</f>
        <v>17666.049999999996</v>
      </c>
      <c r="F69" s="3597">
        <f>SUM(F3:F68)</f>
        <v>17683.05</v>
      </c>
      <c r="G69" s="3597">
        <f>SUM(G3:G68)</f>
        <v>20340.190000000002</v>
      </c>
      <c r="H69" s="3598"/>
      <c r="I69" s="3598"/>
      <c r="J69" s="3599">
        <f>SUM(J3:J68)</f>
        <v>2939152.6</v>
      </c>
      <c r="K69" s="3600"/>
      <c r="L69" s="3599"/>
      <c r="M69" s="3599">
        <f>SUM(M3:M68)</f>
        <v>649929.79</v>
      </c>
      <c r="N69" s="3599"/>
      <c r="O69" s="3599"/>
      <c r="P69" s="3599"/>
      <c r="Q69" s="3599"/>
      <c r="R69" s="3599"/>
      <c r="S69" s="3599"/>
      <c r="T69" s="3599"/>
      <c r="U69" s="3599">
        <f>SUM(U3:U66)</f>
        <v>1105562.22</v>
      </c>
      <c r="V69" s="3601">
        <v>9928998.0399999991</v>
      </c>
      <c r="W69" s="3602"/>
      <c r="X69" s="3603"/>
      <c r="Y69" s="3604">
        <f>SUM(Y3:Y68)</f>
        <v>10792257.059999999</v>
      </c>
      <c r="Z69" s="3399"/>
      <c r="AA69" s="3658">
        <f>SUM(AA3:AA68)</f>
        <v>36950848.779658526</v>
      </c>
      <c r="AB69" s="3658">
        <f t="shared" ref="AB69:AL69" si="9">SUM(AB3:AB68)</f>
        <v>37052362.100481771</v>
      </c>
      <c r="AC69" s="3658">
        <f t="shared" si="9"/>
        <v>36950848.779658526</v>
      </c>
      <c r="AD69" s="3658">
        <f t="shared" si="9"/>
        <v>36950848.779658526</v>
      </c>
      <c r="AE69" s="3658">
        <f t="shared" si="9"/>
        <v>36950848.779658526</v>
      </c>
      <c r="AF69" s="3658">
        <f t="shared" si="9"/>
        <v>37052362.100481771</v>
      </c>
      <c r="AG69" s="3658">
        <f t="shared" si="9"/>
        <v>36950848.779658526</v>
      </c>
      <c r="AH69" s="3658">
        <f t="shared" si="9"/>
        <v>36950848.779658526</v>
      </c>
      <c r="AI69" s="3658">
        <f t="shared" si="9"/>
        <v>36950848.779658526</v>
      </c>
      <c r="AJ69" s="3658">
        <f t="shared" si="9"/>
        <v>37052362.100481771</v>
      </c>
      <c r="AK69" s="3658">
        <f t="shared" si="9"/>
        <v>36950848.779658526</v>
      </c>
      <c r="AL69" s="3658">
        <f t="shared" si="9"/>
        <v>36950848.779658526</v>
      </c>
      <c r="AM69" s="3397"/>
      <c r="AN69" s="3397"/>
      <c r="AO69" s="3397"/>
      <c r="AP69" s="3397"/>
      <c r="AQ69" s="3397"/>
      <c r="AR69" s="3397"/>
      <c r="AS69" s="3397"/>
      <c r="AT69" s="3397"/>
      <c r="AU69" s="3397"/>
      <c r="AV69" s="3397"/>
      <c r="AW69" s="3397"/>
      <c r="AX69" s="3397"/>
      <c r="AY69" s="3397"/>
      <c r="AZ69" s="3397"/>
      <c r="BA69" s="3397"/>
      <c r="BB69" s="3397"/>
      <c r="BC69" s="3397"/>
      <c r="BD69" s="3397"/>
      <c r="BE69" s="3397"/>
      <c r="BF69" s="3397"/>
      <c r="BG69" s="3397"/>
      <c r="BH69" s="3397"/>
      <c r="BI69" s="3397"/>
      <c r="BJ69" s="3397"/>
      <c r="BK69" s="3397"/>
      <c r="BL69" s="3397"/>
      <c r="BM69" s="3397"/>
      <c r="BN69" s="3397"/>
      <c r="BO69" s="3397"/>
      <c r="BP69" s="3397"/>
      <c r="BQ69" s="3397"/>
      <c r="BR69" s="3397"/>
      <c r="BS69" s="3397"/>
      <c r="BT69" s="3397"/>
      <c r="BU69" s="3397"/>
      <c r="BV69" s="3397"/>
      <c r="BW69" s="3397"/>
      <c r="BX69" s="3397"/>
      <c r="BY69" s="3397"/>
      <c r="BZ69" s="3397"/>
    </row>
    <row r="70" spans="1:78" s="3407" customFormat="1" ht="14.25">
      <c r="B70" s="3620"/>
      <c r="D70" s="3621"/>
      <c r="E70" s="3407">
        <v>17662.05</v>
      </c>
      <c r="F70" s="4281" t="s">
        <v>3744</v>
      </c>
      <c r="G70" s="4282"/>
      <c r="H70" s="4282"/>
      <c r="J70" s="3623"/>
      <c r="K70" s="3624"/>
      <c r="L70" s="3623"/>
      <c r="M70" s="3623"/>
      <c r="N70" s="3623"/>
      <c r="O70" s="3623"/>
      <c r="P70" s="3623"/>
      <c r="Q70" s="3623"/>
      <c r="R70" s="3623"/>
      <c r="S70" s="3623"/>
      <c r="T70" s="3623"/>
      <c r="U70" s="3623"/>
      <c r="V70" s="3625"/>
      <c r="W70" s="3626"/>
      <c r="X70" s="3625"/>
      <c r="Y70" s="3625"/>
      <c r="Z70" s="3399"/>
      <c r="AA70" s="3506"/>
      <c r="AB70" s="3506"/>
      <c r="AC70" s="3506"/>
      <c r="AD70" s="3506"/>
      <c r="AE70" s="3506"/>
      <c r="AF70" s="3506"/>
      <c r="AG70" s="3506"/>
      <c r="AH70" s="3506"/>
      <c r="AI70" s="3657"/>
      <c r="AJ70" s="3657"/>
      <c r="AK70" s="3657"/>
      <c r="AL70" s="3657"/>
      <c r="AM70" s="3397"/>
      <c r="AN70" s="3397"/>
      <c r="AO70" s="3397"/>
      <c r="AP70" s="3397"/>
      <c r="AQ70" s="3397"/>
      <c r="AR70" s="3397"/>
      <c r="AS70" s="3397"/>
      <c r="AT70" s="3397"/>
      <c r="AU70" s="3397"/>
      <c r="AV70" s="3397"/>
      <c r="AW70" s="3397"/>
      <c r="AX70" s="3397"/>
      <c r="AY70" s="3397"/>
      <c r="AZ70" s="3397"/>
      <c r="BA70" s="3397"/>
      <c r="BB70" s="3397"/>
      <c r="BC70" s="3397"/>
      <c r="BD70" s="3397"/>
      <c r="BE70" s="3397"/>
      <c r="BF70" s="3397"/>
      <c r="BG70" s="3397"/>
      <c r="BH70" s="3397"/>
      <c r="BI70" s="3397"/>
      <c r="BJ70" s="3397"/>
      <c r="BK70" s="3397"/>
      <c r="BL70" s="3397"/>
      <c r="BM70" s="3397"/>
      <c r="BN70" s="3397"/>
      <c r="BO70" s="3397"/>
      <c r="BP70" s="3397"/>
      <c r="BQ70" s="3397"/>
      <c r="BR70" s="3397"/>
      <c r="BS70" s="3397"/>
      <c r="BT70" s="3397"/>
      <c r="BU70" s="3397"/>
      <c r="BV70" s="3397"/>
      <c r="BW70" s="3397"/>
      <c r="BX70" s="3397"/>
      <c r="BY70" s="3397"/>
      <c r="BZ70" s="3397"/>
    </row>
    <row r="71" spans="1:78" s="3407" customFormat="1" ht="15" thickBot="1">
      <c r="B71" s="3620"/>
      <c r="C71" s="3627"/>
      <c r="D71" s="3621"/>
      <c r="E71" s="3597">
        <v>17635.05</v>
      </c>
      <c r="F71" s="3621" t="s">
        <v>3577</v>
      </c>
      <c r="G71" s="3627">
        <f>G69/E69</f>
        <v>1.1513716988234499</v>
      </c>
      <c r="J71" s="3623">
        <f>J69*12/10000</f>
        <v>3526.9831200000003</v>
      </c>
      <c r="K71" s="3624"/>
      <c r="L71" s="3623"/>
      <c r="M71" s="3623"/>
      <c r="N71" s="3623"/>
      <c r="O71" s="3623"/>
      <c r="P71" s="3623"/>
      <c r="Q71" s="3623"/>
      <c r="R71" s="3623"/>
      <c r="S71" s="3623"/>
      <c r="T71" s="3623"/>
      <c r="U71" s="3623"/>
      <c r="V71" s="3625"/>
      <c r="W71" s="3626"/>
      <c r="X71" s="3625"/>
      <c r="Y71" s="3625"/>
      <c r="Z71" s="3399"/>
      <c r="AA71" s="3506"/>
      <c r="AB71" s="3506"/>
      <c r="AC71" s="3506"/>
      <c r="AD71" s="3506"/>
      <c r="AE71" s="3506"/>
      <c r="AF71" s="3506"/>
      <c r="AG71" s="3506"/>
      <c r="AH71" s="3506"/>
      <c r="AI71" s="3657"/>
      <c r="AJ71" s="3657"/>
      <c r="AK71" s="3657"/>
      <c r="AL71" s="3657"/>
      <c r="AM71" s="3397"/>
      <c r="AN71" s="3397"/>
      <c r="AO71" s="3397"/>
      <c r="AP71" s="3397"/>
      <c r="AQ71" s="3397"/>
      <c r="AR71" s="3397"/>
      <c r="AS71" s="3397"/>
      <c r="AT71" s="3397"/>
      <c r="AU71" s="3397"/>
      <c r="AV71" s="3397"/>
      <c r="AW71" s="3397"/>
      <c r="AX71" s="3397"/>
      <c r="AY71" s="3397"/>
      <c r="AZ71" s="3397"/>
      <c r="BA71" s="3397"/>
      <c r="BB71" s="3397"/>
      <c r="BC71" s="3397"/>
      <c r="BD71" s="3397"/>
      <c r="BE71" s="3397"/>
      <c r="BF71" s="3397"/>
      <c r="BG71" s="3397"/>
      <c r="BH71" s="3397"/>
      <c r="BI71" s="3397"/>
      <c r="BJ71" s="3397"/>
      <c r="BK71" s="3397"/>
      <c r="BL71" s="3397"/>
      <c r="BM71" s="3397"/>
      <c r="BN71" s="3397"/>
      <c r="BO71" s="3397"/>
      <c r="BP71" s="3397"/>
      <c r="BQ71" s="3397"/>
      <c r="BR71" s="3397"/>
      <c r="BS71" s="3397"/>
      <c r="BT71" s="3397"/>
      <c r="BU71" s="3397"/>
      <c r="BV71" s="3397"/>
      <c r="BW71" s="3397"/>
      <c r="BX71" s="3397"/>
      <c r="BY71" s="3397"/>
      <c r="BZ71" s="3397"/>
    </row>
    <row r="72" spans="1:78" s="3407" customFormat="1" ht="15" thickBot="1">
      <c r="B72" s="3620"/>
      <c r="C72" s="3627"/>
      <c r="D72" s="3621"/>
      <c r="E72" s="3628">
        <v>17652.05</v>
      </c>
      <c r="G72" s="3621"/>
      <c r="J72" s="3623"/>
      <c r="K72" s="3624"/>
      <c r="L72" s="3623"/>
      <c r="M72" s="3623"/>
      <c r="N72" s="3623"/>
      <c r="O72" s="3623"/>
      <c r="P72" s="3623"/>
      <c r="Q72" s="3623"/>
      <c r="R72" s="3623"/>
      <c r="S72" s="3623"/>
      <c r="T72" s="3623"/>
      <c r="U72" s="3623"/>
      <c r="V72" s="3625"/>
      <c r="W72" s="3626"/>
      <c r="X72" s="3625"/>
      <c r="Y72" s="3625"/>
      <c r="Z72" s="3399"/>
      <c r="AA72" s="3507" t="s">
        <v>3579</v>
      </c>
      <c r="AB72" s="3508">
        <f>ROUND((AL2-Z2)/365,2)</f>
        <v>11.19</v>
      </c>
      <c r="AC72" s="3508" t="s">
        <v>3580</v>
      </c>
      <c r="AD72" s="3506"/>
      <c r="AE72" s="3506"/>
      <c r="AF72" s="3506"/>
      <c r="AG72" s="3506"/>
      <c r="AH72" s="3506"/>
      <c r="AI72" s="3657"/>
      <c r="AJ72" s="3657"/>
      <c r="AK72" s="3657"/>
      <c r="AL72" s="3657"/>
      <c r="AM72" s="3397"/>
      <c r="AN72" s="3397"/>
      <c r="AO72" s="3397"/>
      <c r="AP72" s="3397"/>
      <c r="AQ72" s="3397"/>
      <c r="AR72" s="3397"/>
      <c r="AS72" s="3397"/>
      <c r="AT72" s="3397"/>
      <c r="AU72" s="3397"/>
      <c r="AV72" s="3397"/>
      <c r="AW72" s="3397"/>
      <c r="AX72" s="3397"/>
      <c r="AY72" s="3397"/>
      <c r="AZ72" s="3397"/>
      <c r="BA72" s="3397"/>
      <c r="BB72" s="3397"/>
      <c r="BC72" s="3397"/>
      <c r="BD72" s="3397"/>
      <c r="BE72" s="3397"/>
      <c r="BF72" s="3397"/>
      <c r="BG72" s="3397"/>
      <c r="BH72" s="3397"/>
      <c r="BI72" s="3397"/>
      <c r="BJ72" s="3397"/>
      <c r="BK72" s="3397"/>
      <c r="BL72" s="3397"/>
      <c r="BM72" s="3397"/>
      <c r="BN72" s="3397"/>
      <c r="BO72" s="3397"/>
      <c r="BP72" s="3397"/>
      <c r="BQ72" s="3397"/>
      <c r="BR72" s="3397"/>
      <c r="BS72" s="3397"/>
      <c r="BT72" s="3397"/>
      <c r="BU72" s="3397"/>
      <c r="BV72" s="3397"/>
      <c r="BW72" s="3397"/>
      <c r="BX72" s="3397"/>
      <c r="BY72" s="3397"/>
      <c r="BZ72" s="3397"/>
    </row>
    <row r="73" spans="1:78" s="3407" customFormat="1" ht="14.25">
      <c r="B73" s="3620"/>
      <c r="C73" s="3627"/>
      <c r="D73" s="3621"/>
      <c r="E73" s="3629">
        <v>17637.05</v>
      </c>
      <c r="F73" s="3630" t="s">
        <v>3578</v>
      </c>
      <c r="G73" s="3461">
        <v>14519.3</v>
      </c>
      <c r="J73" s="3623"/>
      <c r="K73" s="3624"/>
      <c r="L73" s="3623"/>
      <c r="M73" s="3623"/>
      <c r="N73" s="3623"/>
      <c r="O73" s="3623"/>
      <c r="P73" s="3623"/>
      <c r="Q73" s="3623"/>
      <c r="R73" s="3623"/>
      <c r="S73" s="3623"/>
      <c r="T73" s="3623"/>
      <c r="U73" s="3623"/>
      <c r="V73" s="3625"/>
      <c r="W73" s="3626"/>
      <c r="X73" s="3625"/>
      <c r="Y73" s="3625"/>
      <c r="Z73" s="3399"/>
      <c r="AA73" s="3507" t="s">
        <v>3581</v>
      </c>
      <c r="AB73" s="3509">
        <f>SUM(AA69:AL69)</f>
        <v>443714725.31837213</v>
      </c>
      <c r="AC73" s="3508">
        <f>ROUND(AB73/AB74/AB72/365,2)</f>
        <v>4.17</v>
      </c>
      <c r="AD73" s="3506"/>
      <c r="AE73" s="3506"/>
      <c r="AF73" s="3506"/>
      <c r="AG73" s="3506"/>
      <c r="AH73" s="3506"/>
      <c r="AI73" s="3657"/>
      <c r="AJ73" s="3657"/>
      <c r="AK73" s="3657"/>
      <c r="AL73" s="3657"/>
      <c r="AM73" s="3397"/>
      <c r="AN73" s="3397"/>
      <c r="AO73" s="3397"/>
      <c r="AP73" s="3397"/>
      <c r="AQ73" s="3397"/>
      <c r="AR73" s="3397"/>
      <c r="AS73" s="3397"/>
      <c r="AT73" s="3397"/>
      <c r="AU73" s="3397"/>
      <c r="AV73" s="3397"/>
      <c r="AW73" s="3397"/>
      <c r="AX73" s="3397"/>
      <c r="AY73" s="3397"/>
      <c r="AZ73" s="3397"/>
      <c r="BA73" s="3397"/>
      <c r="BB73" s="3397"/>
      <c r="BC73" s="3397"/>
      <c r="BD73" s="3397"/>
      <c r="BE73" s="3397"/>
      <c r="BF73" s="3397"/>
      <c r="BG73" s="3397"/>
      <c r="BH73" s="3397"/>
      <c r="BI73" s="3397"/>
      <c r="BJ73" s="3397"/>
      <c r="BK73" s="3397"/>
      <c r="BL73" s="3397"/>
      <c r="BM73" s="3397"/>
      <c r="BN73" s="3397"/>
      <c r="BO73" s="3397"/>
      <c r="BP73" s="3397"/>
      <c r="BQ73" s="3397"/>
      <c r="BR73" s="3397"/>
      <c r="BS73" s="3397"/>
      <c r="BT73" s="3397"/>
      <c r="BU73" s="3397"/>
      <c r="BV73" s="3397"/>
      <c r="BW73" s="3397"/>
      <c r="BX73" s="3397"/>
      <c r="BY73" s="3397"/>
      <c r="BZ73" s="3397"/>
    </row>
    <row r="74" spans="1:78" s="3407" customFormat="1" ht="14.25">
      <c r="B74" s="3620"/>
      <c r="C74" s="3627"/>
      <c r="D74" s="3621"/>
      <c r="E74" s="3631">
        <v>17622.05</v>
      </c>
      <c r="F74" s="3630" t="s">
        <v>3573</v>
      </c>
      <c r="G74" s="3461">
        <f>G69-G73</f>
        <v>5820.8900000000031</v>
      </c>
      <c r="H74" s="3632"/>
      <c r="J74" s="3623"/>
      <c r="K74" s="3624"/>
      <c r="L74" s="3623"/>
      <c r="M74" s="3623"/>
      <c r="N74" s="3623"/>
      <c r="O74" s="3623"/>
      <c r="P74" s="3623"/>
      <c r="Q74" s="3623"/>
      <c r="R74" s="3623"/>
      <c r="S74" s="3623"/>
      <c r="T74" s="3623"/>
      <c r="U74" s="3623"/>
      <c r="V74" s="3625"/>
      <c r="W74" s="3626"/>
      <c r="X74" s="3625"/>
      <c r="Y74" s="3625"/>
      <c r="Z74" s="3399"/>
      <c r="AA74" s="3507" t="s">
        <v>3582</v>
      </c>
      <c r="AB74" s="3509">
        <f>'数据-汇总表'!E19</f>
        <v>26071.17</v>
      </c>
      <c r="AC74" s="3508"/>
      <c r="AD74" s="3506"/>
      <c r="AE74" s="3506"/>
      <c r="AF74" s="3506"/>
      <c r="AG74" s="3506"/>
      <c r="AH74" s="3506"/>
      <c r="AI74" s="3657"/>
      <c r="AJ74" s="3657"/>
      <c r="AK74" s="3657"/>
      <c r="AL74" s="3657"/>
      <c r="AM74" s="3397"/>
      <c r="AN74" s="3397"/>
      <c r="AO74" s="3397"/>
      <c r="AP74" s="3397"/>
      <c r="AQ74" s="3397"/>
      <c r="AR74" s="3397"/>
      <c r="AS74" s="3397"/>
      <c r="AT74" s="3397"/>
      <c r="AU74" s="3397"/>
      <c r="AV74" s="3397"/>
      <c r="AW74" s="3397"/>
      <c r="AX74" s="3397"/>
      <c r="AY74" s="3397"/>
      <c r="AZ74" s="3397"/>
      <c r="BA74" s="3397"/>
      <c r="BB74" s="3397"/>
      <c r="BC74" s="3397"/>
      <c r="BD74" s="3397"/>
      <c r="BE74" s="3397"/>
      <c r="BF74" s="3397"/>
      <c r="BG74" s="3397"/>
      <c r="BH74" s="3397"/>
      <c r="BI74" s="3397"/>
      <c r="BJ74" s="3397"/>
      <c r="BK74" s="3397"/>
      <c r="BL74" s="3397"/>
      <c r="BM74" s="3397"/>
      <c r="BN74" s="3397"/>
      <c r="BO74" s="3397"/>
      <c r="BP74" s="3397"/>
      <c r="BQ74" s="3397"/>
      <c r="BR74" s="3397"/>
      <c r="BS74" s="3397"/>
      <c r="BT74" s="3397"/>
      <c r="BU74" s="3397"/>
      <c r="BV74" s="3397"/>
      <c r="BW74" s="3397"/>
      <c r="BX74" s="3397"/>
      <c r="BY74" s="3397"/>
      <c r="BZ74" s="3397"/>
    </row>
    <row r="75" spans="1:78" ht="14.25">
      <c r="B75" s="3620"/>
      <c r="C75" s="3627"/>
      <c r="D75" s="3621"/>
      <c r="E75" s="3634">
        <v>17166.650000000001</v>
      </c>
      <c r="F75" s="3630"/>
      <c r="G75" s="3461"/>
      <c r="H75" s="3461"/>
      <c r="I75" s="3633" t="s">
        <v>3745</v>
      </c>
      <c r="AA75" s="3507" t="s">
        <v>3583</v>
      </c>
      <c r="AB75" s="3508">
        <v>5</v>
      </c>
      <c r="AC75" s="3508"/>
    </row>
    <row r="76" spans="1:78" ht="14.25">
      <c r="B76" s="3620"/>
      <c r="C76" s="3627"/>
      <c r="D76" s="3621"/>
      <c r="E76" s="3634"/>
      <c r="F76" s="3630"/>
      <c r="G76" s="3461"/>
      <c r="H76" s="3623"/>
      <c r="AA76" s="3507" t="s">
        <v>3584</v>
      </c>
      <c r="AB76" s="3510">
        <v>0.03</v>
      </c>
      <c r="AC76" s="3508"/>
    </row>
    <row r="77" spans="1:78" ht="14.25">
      <c r="B77" s="3620"/>
      <c r="C77" s="3627"/>
      <c r="D77" s="3621"/>
      <c r="F77" s="3630"/>
      <c r="G77" s="3461"/>
      <c r="H77" s="3635"/>
      <c r="AA77" s="3507" t="s">
        <v>3585</v>
      </c>
      <c r="AB77" s="3508">
        <f>ROUND(E69*5/D69*(1+AB76)^AB72,2)</f>
        <v>5.04</v>
      </c>
      <c r="AC77" s="3508"/>
    </row>
    <row r="78" spans="1:78" ht="14.25">
      <c r="B78" s="3638"/>
      <c r="C78" s="3633" t="s">
        <v>3746</v>
      </c>
      <c r="D78" s="3639"/>
      <c r="E78" s="3637" t="s">
        <v>3747</v>
      </c>
      <c r="H78" s="3640"/>
    </row>
    <row r="79" spans="1:78">
      <c r="B79" s="3641"/>
    </row>
    <row r="81" spans="2:23" ht="14.25">
      <c r="C81" s="3643"/>
    </row>
    <row r="82" spans="2:23">
      <c r="B82" s="3644"/>
      <c r="C82" s="3632"/>
      <c r="D82" s="3622"/>
      <c r="E82" s="3622"/>
    </row>
    <row r="83" spans="2:23" ht="20.25" customHeight="1"/>
    <row r="84" spans="2:23" ht="20.25" customHeight="1"/>
    <row r="85" spans="2:23" ht="20.25" customHeight="1"/>
    <row r="86" spans="2:23" ht="20.25" customHeight="1"/>
    <row r="87" spans="2:23" ht="20.25" customHeight="1"/>
    <row r="93" spans="2:23">
      <c r="W93" s="3626" t="s">
        <v>3748</v>
      </c>
    </row>
  </sheetData>
  <mergeCells count="206">
    <mergeCell ref="B69:C69"/>
    <mergeCell ref="F70:H70"/>
    <mergeCell ref="T54:T66"/>
    <mergeCell ref="U54:U66"/>
    <mergeCell ref="V54:V66"/>
    <mergeCell ref="Y54:Y66"/>
    <mergeCell ref="C66:D66"/>
    <mergeCell ref="C67:C68"/>
    <mergeCell ref="D67:D68"/>
    <mergeCell ref="H54:H66"/>
    <mergeCell ref="I54:I66"/>
    <mergeCell ref="J54:J66"/>
    <mergeCell ref="L54:L66"/>
    <mergeCell ref="M54:M66"/>
    <mergeCell ref="U52:U53"/>
    <mergeCell ref="V52:V53"/>
    <mergeCell ref="W52:W66"/>
    <mergeCell ref="X52:X66"/>
    <mergeCell ref="Y52:Y53"/>
    <mergeCell ref="A54:A66"/>
    <mergeCell ref="B54:B66"/>
    <mergeCell ref="E54:E66"/>
    <mergeCell ref="F54:F66"/>
    <mergeCell ref="G54:G66"/>
    <mergeCell ref="O52:O53"/>
    <mergeCell ref="P52:P53"/>
    <mergeCell ref="Q52:Q53"/>
    <mergeCell ref="R52:R53"/>
    <mergeCell ref="S52:S53"/>
    <mergeCell ref="T52:T53"/>
    <mergeCell ref="I52:I53"/>
    <mergeCell ref="J52:J53"/>
    <mergeCell ref="L52:L53"/>
    <mergeCell ref="M52:M53"/>
    <mergeCell ref="N52:N53"/>
    <mergeCell ref="B49:B50"/>
    <mergeCell ref="B52:B53"/>
    <mergeCell ref="E52:E53"/>
    <mergeCell ref="F52:F53"/>
    <mergeCell ref="G52:G53"/>
    <mergeCell ref="H52:H53"/>
    <mergeCell ref="X39:X48"/>
    <mergeCell ref="Y39:Y48"/>
    <mergeCell ref="F41:F48"/>
    <mergeCell ref="W41:W48"/>
    <mergeCell ref="C47:D47"/>
    <mergeCell ref="C48:D48"/>
    <mergeCell ref="R39:R48"/>
    <mergeCell ref="S39:S48"/>
    <mergeCell ref="T39:T48"/>
    <mergeCell ref="U39:U48"/>
    <mergeCell ref="V39:V48"/>
    <mergeCell ref="W39:W40"/>
    <mergeCell ref="L39:L48"/>
    <mergeCell ref="M39:M48"/>
    <mergeCell ref="N39:N48"/>
    <mergeCell ref="O39:O48"/>
    <mergeCell ref="P39:P48"/>
    <mergeCell ref="Q39:Q48"/>
    <mergeCell ref="V36:V37"/>
    <mergeCell ref="W36:W37"/>
    <mergeCell ref="X36:X37"/>
    <mergeCell ref="Y36:Y37"/>
    <mergeCell ref="B39:B48"/>
    <mergeCell ref="G39:G48"/>
    <mergeCell ref="H39:H48"/>
    <mergeCell ref="I39:I48"/>
    <mergeCell ref="J39:J48"/>
    <mergeCell ref="P36:P37"/>
    <mergeCell ref="Q36:Q37"/>
    <mergeCell ref="R36:R37"/>
    <mergeCell ref="S36:S37"/>
    <mergeCell ref="T36:T37"/>
    <mergeCell ref="U36:U37"/>
    <mergeCell ref="J36:J37"/>
    <mergeCell ref="L36:L37"/>
    <mergeCell ref="M36:M37"/>
    <mergeCell ref="N36:N37"/>
    <mergeCell ref="O36:O37"/>
    <mergeCell ref="F35:F37"/>
    <mergeCell ref="A36:A37"/>
    <mergeCell ref="B36:B37"/>
    <mergeCell ref="G36:G37"/>
    <mergeCell ref="H36:H37"/>
    <mergeCell ref="I36:I37"/>
    <mergeCell ref="P33:P34"/>
    <mergeCell ref="Q33:Q34"/>
    <mergeCell ref="R33:R34"/>
    <mergeCell ref="J33:J34"/>
    <mergeCell ref="L33:L34"/>
    <mergeCell ref="M33:M34"/>
    <mergeCell ref="N33:N34"/>
    <mergeCell ref="O33:O34"/>
    <mergeCell ref="V31:V32"/>
    <mergeCell ref="W31:W32"/>
    <mergeCell ref="X31:X32"/>
    <mergeCell ref="Y31:Y32"/>
    <mergeCell ref="A33:A34"/>
    <mergeCell ref="D33:D34"/>
    <mergeCell ref="F33:F34"/>
    <mergeCell ref="G33:G34"/>
    <mergeCell ref="H33:H34"/>
    <mergeCell ref="I33:I34"/>
    <mergeCell ref="P31:P32"/>
    <mergeCell ref="Q31:Q32"/>
    <mergeCell ref="R31:R32"/>
    <mergeCell ref="S31:S32"/>
    <mergeCell ref="T31:T32"/>
    <mergeCell ref="U31:U32"/>
    <mergeCell ref="V33:V34"/>
    <mergeCell ref="W33:W34"/>
    <mergeCell ref="X33:X34"/>
    <mergeCell ref="Y33:Y34"/>
    <mergeCell ref="S33:S34"/>
    <mergeCell ref="T33:T34"/>
    <mergeCell ref="U33:U34"/>
    <mergeCell ref="B31:B34"/>
    <mergeCell ref="F31:F32"/>
    <mergeCell ref="G31:G32"/>
    <mergeCell ref="K31:K32"/>
    <mergeCell ref="L31:L32"/>
    <mergeCell ref="M31:M32"/>
    <mergeCell ref="N31:N32"/>
    <mergeCell ref="O31:O32"/>
    <mergeCell ref="R19:R21"/>
    <mergeCell ref="Y12:Y13"/>
    <mergeCell ref="T12:T13"/>
    <mergeCell ref="U12:U13"/>
    <mergeCell ref="V12:V13"/>
    <mergeCell ref="X19:X21"/>
    <mergeCell ref="Y19:Y21"/>
    <mergeCell ref="T19:T21"/>
    <mergeCell ref="U19:U21"/>
    <mergeCell ref="V19:V21"/>
    <mergeCell ref="W19:W21"/>
    <mergeCell ref="L19:L21"/>
    <mergeCell ref="M19:M21"/>
    <mergeCell ref="N19:N21"/>
    <mergeCell ref="O19:O21"/>
    <mergeCell ref="P19:P21"/>
    <mergeCell ref="Q19:Q21"/>
    <mergeCell ref="A17:A18"/>
    <mergeCell ref="B19:B21"/>
    <mergeCell ref="G19:G21"/>
    <mergeCell ref="H19:H21"/>
    <mergeCell ref="I19:I21"/>
    <mergeCell ref="J19:J21"/>
    <mergeCell ref="Q12:Q13"/>
    <mergeCell ref="R12:R13"/>
    <mergeCell ref="S12:S13"/>
    <mergeCell ref="L12:L13"/>
    <mergeCell ref="M12:M13"/>
    <mergeCell ref="N12:N13"/>
    <mergeCell ref="O12:O13"/>
    <mergeCell ref="P12:P13"/>
    <mergeCell ref="A12:A13"/>
    <mergeCell ref="B12:B13"/>
    <mergeCell ref="S19:S21"/>
    <mergeCell ref="G12:G13"/>
    <mergeCell ref="H12:H13"/>
    <mergeCell ref="I12:I13"/>
    <mergeCell ref="J12:J13"/>
    <mergeCell ref="X5:X8"/>
    <mergeCell ref="W12:W13"/>
    <mergeCell ref="X12:X13"/>
    <mergeCell ref="Y5:Y8"/>
    <mergeCell ref="N5:N8"/>
    <mergeCell ref="O5:O8"/>
    <mergeCell ref="P5:P8"/>
    <mergeCell ref="Q5:Q8"/>
    <mergeCell ref="R5:R8"/>
    <mergeCell ref="S5:S8"/>
    <mergeCell ref="C1:W1"/>
    <mergeCell ref="A3:A4"/>
    <mergeCell ref="B3:B4"/>
    <mergeCell ref="E3:E8"/>
    <mergeCell ref="F3:F8"/>
    <mergeCell ref="G3:G4"/>
    <mergeCell ref="H3:H4"/>
    <mergeCell ref="I3:I4"/>
    <mergeCell ref="J3:J4"/>
    <mergeCell ref="B5:B8"/>
    <mergeCell ref="G5:G8"/>
    <mergeCell ref="H5:H8"/>
    <mergeCell ref="I5:I8"/>
    <mergeCell ref="J5:J8"/>
    <mergeCell ref="L5:L8"/>
    <mergeCell ref="M5:M8"/>
    <mergeCell ref="R3:R4"/>
    <mergeCell ref="T5:T8"/>
    <mergeCell ref="U5:U8"/>
    <mergeCell ref="V5:V8"/>
    <mergeCell ref="W5:W8"/>
    <mergeCell ref="L3:L4"/>
    <mergeCell ref="M3:M4"/>
    <mergeCell ref="N3:N4"/>
    <mergeCell ref="O3:O4"/>
    <mergeCell ref="P3:P4"/>
    <mergeCell ref="Q3:Q4"/>
    <mergeCell ref="X3:X4"/>
    <mergeCell ref="Y3:Y4"/>
    <mergeCell ref="S3:S4"/>
    <mergeCell ref="T3:T4"/>
    <mergeCell ref="U3:U4"/>
    <mergeCell ref="V3:V4"/>
    <mergeCell ref="W3:W4"/>
  </mergeCells>
  <phoneticPr fontId="134" type="noConversion"/>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54"/>
  <sheetViews>
    <sheetView topLeftCell="A13" zoomScale="85" zoomScaleNormal="85" workbookViewId="0">
      <selection activeCell="K20" sqref="K20"/>
    </sheetView>
  </sheetViews>
  <sheetFormatPr defaultRowHeight="14.25"/>
  <cols>
    <col min="1" max="1" width="10.25" style="3417" bestFit="1" customWidth="1"/>
    <col min="2" max="2" width="12.5" style="3399" customWidth="1"/>
    <col min="3" max="3" width="17.5" style="3458" customWidth="1"/>
    <col min="4" max="4" width="12.625" style="3458" customWidth="1"/>
    <col min="5" max="5" width="17.625" style="3398" customWidth="1"/>
    <col min="6" max="6" width="29.875" style="3498" customWidth="1"/>
    <col min="7" max="7" width="23.875" style="3398" bestFit="1" customWidth="1"/>
    <col min="8" max="8" width="17" style="3398" bestFit="1" customWidth="1"/>
    <col min="9" max="9" width="17" style="3398" customWidth="1"/>
    <col min="10" max="10" width="9.25" style="3398" bestFit="1" customWidth="1"/>
    <col min="11" max="11" width="8.125" style="3398" customWidth="1"/>
    <col min="12" max="12" width="9.75" style="3398" customWidth="1"/>
    <col min="13" max="13" width="6" style="3398" hidden="1" customWidth="1"/>
    <col min="14" max="14" width="10.375" style="3398" customWidth="1"/>
    <col min="15" max="15" width="11.125" style="3398" customWidth="1"/>
    <col min="16" max="16" width="11.375" style="3398" customWidth="1"/>
    <col min="17" max="17" width="18.75" style="3398" customWidth="1"/>
    <col min="18" max="18" width="12.75" style="3398" customWidth="1"/>
    <col min="19" max="21" width="11.375" style="3398" customWidth="1"/>
    <col min="22" max="22" width="12.375" style="3399" customWidth="1"/>
    <col min="23" max="23" width="12.5" style="3399" bestFit="1" customWidth="1"/>
    <col min="24" max="27" width="13.625" style="3506" bestFit="1" customWidth="1"/>
    <col min="28" max="31" width="13.625" style="3399" bestFit="1" customWidth="1"/>
    <col min="32" max="75" width="12.5" style="3397" bestFit="1" customWidth="1"/>
    <col min="76" max="77" width="9" style="3397"/>
    <col min="78" max="246" width="9" style="3399"/>
    <col min="247" max="247" width="10.25" style="3399" bestFit="1" customWidth="1"/>
    <col min="248" max="248" width="14.625" style="3399" customWidth="1"/>
    <col min="249" max="249" width="13.25" style="3399" bestFit="1" customWidth="1"/>
    <col min="250" max="250" width="10.875" style="3399" customWidth="1"/>
    <col min="251" max="251" width="12.625" style="3399" bestFit="1" customWidth="1"/>
    <col min="252" max="252" width="40.875" style="3399" bestFit="1" customWidth="1"/>
    <col min="253" max="253" width="23.875" style="3399" bestFit="1" customWidth="1"/>
    <col min="254" max="254" width="16" style="3399" customWidth="1"/>
    <col min="255" max="255" width="9.875" style="3399" customWidth="1"/>
    <col min="256" max="256" width="8.5" style="3399" customWidth="1"/>
    <col min="257" max="257" width="14.5" style="3399" bestFit="1" customWidth="1"/>
    <col min="258" max="258" width="6" style="3399" bestFit="1" customWidth="1"/>
    <col min="259" max="259" width="14.5" style="3399" bestFit="1" customWidth="1"/>
    <col min="260" max="260" width="17" style="3399" bestFit="1" customWidth="1"/>
    <col min="261" max="261" width="19.625" style="3399" bestFit="1" customWidth="1"/>
    <col min="262" max="262" width="45" style="3399" bestFit="1" customWidth="1"/>
    <col min="263" max="263" width="23.875" style="3399" bestFit="1" customWidth="1"/>
    <col min="264" max="264" width="17" style="3399" bestFit="1" customWidth="1"/>
    <col min="265" max="265" width="17.25" style="3399" customWidth="1"/>
    <col min="266" max="502" width="9" style="3399"/>
    <col min="503" max="503" width="10.25" style="3399" bestFit="1" customWidth="1"/>
    <col min="504" max="504" width="14.625" style="3399" customWidth="1"/>
    <col min="505" max="505" width="13.25" style="3399" bestFit="1" customWidth="1"/>
    <col min="506" max="506" width="10.875" style="3399" customWidth="1"/>
    <col min="507" max="507" width="12.625" style="3399" bestFit="1" customWidth="1"/>
    <col min="508" max="508" width="40.875" style="3399" bestFit="1" customWidth="1"/>
    <col min="509" max="509" width="23.875" style="3399" bestFit="1" customWidth="1"/>
    <col min="510" max="510" width="16" style="3399" customWidth="1"/>
    <col min="511" max="511" width="9.875" style="3399" customWidth="1"/>
    <col min="512" max="512" width="8.5" style="3399" customWidth="1"/>
    <col min="513" max="513" width="14.5" style="3399" bestFit="1" customWidth="1"/>
    <col min="514" max="514" width="6" style="3399" bestFit="1" customWidth="1"/>
    <col min="515" max="515" width="14.5" style="3399" bestFit="1" customWidth="1"/>
    <col min="516" max="516" width="17" style="3399" bestFit="1" customWidth="1"/>
    <col min="517" max="517" width="19.625" style="3399" bestFit="1" customWidth="1"/>
    <col min="518" max="518" width="45" style="3399" bestFit="1" customWidth="1"/>
    <col min="519" max="519" width="23.875" style="3399" bestFit="1" customWidth="1"/>
    <col min="520" max="520" width="17" style="3399" bestFit="1" customWidth="1"/>
    <col min="521" max="521" width="17.25" style="3399" customWidth="1"/>
    <col min="522" max="758" width="9" style="3399"/>
    <col min="759" max="759" width="10.25" style="3399" bestFit="1" customWidth="1"/>
    <col min="760" max="760" width="14.625" style="3399" customWidth="1"/>
    <col min="761" max="761" width="13.25" style="3399" bestFit="1" customWidth="1"/>
    <col min="762" max="762" width="10.875" style="3399" customWidth="1"/>
    <col min="763" max="763" width="12.625" style="3399" bestFit="1" customWidth="1"/>
    <col min="764" max="764" width="40.875" style="3399" bestFit="1" customWidth="1"/>
    <col min="765" max="765" width="23.875" style="3399" bestFit="1" customWidth="1"/>
    <col min="766" max="766" width="16" style="3399" customWidth="1"/>
    <col min="767" max="767" width="9.875" style="3399" customWidth="1"/>
    <col min="768" max="768" width="8.5" style="3399" customWidth="1"/>
    <col min="769" max="769" width="14.5" style="3399" bestFit="1" customWidth="1"/>
    <col min="770" max="770" width="6" style="3399" bestFit="1" customWidth="1"/>
    <col min="771" max="771" width="14.5" style="3399" bestFit="1" customWidth="1"/>
    <col min="772" max="772" width="17" style="3399" bestFit="1" customWidth="1"/>
    <col min="773" max="773" width="19.625" style="3399" bestFit="1" customWidth="1"/>
    <col min="774" max="774" width="45" style="3399" bestFit="1" customWidth="1"/>
    <col min="775" max="775" width="23.875" style="3399" bestFit="1" customWidth="1"/>
    <col min="776" max="776" width="17" style="3399" bestFit="1" customWidth="1"/>
    <col min="777" max="777" width="17.25" style="3399" customWidth="1"/>
    <col min="778" max="1014" width="9" style="3399"/>
    <col min="1015" max="1015" width="10.25" style="3399" bestFit="1" customWidth="1"/>
    <col min="1016" max="1016" width="14.625" style="3399" customWidth="1"/>
    <col min="1017" max="1017" width="13.25" style="3399" bestFit="1" customWidth="1"/>
    <col min="1018" max="1018" width="10.875" style="3399" customWidth="1"/>
    <col min="1019" max="1019" width="12.625" style="3399" bestFit="1" customWidth="1"/>
    <col min="1020" max="1020" width="40.875" style="3399" bestFit="1" customWidth="1"/>
    <col min="1021" max="1021" width="23.875" style="3399" bestFit="1" customWidth="1"/>
    <col min="1022" max="1022" width="16" style="3399" customWidth="1"/>
    <col min="1023" max="1023" width="9.875" style="3399" customWidth="1"/>
    <col min="1024" max="1024" width="8.5" style="3399" customWidth="1"/>
    <col min="1025" max="1025" width="14.5" style="3399" bestFit="1" customWidth="1"/>
    <col min="1026" max="1026" width="6" style="3399" bestFit="1" customWidth="1"/>
    <col min="1027" max="1027" width="14.5" style="3399" bestFit="1" customWidth="1"/>
    <col min="1028" max="1028" width="17" style="3399" bestFit="1" customWidth="1"/>
    <col min="1029" max="1029" width="19.625" style="3399" bestFit="1" customWidth="1"/>
    <col min="1030" max="1030" width="45" style="3399" bestFit="1" customWidth="1"/>
    <col min="1031" max="1031" width="23.875" style="3399" bestFit="1" customWidth="1"/>
    <col min="1032" max="1032" width="17" style="3399" bestFit="1" customWidth="1"/>
    <col min="1033" max="1033" width="17.25" style="3399" customWidth="1"/>
    <col min="1034" max="1270" width="9" style="3399"/>
    <col min="1271" max="1271" width="10.25" style="3399" bestFit="1" customWidth="1"/>
    <col min="1272" max="1272" width="14.625" style="3399" customWidth="1"/>
    <col min="1273" max="1273" width="13.25" style="3399" bestFit="1" customWidth="1"/>
    <col min="1274" max="1274" width="10.875" style="3399" customWidth="1"/>
    <col min="1275" max="1275" width="12.625" style="3399" bestFit="1" customWidth="1"/>
    <col min="1276" max="1276" width="40.875" style="3399" bestFit="1" customWidth="1"/>
    <col min="1277" max="1277" width="23.875" style="3399" bestFit="1" customWidth="1"/>
    <col min="1278" max="1278" width="16" style="3399" customWidth="1"/>
    <col min="1279" max="1279" width="9.875" style="3399" customWidth="1"/>
    <col min="1280" max="1280" width="8.5" style="3399" customWidth="1"/>
    <col min="1281" max="1281" width="14.5" style="3399" bestFit="1" customWidth="1"/>
    <col min="1282" max="1282" width="6" style="3399" bestFit="1" customWidth="1"/>
    <col min="1283" max="1283" width="14.5" style="3399" bestFit="1" customWidth="1"/>
    <col min="1284" max="1284" width="17" style="3399" bestFit="1" customWidth="1"/>
    <col min="1285" max="1285" width="19.625" style="3399" bestFit="1" customWidth="1"/>
    <col min="1286" max="1286" width="45" style="3399" bestFit="1" customWidth="1"/>
    <col min="1287" max="1287" width="23.875" style="3399" bestFit="1" customWidth="1"/>
    <col min="1288" max="1288" width="17" style="3399" bestFit="1" customWidth="1"/>
    <col min="1289" max="1289" width="17.25" style="3399" customWidth="1"/>
    <col min="1290" max="1526" width="9" style="3399"/>
    <col min="1527" max="1527" width="10.25" style="3399" bestFit="1" customWidth="1"/>
    <col min="1528" max="1528" width="14.625" style="3399" customWidth="1"/>
    <col min="1529" max="1529" width="13.25" style="3399" bestFit="1" customWidth="1"/>
    <col min="1530" max="1530" width="10.875" style="3399" customWidth="1"/>
    <col min="1531" max="1531" width="12.625" style="3399" bestFit="1" customWidth="1"/>
    <col min="1532" max="1532" width="40.875" style="3399" bestFit="1" customWidth="1"/>
    <col min="1533" max="1533" width="23.875" style="3399" bestFit="1" customWidth="1"/>
    <col min="1534" max="1534" width="16" style="3399" customWidth="1"/>
    <col min="1535" max="1535" width="9.875" style="3399" customWidth="1"/>
    <col min="1536" max="1536" width="8.5" style="3399" customWidth="1"/>
    <col min="1537" max="1537" width="14.5" style="3399" bestFit="1" customWidth="1"/>
    <col min="1538" max="1538" width="6" style="3399" bestFit="1" customWidth="1"/>
    <col min="1539" max="1539" width="14.5" style="3399" bestFit="1" customWidth="1"/>
    <col min="1540" max="1540" width="17" style="3399" bestFit="1" customWidth="1"/>
    <col min="1541" max="1541" width="19.625" style="3399" bestFit="1" customWidth="1"/>
    <col min="1542" max="1542" width="45" style="3399" bestFit="1" customWidth="1"/>
    <col min="1543" max="1543" width="23.875" style="3399" bestFit="1" customWidth="1"/>
    <col min="1544" max="1544" width="17" style="3399" bestFit="1" customWidth="1"/>
    <col min="1545" max="1545" width="17.25" style="3399" customWidth="1"/>
    <col min="1546" max="1782" width="9" style="3399"/>
    <col min="1783" max="1783" width="10.25" style="3399" bestFit="1" customWidth="1"/>
    <col min="1784" max="1784" width="14.625" style="3399" customWidth="1"/>
    <col min="1785" max="1785" width="13.25" style="3399" bestFit="1" customWidth="1"/>
    <col min="1786" max="1786" width="10.875" style="3399" customWidth="1"/>
    <col min="1787" max="1787" width="12.625" style="3399" bestFit="1" customWidth="1"/>
    <col min="1788" max="1788" width="40.875" style="3399" bestFit="1" customWidth="1"/>
    <col min="1789" max="1789" width="23.875" style="3399" bestFit="1" customWidth="1"/>
    <col min="1790" max="1790" width="16" style="3399" customWidth="1"/>
    <col min="1791" max="1791" width="9.875" style="3399" customWidth="1"/>
    <col min="1792" max="1792" width="8.5" style="3399" customWidth="1"/>
    <col min="1793" max="1793" width="14.5" style="3399" bestFit="1" customWidth="1"/>
    <col min="1794" max="1794" width="6" style="3399" bestFit="1" customWidth="1"/>
    <col min="1795" max="1795" width="14.5" style="3399" bestFit="1" customWidth="1"/>
    <col min="1796" max="1796" width="17" style="3399" bestFit="1" customWidth="1"/>
    <col min="1797" max="1797" width="19.625" style="3399" bestFit="1" customWidth="1"/>
    <col min="1798" max="1798" width="45" style="3399" bestFit="1" customWidth="1"/>
    <col min="1799" max="1799" width="23.875" style="3399" bestFit="1" customWidth="1"/>
    <col min="1800" max="1800" width="17" style="3399" bestFit="1" customWidth="1"/>
    <col min="1801" max="1801" width="17.25" style="3399" customWidth="1"/>
    <col min="1802" max="2038" width="9" style="3399"/>
    <col min="2039" max="2039" width="10.25" style="3399" bestFit="1" customWidth="1"/>
    <col min="2040" max="2040" width="14.625" style="3399" customWidth="1"/>
    <col min="2041" max="2041" width="13.25" style="3399" bestFit="1" customWidth="1"/>
    <col min="2042" max="2042" width="10.875" style="3399" customWidth="1"/>
    <col min="2043" max="2043" width="12.625" style="3399" bestFit="1" customWidth="1"/>
    <col min="2044" max="2044" width="40.875" style="3399" bestFit="1" customWidth="1"/>
    <col min="2045" max="2045" width="23.875" style="3399" bestFit="1" customWidth="1"/>
    <col min="2046" max="2046" width="16" style="3399" customWidth="1"/>
    <col min="2047" max="2047" width="9.875" style="3399" customWidth="1"/>
    <col min="2048" max="2048" width="8.5" style="3399" customWidth="1"/>
    <col min="2049" max="2049" width="14.5" style="3399" bestFit="1" customWidth="1"/>
    <col min="2050" max="2050" width="6" style="3399" bestFit="1" customWidth="1"/>
    <col min="2051" max="2051" width="14.5" style="3399" bestFit="1" customWidth="1"/>
    <col min="2052" max="2052" width="17" style="3399" bestFit="1" customWidth="1"/>
    <col min="2053" max="2053" width="19.625" style="3399" bestFit="1" customWidth="1"/>
    <col min="2054" max="2054" width="45" style="3399" bestFit="1" customWidth="1"/>
    <col min="2055" max="2055" width="23.875" style="3399" bestFit="1" customWidth="1"/>
    <col min="2056" max="2056" width="17" style="3399" bestFit="1" customWidth="1"/>
    <col min="2057" max="2057" width="17.25" style="3399" customWidth="1"/>
    <col min="2058" max="2294" width="9" style="3399"/>
    <col min="2295" max="2295" width="10.25" style="3399" bestFit="1" customWidth="1"/>
    <col min="2296" max="2296" width="14.625" style="3399" customWidth="1"/>
    <col min="2297" max="2297" width="13.25" style="3399" bestFit="1" customWidth="1"/>
    <col min="2298" max="2298" width="10.875" style="3399" customWidth="1"/>
    <col min="2299" max="2299" width="12.625" style="3399" bestFit="1" customWidth="1"/>
    <col min="2300" max="2300" width="40.875" style="3399" bestFit="1" customWidth="1"/>
    <col min="2301" max="2301" width="23.875" style="3399" bestFit="1" customWidth="1"/>
    <col min="2302" max="2302" width="16" style="3399" customWidth="1"/>
    <col min="2303" max="2303" width="9.875" style="3399" customWidth="1"/>
    <col min="2304" max="2304" width="8.5" style="3399" customWidth="1"/>
    <col min="2305" max="2305" width="14.5" style="3399" bestFit="1" customWidth="1"/>
    <col min="2306" max="2306" width="6" style="3399" bestFit="1" customWidth="1"/>
    <col min="2307" max="2307" width="14.5" style="3399" bestFit="1" customWidth="1"/>
    <col min="2308" max="2308" width="17" style="3399" bestFit="1" customWidth="1"/>
    <col min="2309" max="2309" width="19.625" style="3399" bestFit="1" customWidth="1"/>
    <col min="2310" max="2310" width="45" style="3399" bestFit="1" customWidth="1"/>
    <col min="2311" max="2311" width="23.875" style="3399" bestFit="1" customWidth="1"/>
    <col min="2312" max="2312" width="17" style="3399" bestFit="1" customWidth="1"/>
    <col min="2313" max="2313" width="17.25" style="3399" customWidth="1"/>
    <col min="2314" max="2550" width="9" style="3399"/>
    <col min="2551" max="2551" width="10.25" style="3399" bestFit="1" customWidth="1"/>
    <col min="2552" max="2552" width="14.625" style="3399" customWidth="1"/>
    <col min="2553" max="2553" width="13.25" style="3399" bestFit="1" customWidth="1"/>
    <col min="2554" max="2554" width="10.875" style="3399" customWidth="1"/>
    <col min="2555" max="2555" width="12.625" style="3399" bestFit="1" customWidth="1"/>
    <col min="2556" max="2556" width="40.875" style="3399" bestFit="1" customWidth="1"/>
    <col min="2557" max="2557" width="23.875" style="3399" bestFit="1" customWidth="1"/>
    <col min="2558" max="2558" width="16" style="3399" customWidth="1"/>
    <col min="2559" max="2559" width="9.875" style="3399" customWidth="1"/>
    <col min="2560" max="2560" width="8.5" style="3399" customWidth="1"/>
    <col min="2561" max="2561" width="14.5" style="3399" bestFit="1" customWidth="1"/>
    <col min="2562" max="2562" width="6" style="3399" bestFit="1" customWidth="1"/>
    <col min="2563" max="2563" width="14.5" style="3399" bestFit="1" customWidth="1"/>
    <col min="2564" max="2564" width="17" style="3399" bestFit="1" customWidth="1"/>
    <col min="2565" max="2565" width="19.625" style="3399" bestFit="1" customWidth="1"/>
    <col min="2566" max="2566" width="45" style="3399" bestFit="1" customWidth="1"/>
    <col min="2567" max="2567" width="23.875" style="3399" bestFit="1" customWidth="1"/>
    <col min="2568" max="2568" width="17" style="3399" bestFit="1" customWidth="1"/>
    <col min="2569" max="2569" width="17.25" style="3399" customWidth="1"/>
    <col min="2570" max="2806" width="9" style="3399"/>
    <col min="2807" max="2807" width="10.25" style="3399" bestFit="1" customWidth="1"/>
    <col min="2808" max="2808" width="14.625" style="3399" customWidth="1"/>
    <col min="2809" max="2809" width="13.25" style="3399" bestFit="1" customWidth="1"/>
    <col min="2810" max="2810" width="10.875" style="3399" customWidth="1"/>
    <col min="2811" max="2811" width="12.625" style="3399" bestFit="1" customWidth="1"/>
    <col min="2812" max="2812" width="40.875" style="3399" bestFit="1" customWidth="1"/>
    <col min="2813" max="2813" width="23.875" style="3399" bestFit="1" customWidth="1"/>
    <col min="2814" max="2814" width="16" style="3399" customWidth="1"/>
    <col min="2815" max="2815" width="9.875" style="3399" customWidth="1"/>
    <col min="2816" max="2816" width="8.5" style="3399" customWidth="1"/>
    <col min="2817" max="2817" width="14.5" style="3399" bestFit="1" customWidth="1"/>
    <col min="2818" max="2818" width="6" style="3399" bestFit="1" customWidth="1"/>
    <col min="2819" max="2819" width="14.5" style="3399" bestFit="1" customWidth="1"/>
    <col min="2820" max="2820" width="17" style="3399" bestFit="1" customWidth="1"/>
    <col min="2821" max="2821" width="19.625" style="3399" bestFit="1" customWidth="1"/>
    <col min="2822" max="2822" width="45" style="3399" bestFit="1" customWidth="1"/>
    <col min="2823" max="2823" width="23.875" style="3399" bestFit="1" customWidth="1"/>
    <col min="2824" max="2824" width="17" style="3399" bestFit="1" customWidth="1"/>
    <col min="2825" max="2825" width="17.25" style="3399" customWidth="1"/>
    <col min="2826" max="3062" width="9" style="3399"/>
    <col min="3063" max="3063" width="10.25" style="3399" bestFit="1" customWidth="1"/>
    <col min="3064" max="3064" width="14.625" style="3399" customWidth="1"/>
    <col min="3065" max="3065" width="13.25" style="3399" bestFit="1" customWidth="1"/>
    <col min="3066" max="3066" width="10.875" style="3399" customWidth="1"/>
    <col min="3067" max="3067" width="12.625" style="3399" bestFit="1" customWidth="1"/>
    <col min="3068" max="3068" width="40.875" style="3399" bestFit="1" customWidth="1"/>
    <col min="3069" max="3069" width="23.875" style="3399" bestFit="1" customWidth="1"/>
    <col min="3070" max="3070" width="16" style="3399" customWidth="1"/>
    <col min="3071" max="3071" width="9.875" style="3399" customWidth="1"/>
    <col min="3072" max="3072" width="8.5" style="3399" customWidth="1"/>
    <col min="3073" max="3073" width="14.5" style="3399" bestFit="1" customWidth="1"/>
    <col min="3074" max="3074" width="6" style="3399" bestFit="1" customWidth="1"/>
    <col min="3075" max="3075" width="14.5" style="3399" bestFit="1" customWidth="1"/>
    <col min="3076" max="3076" width="17" style="3399" bestFit="1" customWidth="1"/>
    <col min="3077" max="3077" width="19.625" style="3399" bestFit="1" customWidth="1"/>
    <col min="3078" max="3078" width="45" style="3399" bestFit="1" customWidth="1"/>
    <col min="3079" max="3079" width="23.875" style="3399" bestFit="1" customWidth="1"/>
    <col min="3080" max="3080" width="17" style="3399" bestFit="1" customWidth="1"/>
    <col min="3081" max="3081" width="17.25" style="3399" customWidth="1"/>
    <col min="3082" max="3318" width="9" style="3399"/>
    <col min="3319" max="3319" width="10.25" style="3399" bestFit="1" customWidth="1"/>
    <col min="3320" max="3320" width="14.625" style="3399" customWidth="1"/>
    <col min="3321" max="3321" width="13.25" style="3399" bestFit="1" customWidth="1"/>
    <col min="3322" max="3322" width="10.875" style="3399" customWidth="1"/>
    <col min="3323" max="3323" width="12.625" style="3399" bestFit="1" customWidth="1"/>
    <col min="3324" max="3324" width="40.875" style="3399" bestFit="1" customWidth="1"/>
    <col min="3325" max="3325" width="23.875" style="3399" bestFit="1" customWidth="1"/>
    <col min="3326" max="3326" width="16" style="3399" customWidth="1"/>
    <col min="3327" max="3327" width="9.875" style="3399" customWidth="1"/>
    <col min="3328" max="3328" width="8.5" style="3399" customWidth="1"/>
    <col min="3329" max="3329" width="14.5" style="3399" bestFit="1" customWidth="1"/>
    <col min="3330" max="3330" width="6" style="3399" bestFit="1" customWidth="1"/>
    <col min="3331" max="3331" width="14.5" style="3399" bestFit="1" customWidth="1"/>
    <col min="3332" max="3332" width="17" style="3399" bestFit="1" customWidth="1"/>
    <col min="3333" max="3333" width="19.625" style="3399" bestFit="1" customWidth="1"/>
    <col min="3334" max="3334" width="45" style="3399" bestFit="1" customWidth="1"/>
    <col min="3335" max="3335" width="23.875" style="3399" bestFit="1" customWidth="1"/>
    <col min="3336" max="3336" width="17" style="3399" bestFit="1" customWidth="1"/>
    <col min="3337" max="3337" width="17.25" style="3399" customWidth="1"/>
    <col min="3338" max="3574" width="9" style="3399"/>
    <col min="3575" max="3575" width="10.25" style="3399" bestFit="1" customWidth="1"/>
    <col min="3576" max="3576" width="14.625" style="3399" customWidth="1"/>
    <col min="3577" max="3577" width="13.25" style="3399" bestFit="1" customWidth="1"/>
    <col min="3578" max="3578" width="10.875" style="3399" customWidth="1"/>
    <col min="3579" max="3579" width="12.625" style="3399" bestFit="1" customWidth="1"/>
    <col min="3580" max="3580" width="40.875" style="3399" bestFit="1" customWidth="1"/>
    <col min="3581" max="3581" width="23.875" style="3399" bestFit="1" customWidth="1"/>
    <col min="3582" max="3582" width="16" style="3399" customWidth="1"/>
    <col min="3583" max="3583" width="9.875" style="3399" customWidth="1"/>
    <col min="3584" max="3584" width="8.5" style="3399" customWidth="1"/>
    <col min="3585" max="3585" width="14.5" style="3399" bestFit="1" customWidth="1"/>
    <col min="3586" max="3586" width="6" style="3399" bestFit="1" customWidth="1"/>
    <col min="3587" max="3587" width="14.5" style="3399" bestFit="1" customWidth="1"/>
    <col min="3588" max="3588" width="17" style="3399" bestFit="1" customWidth="1"/>
    <col min="3589" max="3589" width="19.625" style="3399" bestFit="1" customWidth="1"/>
    <col min="3590" max="3590" width="45" style="3399" bestFit="1" customWidth="1"/>
    <col min="3591" max="3591" width="23.875" style="3399" bestFit="1" customWidth="1"/>
    <col min="3592" max="3592" width="17" style="3399" bestFit="1" customWidth="1"/>
    <col min="3593" max="3593" width="17.25" style="3399" customWidth="1"/>
    <col min="3594" max="3830" width="9" style="3399"/>
    <col min="3831" max="3831" width="10.25" style="3399" bestFit="1" customWidth="1"/>
    <col min="3832" max="3832" width="14.625" style="3399" customWidth="1"/>
    <col min="3833" max="3833" width="13.25" style="3399" bestFit="1" customWidth="1"/>
    <col min="3834" max="3834" width="10.875" style="3399" customWidth="1"/>
    <col min="3835" max="3835" width="12.625" style="3399" bestFit="1" customWidth="1"/>
    <col min="3836" max="3836" width="40.875" style="3399" bestFit="1" customWidth="1"/>
    <col min="3837" max="3837" width="23.875" style="3399" bestFit="1" customWidth="1"/>
    <col min="3838" max="3838" width="16" style="3399" customWidth="1"/>
    <col min="3839" max="3839" width="9.875" style="3399" customWidth="1"/>
    <col min="3840" max="3840" width="8.5" style="3399" customWidth="1"/>
    <col min="3841" max="3841" width="14.5" style="3399" bestFit="1" customWidth="1"/>
    <col min="3842" max="3842" width="6" style="3399" bestFit="1" customWidth="1"/>
    <col min="3843" max="3843" width="14.5" style="3399" bestFit="1" customWidth="1"/>
    <col min="3844" max="3844" width="17" style="3399" bestFit="1" customWidth="1"/>
    <col min="3845" max="3845" width="19.625" style="3399" bestFit="1" customWidth="1"/>
    <col min="3846" max="3846" width="45" style="3399" bestFit="1" customWidth="1"/>
    <col min="3847" max="3847" width="23.875" style="3399" bestFit="1" customWidth="1"/>
    <col min="3848" max="3848" width="17" style="3399" bestFit="1" customWidth="1"/>
    <col min="3849" max="3849" width="17.25" style="3399" customWidth="1"/>
    <col min="3850" max="4086" width="9" style="3399"/>
    <col min="4087" max="4087" width="10.25" style="3399" bestFit="1" customWidth="1"/>
    <col min="4088" max="4088" width="14.625" style="3399" customWidth="1"/>
    <col min="4089" max="4089" width="13.25" style="3399" bestFit="1" customWidth="1"/>
    <col min="4090" max="4090" width="10.875" style="3399" customWidth="1"/>
    <col min="4091" max="4091" width="12.625" style="3399" bestFit="1" customWidth="1"/>
    <col min="4092" max="4092" width="40.875" style="3399" bestFit="1" customWidth="1"/>
    <col min="4093" max="4093" width="23.875" style="3399" bestFit="1" customWidth="1"/>
    <col min="4094" max="4094" width="16" style="3399" customWidth="1"/>
    <col min="4095" max="4095" width="9.875" style="3399" customWidth="1"/>
    <col min="4096" max="4096" width="8.5" style="3399" customWidth="1"/>
    <col min="4097" max="4097" width="14.5" style="3399" bestFit="1" customWidth="1"/>
    <col min="4098" max="4098" width="6" style="3399" bestFit="1" customWidth="1"/>
    <col min="4099" max="4099" width="14.5" style="3399" bestFit="1" customWidth="1"/>
    <col min="4100" max="4100" width="17" style="3399" bestFit="1" customWidth="1"/>
    <col min="4101" max="4101" width="19.625" style="3399" bestFit="1" customWidth="1"/>
    <col min="4102" max="4102" width="45" style="3399" bestFit="1" customWidth="1"/>
    <col min="4103" max="4103" width="23.875" style="3399" bestFit="1" customWidth="1"/>
    <col min="4104" max="4104" width="17" style="3399" bestFit="1" customWidth="1"/>
    <col min="4105" max="4105" width="17.25" style="3399" customWidth="1"/>
    <col min="4106" max="4342" width="9" style="3399"/>
    <col min="4343" max="4343" width="10.25" style="3399" bestFit="1" customWidth="1"/>
    <col min="4344" max="4344" width="14.625" style="3399" customWidth="1"/>
    <col min="4345" max="4345" width="13.25" style="3399" bestFit="1" customWidth="1"/>
    <col min="4346" max="4346" width="10.875" style="3399" customWidth="1"/>
    <col min="4347" max="4347" width="12.625" style="3399" bestFit="1" customWidth="1"/>
    <col min="4348" max="4348" width="40.875" style="3399" bestFit="1" customWidth="1"/>
    <col min="4349" max="4349" width="23.875" style="3399" bestFit="1" customWidth="1"/>
    <col min="4350" max="4350" width="16" style="3399" customWidth="1"/>
    <col min="4351" max="4351" width="9.875" style="3399" customWidth="1"/>
    <col min="4352" max="4352" width="8.5" style="3399" customWidth="1"/>
    <col min="4353" max="4353" width="14.5" style="3399" bestFit="1" customWidth="1"/>
    <col min="4354" max="4354" width="6" style="3399" bestFit="1" customWidth="1"/>
    <col min="4355" max="4355" width="14.5" style="3399" bestFit="1" customWidth="1"/>
    <col min="4356" max="4356" width="17" style="3399" bestFit="1" customWidth="1"/>
    <col min="4357" max="4357" width="19.625" style="3399" bestFit="1" customWidth="1"/>
    <col min="4358" max="4358" width="45" style="3399" bestFit="1" customWidth="1"/>
    <col min="4359" max="4359" width="23.875" style="3399" bestFit="1" customWidth="1"/>
    <col min="4360" max="4360" width="17" style="3399" bestFit="1" customWidth="1"/>
    <col min="4361" max="4361" width="17.25" style="3399" customWidth="1"/>
    <col min="4362" max="4598" width="9" style="3399"/>
    <col min="4599" max="4599" width="10.25" style="3399" bestFit="1" customWidth="1"/>
    <col min="4600" max="4600" width="14.625" style="3399" customWidth="1"/>
    <col min="4601" max="4601" width="13.25" style="3399" bestFit="1" customWidth="1"/>
    <col min="4602" max="4602" width="10.875" style="3399" customWidth="1"/>
    <col min="4603" max="4603" width="12.625" style="3399" bestFit="1" customWidth="1"/>
    <col min="4604" max="4604" width="40.875" style="3399" bestFit="1" customWidth="1"/>
    <col min="4605" max="4605" width="23.875" style="3399" bestFit="1" customWidth="1"/>
    <col min="4606" max="4606" width="16" style="3399" customWidth="1"/>
    <col min="4607" max="4607" width="9.875" style="3399" customWidth="1"/>
    <col min="4608" max="4608" width="8.5" style="3399" customWidth="1"/>
    <col min="4609" max="4609" width="14.5" style="3399" bestFit="1" customWidth="1"/>
    <col min="4610" max="4610" width="6" style="3399" bestFit="1" customWidth="1"/>
    <col min="4611" max="4611" width="14.5" style="3399" bestFit="1" customWidth="1"/>
    <col min="4612" max="4612" width="17" style="3399" bestFit="1" customWidth="1"/>
    <col min="4613" max="4613" width="19.625" style="3399" bestFit="1" customWidth="1"/>
    <col min="4614" max="4614" width="45" style="3399" bestFit="1" customWidth="1"/>
    <col min="4615" max="4615" width="23.875" style="3399" bestFit="1" customWidth="1"/>
    <col min="4616" max="4616" width="17" style="3399" bestFit="1" customWidth="1"/>
    <col min="4617" max="4617" width="17.25" style="3399" customWidth="1"/>
    <col min="4618" max="4854" width="9" style="3399"/>
    <col min="4855" max="4855" width="10.25" style="3399" bestFit="1" customWidth="1"/>
    <col min="4856" max="4856" width="14.625" style="3399" customWidth="1"/>
    <col min="4857" max="4857" width="13.25" style="3399" bestFit="1" customWidth="1"/>
    <col min="4858" max="4858" width="10.875" style="3399" customWidth="1"/>
    <col min="4859" max="4859" width="12.625" style="3399" bestFit="1" customWidth="1"/>
    <col min="4860" max="4860" width="40.875" style="3399" bestFit="1" customWidth="1"/>
    <col min="4861" max="4861" width="23.875" style="3399" bestFit="1" customWidth="1"/>
    <col min="4862" max="4862" width="16" style="3399" customWidth="1"/>
    <col min="4863" max="4863" width="9.875" style="3399" customWidth="1"/>
    <col min="4864" max="4864" width="8.5" style="3399" customWidth="1"/>
    <col min="4865" max="4865" width="14.5" style="3399" bestFit="1" customWidth="1"/>
    <col min="4866" max="4866" width="6" style="3399" bestFit="1" customWidth="1"/>
    <col min="4867" max="4867" width="14.5" style="3399" bestFit="1" customWidth="1"/>
    <col min="4868" max="4868" width="17" style="3399" bestFit="1" customWidth="1"/>
    <col min="4869" max="4869" width="19.625" style="3399" bestFit="1" customWidth="1"/>
    <col min="4870" max="4870" width="45" style="3399" bestFit="1" customWidth="1"/>
    <col min="4871" max="4871" width="23.875" style="3399" bestFit="1" customWidth="1"/>
    <col min="4872" max="4872" width="17" style="3399" bestFit="1" customWidth="1"/>
    <col min="4873" max="4873" width="17.25" style="3399" customWidth="1"/>
    <col min="4874" max="5110" width="9" style="3399"/>
    <col min="5111" max="5111" width="10.25" style="3399" bestFit="1" customWidth="1"/>
    <col min="5112" max="5112" width="14.625" style="3399" customWidth="1"/>
    <col min="5113" max="5113" width="13.25" style="3399" bestFit="1" customWidth="1"/>
    <col min="5114" max="5114" width="10.875" style="3399" customWidth="1"/>
    <col min="5115" max="5115" width="12.625" style="3399" bestFit="1" customWidth="1"/>
    <col min="5116" max="5116" width="40.875" style="3399" bestFit="1" customWidth="1"/>
    <col min="5117" max="5117" width="23.875" style="3399" bestFit="1" customWidth="1"/>
    <col min="5118" max="5118" width="16" style="3399" customWidth="1"/>
    <col min="5119" max="5119" width="9.875" style="3399" customWidth="1"/>
    <col min="5120" max="5120" width="8.5" style="3399" customWidth="1"/>
    <col min="5121" max="5121" width="14.5" style="3399" bestFit="1" customWidth="1"/>
    <col min="5122" max="5122" width="6" style="3399" bestFit="1" customWidth="1"/>
    <col min="5123" max="5123" width="14.5" style="3399" bestFit="1" customWidth="1"/>
    <col min="5124" max="5124" width="17" style="3399" bestFit="1" customWidth="1"/>
    <col min="5125" max="5125" width="19.625" style="3399" bestFit="1" customWidth="1"/>
    <col min="5126" max="5126" width="45" style="3399" bestFit="1" customWidth="1"/>
    <col min="5127" max="5127" width="23.875" style="3399" bestFit="1" customWidth="1"/>
    <col min="5128" max="5128" width="17" style="3399" bestFit="1" customWidth="1"/>
    <col min="5129" max="5129" width="17.25" style="3399" customWidth="1"/>
    <col min="5130" max="5366" width="9" style="3399"/>
    <col min="5367" max="5367" width="10.25" style="3399" bestFit="1" customWidth="1"/>
    <col min="5368" max="5368" width="14.625" style="3399" customWidth="1"/>
    <col min="5369" max="5369" width="13.25" style="3399" bestFit="1" customWidth="1"/>
    <col min="5370" max="5370" width="10.875" style="3399" customWidth="1"/>
    <col min="5371" max="5371" width="12.625" style="3399" bestFit="1" customWidth="1"/>
    <col min="5372" max="5372" width="40.875" style="3399" bestFit="1" customWidth="1"/>
    <col min="5373" max="5373" width="23.875" style="3399" bestFit="1" customWidth="1"/>
    <col min="5374" max="5374" width="16" style="3399" customWidth="1"/>
    <col min="5375" max="5375" width="9.875" style="3399" customWidth="1"/>
    <col min="5376" max="5376" width="8.5" style="3399" customWidth="1"/>
    <col min="5377" max="5377" width="14.5" style="3399" bestFit="1" customWidth="1"/>
    <col min="5378" max="5378" width="6" style="3399" bestFit="1" customWidth="1"/>
    <col min="5379" max="5379" width="14.5" style="3399" bestFit="1" customWidth="1"/>
    <col min="5380" max="5380" width="17" style="3399" bestFit="1" customWidth="1"/>
    <col min="5381" max="5381" width="19.625" style="3399" bestFit="1" customWidth="1"/>
    <col min="5382" max="5382" width="45" style="3399" bestFit="1" customWidth="1"/>
    <col min="5383" max="5383" width="23.875" style="3399" bestFit="1" customWidth="1"/>
    <col min="5384" max="5384" width="17" style="3399" bestFit="1" customWidth="1"/>
    <col min="5385" max="5385" width="17.25" style="3399" customWidth="1"/>
    <col min="5386" max="5622" width="9" style="3399"/>
    <col min="5623" max="5623" width="10.25" style="3399" bestFit="1" customWidth="1"/>
    <col min="5624" max="5624" width="14.625" style="3399" customWidth="1"/>
    <col min="5625" max="5625" width="13.25" style="3399" bestFit="1" customWidth="1"/>
    <col min="5626" max="5626" width="10.875" style="3399" customWidth="1"/>
    <col min="5627" max="5627" width="12.625" style="3399" bestFit="1" customWidth="1"/>
    <col min="5628" max="5628" width="40.875" style="3399" bestFit="1" customWidth="1"/>
    <col min="5629" max="5629" width="23.875" style="3399" bestFit="1" customWidth="1"/>
    <col min="5630" max="5630" width="16" style="3399" customWidth="1"/>
    <col min="5631" max="5631" width="9.875" style="3399" customWidth="1"/>
    <col min="5632" max="5632" width="8.5" style="3399" customWidth="1"/>
    <col min="5633" max="5633" width="14.5" style="3399" bestFit="1" customWidth="1"/>
    <col min="5634" max="5634" width="6" style="3399" bestFit="1" customWidth="1"/>
    <col min="5635" max="5635" width="14.5" style="3399" bestFit="1" customWidth="1"/>
    <col min="5636" max="5636" width="17" style="3399" bestFit="1" customWidth="1"/>
    <col min="5637" max="5637" width="19.625" style="3399" bestFit="1" customWidth="1"/>
    <col min="5638" max="5638" width="45" style="3399" bestFit="1" customWidth="1"/>
    <col min="5639" max="5639" width="23.875" style="3399" bestFit="1" customWidth="1"/>
    <col min="5640" max="5640" width="17" style="3399" bestFit="1" customWidth="1"/>
    <col min="5641" max="5641" width="17.25" style="3399" customWidth="1"/>
    <col min="5642" max="5878" width="9" style="3399"/>
    <col min="5879" max="5879" width="10.25" style="3399" bestFit="1" customWidth="1"/>
    <col min="5880" max="5880" width="14.625" style="3399" customWidth="1"/>
    <col min="5881" max="5881" width="13.25" style="3399" bestFit="1" customWidth="1"/>
    <col min="5882" max="5882" width="10.875" style="3399" customWidth="1"/>
    <col min="5883" max="5883" width="12.625" style="3399" bestFit="1" customWidth="1"/>
    <col min="5884" max="5884" width="40.875" style="3399" bestFit="1" customWidth="1"/>
    <col min="5885" max="5885" width="23.875" style="3399" bestFit="1" customWidth="1"/>
    <col min="5886" max="5886" width="16" style="3399" customWidth="1"/>
    <col min="5887" max="5887" width="9.875" style="3399" customWidth="1"/>
    <col min="5888" max="5888" width="8.5" style="3399" customWidth="1"/>
    <col min="5889" max="5889" width="14.5" style="3399" bestFit="1" customWidth="1"/>
    <col min="5890" max="5890" width="6" style="3399" bestFit="1" customWidth="1"/>
    <col min="5891" max="5891" width="14.5" style="3399" bestFit="1" customWidth="1"/>
    <col min="5892" max="5892" width="17" style="3399" bestFit="1" customWidth="1"/>
    <col min="5893" max="5893" width="19.625" style="3399" bestFit="1" customWidth="1"/>
    <col min="5894" max="5894" width="45" style="3399" bestFit="1" customWidth="1"/>
    <col min="5895" max="5895" width="23.875" style="3399" bestFit="1" customWidth="1"/>
    <col min="5896" max="5896" width="17" style="3399" bestFit="1" customWidth="1"/>
    <col min="5897" max="5897" width="17.25" style="3399" customWidth="1"/>
    <col min="5898" max="6134" width="9" style="3399"/>
    <col min="6135" max="6135" width="10.25" style="3399" bestFit="1" customWidth="1"/>
    <col min="6136" max="6136" width="14.625" style="3399" customWidth="1"/>
    <col min="6137" max="6137" width="13.25" style="3399" bestFit="1" customWidth="1"/>
    <col min="6138" max="6138" width="10.875" style="3399" customWidth="1"/>
    <col min="6139" max="6139" width="12.625" style="3399" bestFit="1" customWidth="1"/>
    <col min="6140" max="6140" width="40.875" style="3399" bestFit="1" customWidth="1"/>
    <col min="6141" max="6141" width="23.875" style="3399" bestFit="1" customWidth="1"/>
    <col min="6142" max="6142" width="16" style="3399" customWidth="1"/>
    <col min="6143" max="6143" width="9.875" style="3399" customWidth="1"/>
    <col min="6144" max="6144" width="8.5" style="3399" customWidth="1"/>
    <col min="6145" max="6145" width="14.5" style="3399" bestFit="1" customWidth="1"/>
    <col min="6146" max="6146" width="6" style="3399" bestFit="1" customWidth="1"/>
    <col min="6147" max="6147" width="14.5" style="3399" bestFit="1" customWidth="1"/>
    <col min="6148" max="6148" width="17" style="3399" bestFit="1" customWidth="1"/>
    <col min="6149" max="6149" width="19.625" style="3399" bestFit="1" customWidth="1"/>
    <col min="6150" max="6150" width="45" style="3399" bestFit="1" customWidth="1"/>
    <col min="6151" max="6151" width="23.875" style="3399" bestFit="1" customWidth="1"/>
    <col min="6152" max="6152" width="17" style="3399" bestFit="1" customWidth="1"/>
    <col min="6153" max="6153" width="17.25" style="3399" customWidth="1"/>
    <col min="6154" max="6390" width="9" style="3399"/>
    <col min="6391" max="6391" width="10.25" style="3399" bestFit="1" customWidth="1"/>
    <col min="6392" max="6392" width="14.625" style="3399" customWidth="1"/>
    <col min="6393" max="6393" width="13.25" style="3399" bestFit="1" customWidth="1"/>
    <col min="6394" max="6394" width="10.875" style="3399" customWidth="1"/>
    <col min="6395" max="6395" width="12.625" style="3399" bestFit="1" customWidth="1"/>
    <col min="6396" max="6396" width="40.875" style="3399" bestFit="1" customWidth="1"/>
    <col min="6397" max="6397" width="23.875" style="3399" bestFit="1" customWidth="1"/>
    <col min="6398" max="6398" width="16" style="3399" customWidth="1"/>
    <col min="6399" max="6399" width="9.875" style="3399" customWidth="1"/>
    <col min="6400" max="6400" width="8.5" style="3399" customWidth="1"/>
    <col min="6401" max="6401" width="14.5" style="3399" bestFit="1" customWidth="1"/>
    <col min="6402" max="6402" width="6" style="3399" bestFit="1" customWidth="1"/>
    <col min="6403" max="6403" width="14.5" style="3399" bestFit="1" customWidth="1"/>
    <col min="6404" max="6404" width="17" style="3399" bestFit="1" customWidth="1"/>
    <col min="6405" max="6405" width="19.625" style="3399" bestFit="1" customWidth="1"/>
    <col min="6406" max="6406" width="45" style="3399" bestFit="1" customWidth="1"/>
    <col min="6407" max="6407" width="23.875" style="3399" bestFit="1" customWidth="1"/>
    <col min="6408" max="6408" width="17" style="3399" bestFit="1" customWidth="1"/>
    <col min="6409" max="6409" width="17.25" style="3399" customWidth="1"/>
    <col min="6410" max="6646" width="9" style="3399"/>
    <col min="6647" max="6647" width="10.25" style="3399" bestFit="1" customWidth="1"/>
    <col min="6648" max="6648" width="14.625" style="3399" customWidth="1"/>
    <col min="6649" max="6649" width="13.25" style="3399" bestFit="1" customWidth="1"/>
    <col min="6650" max="6650" width="10.875" style="3399" customWidth="1"/>
    <col min="6651" max="6651" width="12.625" style="3399" bestFit="1" customWidth="1"/>
    <col min="6652" max="6652" width="40.875" style="3399" bestFit="1" customWidth="1"/>
    <col min="6653" max="6653" width="23.875" style="3399" bestFit="1" customWidth="1"/>
    <col min="6654" max="6654" width="16" style="3399" customWidth="1"/>
    <col min="6655" max="6655" width="9.875" style="3399" customWidth="1"/>
    <col min="6656" max="6656" width="8.5" style="3399" customWidth="1"/>
    <col min="6657" max="6657" width="14.5" style="3399" bestFit="1" customWidth="1"/>
    <col min="6658" max="6658" width="6" style="3399" bestFit="1" customWidth="1"/>
    <col min="6659" max="6659" width="14.5" style="3399" bestFit="1" customWidth="1"/>
    <col min="6660" max="6660" width="17" style="3399" bestFit="1" customWidth="1"/>
    <col min="6661" max="6661" width="19.625" style="3399" bestFit="1" customWidth="1"/>
    <col min="6662" max="6662" width="45" style="3399" bestFit="1" customWidth="1"/>
    <col min="6663" max="6663" width="23.875" style="3399" bestFit="1" customWidth="1"/>
    <col min="6664" max="6664" width="17" style="3399" bestFit="1" customWidth="1"/>
    <col min="6665" max="6665" width="17.25" style="3399" customWidth="1"/>
    <col min="6666" max="6902" width="9" style="3399"/>
    <col min="6903" max="6903" width="10.25" style="3399" bestFit="1" customWidth="1"/>
    <col min="6904" max="6904" width="14.625" style="3399" customWidth="1"/>
    <col min="6905" max="6905" width="13.25" style="3399" bestFit="1" customWidth="1"/>
    <col min="6906" max="6906" width="10.875" style="3399" customWidth="1"/>
    <col min="6907" max="6907" width="12.625" style="3399" bestFit="1" customWidth="1"/>
    <col min="6908" max="6908" width="40.875" style="3399" bestFit="1" customWidth="1"/>
    <col min="6909" max="6909" width="23.875" style="3399" bestFit="1" customWidth="1"/>
    <col min="6910" max="6910" width="16" style="3399" customWidth="1"/>
    <col min="6911" max="6911" width="9.875" style="3399" customWidth="1"/>
    <col min="6912" max="6912" width="8.5" style="3399" customWidth="1"/>
    <col min="6913" max="6913" width="14.5" style="3399" bestFit="1" customWidth="1"/>
    <col min="6914" max="6914" width="6" style="3399" bestFit="1" customWidth="1"/>
    <col min="6915" max="6915" width="14.5" style="3399" bestFit="1" customWidth="1"/>
    <col min="6916" max="6916" width="17" style="3399" bestFit="1" customWidth="1"/>
    <col min="6917" max="6917" width="19.625" style="3399" bestFit="1" customWidth="1"/>
    <col min="6918" max="6918" width="45" style="3399" bestFit="1" customWidth="1"/>
    <col min="6919" max="6919" width="23.875" style="3399" bestFit="1" customWidth="1"/>
    <col min="6920" max="6920" width="17" style="3399" bestFit="1" customWidth="1"/>
    <col min="6921" max="6921" width="17.25" style="3399" customWidth="1"/>
    <col min="6922" max="7158" width="9" style="3399"/>
    <col min="7159" max="7159" width="10.25" style="3399" bestFit="1" customWidth="1"/>
    <col min="7160" max="7160" width="14.625" style="3399" customWidth="1"/>
    <col min="7161" max="7161" width="13.25" style="3399" bestFit="1" customWidth="1"/>
    <col min="7162" max="7162" width="10.875" style="3399" customWidth="1"/>
    <col min="7163" max="7163" width="12.625" style="3399" bestFit="1" customWidth="1"/>
    <col min="7164" max="7164" width="40.875" style="3399" bestFit="1" customWidth="1"/>
    <col min="7165" max="7165" width="23.875" style="3399" bestFit="1" customWidth="1"/>
    <col min="7166" max="7166" width="16" style="3399" customWidth="1"/>
    <col min="7167" max="7167" width="9.875" style="3399" customWidth="1"/>
    <col min="7168" max="7168" width="8.5" style="3399" customWidth="1"/>
    <col min="7169" max="7169" width="14.5" style="3399" bestFit="1" customWidth="1"/>
    <col min="7170" max="7170" width="6" style="3399" bestFit="1" customWidth="1"/>
    <col min="7171" max="7171" width="14.5" style="3399" bestFit="1" customWidth="1"/>
    <col min="7172" max="7172" width="17" style="3399" bestFit="1" customWidth="1"/>
    <col min="7173" max="7173" width="19.625" style="3399" bestFit="1" customWidth="1"/>
    <col min="7174" max="7174" width="45" style="3399" bestFit="1" customWidth="1"/>
    <col min="7175" max="7175" width="23.875" style="3399" bestFit="1" customWidth="1"/>
    <col min="7176" max="7176" width="17" style="3399" bestFit="1" customWidth="1"/>
    <col min="7177" max="7177" width="17.25" style="3399" customWidth="1"/>
    <col min="7178" max="7414" width="9" style="3399"/>
    <col min="7415" max="7415" width="10.25" style="3399" bestFit="1" customWidth="1"/>
    <col min="7416" max="7416" width="14.625" style="3399" customWidth="1"/>
    <col min="7417" max="7417" width="13.25" style="3399" bestFit="1" customWidth="1"/>
    <col min="7418" max="7418" width="10.875" style="3399" customWidth="1"/>
    <col min="7419" max="7419" width="12.625" style="3399" bestFit="1" customWidth="1"/>
    <col min="7420" max="7420" width="40.875" style="3399" bestFit="1" customWidth="1"/>
    <col min="7421" max="7421" width="23.875" style="3399" bestFit="1" customWidth="1"/>
    <col min="7422" max="7422" width="16" style="3399" customWidth="1"/>
    <col min="7423" max="7423" width="9.875" style="3399" customWidth="1"/>
    <col min="7424" max="7424" width="8.5" style="3399" customWidth="1"/>
    <col min="7425" max="7425" width="14.5" style="3399" bestFit="1" customWidth="1"/>
    <col min="7426" max="7426" width="6" style="3399" bestFit="1" customWidth="1"/>
    <col min="7427" max="7427" width="14.5" style="3399" bestFit="1" customWidth="1"/>
    <col min="7428" max="7428" width="17" style="3399" bestFit="1" customWidth="1"/>
    <col min="7429" max="7429" width="19.625" style="3399" bestFit="1" customWidth="1"/>
    <col min="7430" max="7430" width="45" style="3399" bestFit="1" customWidth="1"/>
    <col min="7431" max="7431" width="23.875" style="3399" bestFit="1" customWidth="1"/>
    <col min="7432" max="7432" width="17" style="3399" bestFit="1" customWidth="1"/>
    <col min="7433" max="7433" width="17.25" style="3399" customWidth="1"/>
    <col min="7434" max="7670" width="9" style="3399"/>
    <col min="7671" max="7671" width="10.25" style="3399" bestFit="1" customWidth="1"/>
    <col min="7672" max="7672" width="14.625" style="3399" customWidth="1"/>
    <col min="7673" max="7673" width="13.25" style="3399" bestFit="1" customWidth="1"/>
    <col min="7674" max="7674" width="10.875" style="3399" customWidth="1"/>
    <col min="7675" max="7675" width="12.625" style="3399" bestFit="1" customWidth="1"/>
    <col min="7676" max="7676" width="40.875" style="3399" bestFit="1" customWidth="1"/>
    <col min="7677" max="7677" width="23.875" style="3399" bestFit="1" customWidth="1"/>
    <col min="7678" max="7678" width="16" style="3399" customWidth="1"/>
    <col min="7679" max="7679" width="9.875" style="3399" customWidth="1"/>
    <col min="7680" max="7680" width="8.5" style="3399" customWidth="1"/>
    <col min="7681" max="7681" width="14.5" style="3399" bestFit="1" customWidth="1"/>
    <col min="7682" max="7682" width="6" style="3399" bestFit="1" customWidth="1"/>
    <col min="7683" max="7683" width="14.5" style="3399" bestFit="1" customWidth="1"/>
    <col min="7684" max="7684" width="17" style="3399" bestFit="1" customWidth="1"/>
    <col min="7685" max="7685" width="19.625" style="3399" bestFit="1" customWidth="1"/>
    <col min="7686" max="7686" width="45" style="3399" bestFit="1" customWidth="1"/>
    <col min="7687" max="7687" width="23.875" style="3399" bestFit="1" customWidth="1"/>
    <col min="7688" max="7688" width="17" style="3399" bestFit="1" customWidth="1"/>
    <col min="7689" max="7689" width="17.25" style="3399" customWidth="1"/>
    <col min="7690" max="7926" width="9" style="3399"/>
    <col min="7927" max="7927" width="10.25" style="3399" bestFit="1" customWidth="1"/>
    <col min="7928" max="7928" width="14.625" style="3399" customWidth="1"/>
    <col min="7929" max="7929" width="13.25" style="3399" bestFit="1" customWidth="1"/>
    <col min="7930" max="7930" width="10.875" style="3399" customWidth="1"/>
    <col min="7931" max="7931" width="12.625" style="3399" bestFit="1" customWidth="1"/>
    <col min="7932" max="7932" width="40.875" style="3399" bestFit="1" customWidth="1"/>
    <col min="7933" max="7933" width="23.875" style="3399" bestFit="1" customWidth="1"/>
    <col min="7934" max="7934" width="16" style="3399" customWidth="1"/>
    <col min="7935" max="7935" width="9.875" style="3399" customWidth="1"/>
    <col min="7936" max="7936" width="8.5" style="3399" customWidth="1"/>
    <col min="7937" max="7937" width="14.5" style="3399" bestFit="1" customWidth="1"/>
    <col min="7938" max="7938" width="6" style="3399" bestFit="1" customWidth="1"/>
    <col min="7939" max="7939" width="14.5" style="3399" bestFit="1" customWidth="1"/>
    <col min="7940" max="7940" width="17" style="3399" bestFit="1" customWidth="1"/>
    <col min="7941" max="7941" width="19.625" style="3399" bestFit="1" customWidth="1"/>
    <col min="7942" max="7942" width="45" style="3399" bestFit="1" customWidth="1"/>
    <col min="7943" max="7943" width="23.875" style="3399" bestFit="1" customWidth="1"/>
    <col min="7944" max="7944" width="17" style="3399" bestFit="1" customWidth="1"/>
    <col min="7945" max="7945" width="17.25" style="3399" customWidth="1"/>
    <col min="7946" max="8182" width="9" style="3399"/>
    <col min="8183" max="8183" width="10.25" style="3399" bestFit="1" customWidth="1"/>
    <col min="8184" max="8184" width="14.625" style="3399" customWidth="1"/>
    <col min="8185" max="8185" width="13.25" style="3399" bestFit="1" customWidth="1"/>
    <col min="8186" max="8186" width="10.875" style="3399" customWidth="1"/>
    <col min="8187" max="8187" width="12.625" style="3399" bestFit="1" customWidth="1"/>
    <col min="8188" max="8188" width="40.875" style="3399" bestFit="1" customWidth="1"/>
    <col min="8189" max="8189" width="23.875" style="3399" bestFit="1" customWidth="1"/>
    <col min="8190" max="8190" width="16" style="3399" customWidth="1"/>
    <col min="8191" max="8191" width="9.875" style="3399" customWidth="1"/>
    <col min="8192" max="8192" width="8.5" style="3399" customWidth="1"/>
    <col min="8193" max="8193" width="14.5" style="3399" bestFit="1" customWidth="1"/>
    <col min="8194" max="8194" width="6" style="3399" bestFit="1" customWidth="1"/>
    <col min="8195" max="8195" width="14.5" style="3399" bestFit="1" customWidth="1"/>
    <col min="8196" max="8196" width="17" style="3399" bestFit="1" customWidth="1"/>
    <col min="8197" max="8197" width="19.625" style="3399" bestFit="1" customWidth="1"/>
    <col min="8198" max="8198" width="45" style="3399" bestFit="1" customWidth="1"/>
    <col min="8199" max="8199" width="23.875" style="3399" bestFit="1" customWidth="1"/>
    <col min="8200" max="8200" width="17" style="3399" bestFit="1" customWidth="1"/>
    <col min="8201" max="8201" width="17.25" style="3399" customWidth="1"/>
    <col min="8202" max="8438" width="9" style="3399"/>
    <col min="8439" max="8439" width="10.25" style="3399" bestFit="1" customWidth="1"/>
    <col min="8440" max="8440" width="14.625" style="3399" customWidth="1"/>
    <col min="8441" max="8441" width="13.25" style="3399" bestFit="1" customWidth="1"/>
    <col min="8442" max="8442" width="10.875" style="3399" customWidth="1"/>
    <col min="8443" max="8443" width="12.625" style="3399" bestFit="1" customWidth="1"/>
    <col min="8444" max="8444" width="40.875" style="3399" bestFit="1" customWidth="1"/>
    <col min="8445" max="8445" width="23.875" style="3399" bestFit="1" customWidth="1"/>
    <col min="8446" max="8446" width="16" style="3399" customWidth="1"/>
    <col min="8447" max="8447" width="9.875" style="3399" customWidth="1"/>
    <col min="8448" max="8448" width="8.5" style="3399" customWidth="1"/>
    <col min="8449" max="8449" width="14.5" style="3399" bestFit="1" customWidth="1"/>
    <col min="8450" max="8450" width="6" style="3399" bestFit="1" customWidth="1"/>
    <col min="8451" max="8451" width="14.5" style="3399" bestFit="1" customWidth="1"/>
    <col min="8452" max="8452" width="17" style="3399" bestFit="1" customWidth="1"/>
    <col min="8453" max="8453" width="19.625" style="3399" bestFit="1" customWidth="1"/>
    <col min="8454" max="8454" width="45" style="3399" bestFit="1" customWidth="1"/>
    <col min="8455" max="8455" width="23.875" style="3399" bestFit="1" customWidth="1"/>
    <col min="8456" max="8456" width="17" style="3399" bestFit="1" customWidth="1"/>
    <col min="8457" max="8457" width="17.25" style="3399" customWidth="1"/>
    <col min="8458" max="8694" width="9" style="3399"/>
    <col min="8695" max="8695" width="10.25" style="3399" bestFit="1" customWidth="1"/>
    <col min="8696" max="8696" width="14.625" style="3399" customWidth="1"/>
    <col min="8697" max="8697" width="13.25" style="3399" bestFit="1" customWidth="1"/>
    <col min="8698" max="8698" width="10.875" style="3399" customWidth="1"/>
    <col min="8699" max="8699" width="12.625" style="3399" bestFit="1" customWidth="1"/>
    <col min="8700" max="8700" width="40.875" style="3399" bestFit="1" customWidth="1"/>
    <col min="8701" max="8701" width="23.875" style="3399" bestFit="1" customWidth="1"/>
    <col min="8702" max="8702" width="16" style="3399" customWidth="1"/>
    <col min="8703" max="8703" width="9.875" style="3399" customWidth="1"/>
    <col min="8704" max="8704" width="8.5" style="3399" customWidth="1"/>
    <col min="8705" max="8705" width="14.5" style="3399" bestFit="1" customWidth="1"/>
    <col min="8706" max="8706" width="6" style="3399" bestFit="1" customWidth="1"/>
    <col min="8707" max="8707" width="14.5" style="3399" bestFit="1" customWidth="1"/>
    <col min="8708" max="8708" width="17" style="3399" bestFit="1" customWidth="1"/>
    <col min="8709" max="8709" width="19.625" style="3399" bestFit="1" customWidth="1"/>
    <col min="8710" max="8710" width="45" style="3399" bestFit="1" customWidth="1"/>
    <col min="8711" max="8711" width="23.875" style="3399" bestFit="1" customWidth="1"/>
    <col min="8712" max="8712" width="17" style="3399" bestFit="1" customWidth="1"/>
    <col min="8713" max="8713" width="17.25" style="3399" customWidth="1"/>
    <col min="8714" max="8950" width="9" style="3399"/>
    <col min="8951" max="8951" width="10.25" style="3399" bestFit="1" customWidth="1"/>
    <col min="8952" max="8952" width="14.625" style="3399" customWidth="1"/>
    <col min="8953" max="8953" width="13.25" style="3399" bestFit="1" customWidth="1"/>
    <col min="8954" max="8954" width="10.875" style="3399" customWidth="1"/>
    <col min="8955" max="8955" width="12.625" style="3399" bestFit="1" customWidth="1"/>
    <col min="8956" max="8956" width="40.875" style="3399" bestFit="1" customWidth="1"/>
    <col min="8957" max="8957" width="23.875" style="3399" bestFit="1" customWidth="1"/>
    <col min="8958" max="8958" width="16" style="3399" customWidth="1"/>
    <col min="8959" max="8959" width="9.875" style="3399" customWidth="1"/>
    <col min="8960" max="8960" width="8.5" style="3399" customWidth="1"/>
    <col min="8961" max="8961" width="14.5" style="3399" bestFit="1" customWidth="1"/>
    <col min="8962" max="8962" width="6" style="3399" bestFit="1" customWidth="1"/>
    <col min="8963" max="8963" width="14.5" style="3399" bestFit="1" customWidth="1"/>
    <col min="8964" max="8964" width="17" style="3399" bestFit="1" customWidth="1"/>
    <col min="8965" max="8965" width="19.625" style="3399" bestFit="1" customWidth="1"/>
    <col min="8966" max="8966" width="45" style="3399" bestFit="1" customWidth="1"/>
    <col min="8967" max="8967" width="23.875" style="3399" bestFit="1" customWidth="1"/>
    <col min="8968" max="8968" width="17" style="3399" bestFit="1" customWidth="1"/>
    <col min="8969" max="8969" width="17.25" style="3399" customWidth="1"/>
    <col min="8970" max="9206" width="9" style="3399"/>
    <col min="9207" max="9207" width="10.25" style="3399" bestFit="1" customWidth="1"/>
    <col min="9208" max="9208" width="14.625" style="3399" customWidth="1"/>
    <col min="9209" max="9209" width="13.25" style="3399" bestFit="1" customWidth="1"/>
    <col min="9210" max="9210" width="10.875" style="3399" customWidth="1"/>
    <col min="9211" max="9211" width="12.625" style="3399" bestFit="1" customWidth="1"/>
    <col min="9212" max="9212" width="40.875" style="3399" bestFit="1" customWidth="1"/>
    <col min="9213" max="9213" width="23.875" style="3399" bestFit="1" customWidth="1"/>
    <col min="9214" max="9214" width="16" style="3399" customWidth="1"/>
    <col min="9215" max="9215" width="9.875" style="3399" customWidth="1"/>
    <col min="9216" max="9216" width="8.5" style="3399" customWidth="1"/>
    <col min="9217" max="9217" width="14.5" style="3399" bestFit="1" customWidth="1"/>
    <col min="9218" max="9218" width="6" style="3399" bestFit="1" customWidth="1"/>
    <col min="9219" max="9219" width="14.5" style="3399" bestFit="1" customWidth="1"/>
    <col min="9220" max="9220" width="17" style="3399" bestFit="1" customWidth="1"/>
    <col min="9221" max="9221" width="19.625" style="3399" bestFit="1" customWidth="1"/>
    <col min="9222" max="9222" width="45" style="3399" bestFit="1" customWidth="1"/>
    <col min="9223" max="9223" width="23.875" style="3399" bestFit="1" customWidth="1"/>
    <col min="9224" max="9224" width="17" style="3399" bestFit="1" customWidth="1"/>
    <col min="9225" max="9225" width="17.25" style="3399" customWidth="1"/>
    <col min="9226" max="9462" width="9" style="3399"/>
    <col min="9463" max="9463" width="10.25" style="3399" bestFit="1" customWidth="1"/>
    <col min="9464" max="9464" width="14.625" style="3399" customWidth="1"/>
    <col min="9465" max="9465" width="13.25" style="3399" bestFit="1" customWidth="1"/>
    <col min="9466" max="9466" width="10.875" style="3399" customWidth="1"/>
    <col min="9467" max="9467" width="12.625" style="3399" bestFit="1" customWidth="1"/>
    <col min="9468" max="9468" width="40.875" style="3399" bestFit="1" customWidth="1"/>
    <col min="9469" max="9469" width="23.875" style="3399" bestFit="1" customWidth="1"/>
    <col min="9470" max="9470" width="16" style="3399" customWidth="1"/>
    <col min="9471" max="9471" width="9.875" style="3399" customWidth="1"/>
    <col min="9472" max="9472" width="8.5" style="3399" customWidth="1"/>
    <col min="9473" max="9473" width="14.5" style="3399" bestFit="1" customWidth="1"/>
    <col min="9474" max="9474" width="6" style="3399" bestFit="1" customWidth="1"/>
    <col min="9475" max="9475" width="14.5" style="3399" bestFit="1" customWidth="1"/>
    <col min="9476" max="9476" width="17" style="3399" bestFit="1" customWidth="1"/>
    <col min="9477" max="9477" width="19.625" style="3399" bestFit="1" customWidth="1"/>
    <col min="9478" max="9478" width="45" style="3399" bestFit="1" customWidth="1"/>
    <col min="9479" max="9479" width="23.875" style="3399" bestFit="1" customWidth="1"/>
    <col min="9480" max="9480" width="17" style="3399" bestFit="1" customWidth="1"/>
    <col min="9481" max="9481" width="17.25" style="3399" customWidth="1"/>
    <col min="9482" max="9718" width="9" style="3399"/>
    <col min="9719" max="9719" width="10.25" style="3399" bestFit="1" customWidth="1"/>
    <col min="9720" max="9720" width="14.625" style="3399" customWidth="1"/>
    <col min="9721" max="9721" width="13.25" style="3399" bestFit="1" customWidth="1"/>
    <col min="9722" max="9722" width="10.875" style="3399" customWidth="1"/>
    <col min="9723" max="9723" width="12.625" style="3399" bestFit="1" customWidth="1"/>
    <col min="9724" max="9724" width="40.875" style="3399" bestFit="1" customWidth="1"/>
    <col min="9725" max="9725" width="23.875" style="3399" bestFit="1" customWidth="1"/>
    <col min="9726" max="9726" width="16" style="3399" customWidth="1"/>
    <col min="9727" max="9727" width="9.875" style="3399" customWidth="1"/>
    <col min="9728" max="9728" width="8.5" style="3399" customWidth="1"/>
    <col min="9729" max="9729" width="14.5" style="3399" bestFit="1" customWidth="1"/>
    <col min="9730" max="9730" width="6" style="3399" bestFit="1" customWidth="1"/>
    <col min="9731" max="9731" width="14.5" style="3399" bestFit="1" customWidth="1"/>
    <col min="9732" max="9732" width="17" style="3399" bestFit="1" customWidth="1"/>
    <col min="9733" max="9733" width="19.625" style="3399" bestFit="1" customWidth="1"/>
    <col min="9734" max="9734" width="45" style="3399" bestFit="1" customWidth="1"/>
    <col min="9735" max="9735" width="23.875" style="3399" bestFit="1" customWidth="1"/>
    <col min="9736" max="9736" width="17" style="3399" bestFit="1" customWidth="1"/>
    <col min="9737" max="9737" width="17.25" style="3399" customWidth="1"/>
    <col min="9738" max="9974" width="9" style="3399"/>
    <col min="9975" max="9975" width="10.25" style="3399" bestFit="1" customWidth="1"/>
    <col min="9976" max="9976" width="14.625" style="3399" customWidth="1"/>
    <col min="9977" max="9977" width="13.25" style="3399" bestFit="1" customWidth="1"/>
    <col min="9978" max="9978" width="10.875" style="3399" customWidth="1"/>
    <col min="9979" max="9979" width="12.625" style="3399" bestFit="1" customWidth="1"/>
    <col min="9980" max="9980" width="40.875" style="3399" bestFit="1" customWidth="1"/>
    <col min="9981" max="9981" width="23.875" style="3399" bestFit="1" customWidth="1"/>
    <col min="9982" max="9982" width="16" style="3399" customWidth="1"/>
    <col min="9983" max="9983" width="9.875" style="3399" customWidth="1"/>
    <col min="9984" max="9984" width="8.5" style="3399" customWidth="1"/>
    <col min="9985" max="9985" width="14.5" style="3399" bestFit="1" customWidth="1"/>
    <col min="9986" max="9986" width="6" style="3399" bestFit="1" customWidth="1"/>
    <col min="9987" max="9987" width="14.5" style="3399" bestFit="1" customWidth="1"/>
    <col min="9988" max="9988" width="17" style="3399" bestFit="1" customWidth="1"/>
    <col min="9989" max="9989" width="19.625" style="3399" bestFit="1" customWidth="1"/>
    <col min="9990" max="9990" width="45" style="3399" bestFit="1" customWidth="1"/>
    <col min="9991" max="9991" width="23.875" style="3399" bestFit="1" customWidth="1"/>
    <col min="9992" max="9992" width="17" style="3399" bestFit="1" customWidth="1"/>
    <col min="9993" max="9993" width="17.25" style="3399" customWidth="1"/>
    <col min="9994" max="10230" width="9" style="3399"/>
    <col min="10231" max="10231" width="10.25" style="3399" bestFit="1" customWidth="1"/>
    <col min="10232" max="10232" width="14.625" style="3399" customWidth="1"/>
    <col min="10233" max="10233" width="13.25" style="3399" bestFit="1" customWidth="1"/>
    <col min="10234" max="10234" width="10.875" style="3399" customWidth="1"/>
    <col min="10235" max="10235" width="12.625" style="3399" bestFit="1" customWidth="1"/>
    <col min="10236" max="10236" width="40.875" style="3399" bestFit="1" customWidth="1"/>
    <col min="10237" max="10237" width="23.875" style="3399" bestFit="1" customWidth="1"/>
    <col min="10238" max="10238" width="16" style="3399" customWidth="1"/>
    <col min="10239" max="10239" width="9.875" style="3399" customWidth="1"/>
    <col min="10240" max="10240" width="8.5" style="3399" customWidth="1"/>
    <col min="10241" max="10241" width="14.5" style="3399" bestFit="1" customWidth="1"/>
    <col min="10242" max="10242" width="6" style="3399" bestFit="1" customWidth="1"/>
    <col min="10243" max="10243" width="14.5" style="3399" bestFit="1" customWidth="1"/>
    <col min="10244" max="10244" width="17" style="3399" bestFit="1" customWidth="1"/>
    <col min="10245" max="10245" width="19.625" style="3399" bestFit="1" customWidth="1"/>
    <col min="10246" max="10246" width="45" style="3399" bestFit="1" customWidth="1"/>
    <col min="10247" max="10247" width="23.875" style="3399" bestFit="1" customWidth="1"/>
    <col min="10248" max="10248" width="17" style="3399" bestFit="1" customWidth="1"/>
    <col min="10249" max="10249" width="17.25" style="3399" customWidth="1"/>
    <col min="10250" max="10486" width="9" style="3399"/>
    <col min="10487" max="10487" width="10.25" style="3399" bestFit="1" customWidth="1"/>
    <col min="10488" max="10488" width="14.625" style="3399" customWidth="1"/>
    <col min="10489" max="10489" width="13.25" style="3399" bestFit="1" customWidth="1"/>
    <col min="10490" max="10490" width="10.875" style="3399" customWidth="1"/>
    <col min="10491" max="10491" width="12.625" style="3399" bestFit="1" customWidth="1"/>
    <col min="10492" max="10492" width="40.875" style="3399" bestFit="1" customWidth="1"/>
    <col min="10493" max="10493" width="23.875" style="3399" bestFit="1" customWidth="1"/>
    <col min="10494" max="10494" width="16" style="3399" customWidth="1"/>
    <col min="10495" max="10495" width="9.875" style="3399" customWidth="1"/>
    <col min="10496" max="10496" width="8.5" style="3399" customWidth="1"/>
    <col min="10497" max="10497" width="14.5" style="3399" bestFit="1" customWidth="1"/>
    <col min="10498" max="10498" width="6" style="3399" bestFit="1" customWidth="1"/>
    <col min="10499" max="10499" width="14.5" style="3399" bestFit="1" customWidth="1"/>
    <col min="10500" max="10500" width="17" style="3399" bestFit="1" customWidth="1"/>
    <col min="10501" max="10501" width="19.625" style="3399" bestFit="1" customWidth="1"/>
    <col min="10502" max="10502" width="45" style="3399" bestFit="1" customWidth="1"/>
    <col min="10503" max="10503" width="23.875" style="3399" bestFit="1" customWidth="1"/>
    <col min="10504" max="10504" width="17" style="3399" bestFit="1" customWidth="1"/>
    <col min="10505" max="10505" width="17.25" style="3399" customWidth="1"/>
    <col min="10506" max="10742" width="9" style="3399"/>
    <col min="10743" max="10743" width="10.25" style="3399" bestFit="1" customWidth="1"/>
    <col min="10744" max="10744" width="14.625" style="3399" customWidth="1"/>
    <col min="10745" max="10745" width="13.25" style="3399" bestFit="1" customWidth="1"/>
    <col min="10746" max="10746" width="10.875" style="3399" customWidth="1"/>
    <col min="10747" max="10747" width="12.625" style="3399" bestFit="1" customWidth="1"/>
    <col min="10748" max="10748" width="40.875" style="3399" bestFit="1" customWidth="1"/>
    <col min="10749" max="10749" width="23.875" style="3399" bestFit="1" customWidth="1"/>
    <col min="10750" max="10750" width="16" style="3399" customWidth="1"/>
    <col min="10751" max="10751" width="9.875" style="3399" customWidth="1"/>
    <col min="10752" max="10752" width="8.5" style="3399" customWidth="1"/>
    <col min="10753" max="10753" width="14.5" style="3399" bestFit="1" customWidth="1"/>
    <col min="10754" max="10754" width="6" style="3399" bestFit="1" customWidth="1"/>
    <col min="10755" max="10755" width="14.5" style="3399" bestFit="1" customWidth="1"/>
    <col min="10756" max="10756" width="17" style="3399" bestFit="1" customWidth="1"/>
    <col min="10757" max="10757" width="19.625" style="3399" bestFit="1" customWidth="1"/>
    <col min="10758" max="10758" width="45" style="3399" bestFit="1" customWidth="1"/>
    <col min="10759" max="10759" width="23.875" style="3399" bestFit="1" customWidth="1"/>
    <col min="10760" max="10760" width="17" style="3399" bestFit="1" customWidth="1"/>
    <col min="10761" max="10761" width="17.25" style="3399" customWidth="1"/>
    <col min="10762" max="10998" width="9" style="3399"/>
    <col min="10999" max="10999" width="10.25" style="3399" bestFit="1" customWidth="1"/>
    <col min="11000" max="11000" width="14.625" style="3399" customWidth="1"/>
    <col min="11001" max="11001" width="13.25" style="3399" bestFit="1" customWidth="1"/>
    <col min="11002" max="11002" width="10.875" style="3399" customWidth="1"/>
    <col min="11003" max="11003" width="12.625" style="3399" bestFit="1" customWidth="1"/>
    <col min="11004" max="11004" width="40.875" style="3399" bestFit="1" customWidth="1"/>
    <col min="11005" max="11005" width="23.875" style="3399" bestFit="1" customWidth="1"/>
    <col min="11006" max="11006" width="16" style="3399" customWidth="1"/>
    <col min="11007" max="11007" width="9.875" style="3399" customWidth="1"/>
    <col min="11008" max="11008" width="8.5" style="3399" customWidth="1"/>
    <col min="11009" max="11009" width="14.5" style="3399" bestFit="1" customWidth="1"/>
    <col min="11010" max="11010" width="6" style="3399" bestFit="1" customWidth="1"/>
    <col min="11011" max="11011" width="14.5" style="3399" bestFit="1" customWidth="1"/>
    <col min="11012" max="11012" width="17" style="3399" bestFit="1" customWidth="1"/>
    <col min="11013" max="11013" width="19.625" style="3399" bestFit="1" customWidth="1"/>
    <col min="11014" max="11014" width="45" style="3399" bestFit="1" customWidth="1"/>
    <col min="11015" max="11015" width="23.875" style="3399" bestFit="1" customWidth="1"/>
    <col min="11016" max="11016" width="17" style="3399" bestFit="1" customWidth="1"/>
    <col min="11017" max="11017" width="17.25" style="3399" customWidth="1"/>
    <col min="11018" max="11254" width="9" style="3399"/>
    <col min="11255" max="11255" width="10.25" style="3399" bestFit="1" customWidth="1"/>
    <col min="11256" max="11256" width="14.625" style="3399" customWidth="1"/>
    <col min="11257" max="11257" width="13.25" style="3399" bestFit="1" customWidth="1"/>
    <col min="11258" max="11258" width="10.875" style="3399" customWidth="1"/>
    <col min="11259" max="11259" width="12.625" style="3399" bestFit="1" customWidth="1"/>
    <col min="11260" max="11260" width="40.875" style="3399" bestFit="1" customWidth="1"/>
    <col min="11261" max="11261" width="23.875" style="3399" bestFit="1" customWidth="1"/>
    <col min="11262" max="11262" width="16" style="3399" customWidth="1"/>
    <col min="11263" max="11263" width="9.875" style="3399" customWidth="1"/>
    <col min="11264" max="11264" width="8.5" style="3399" customWidth="1"/>
    <col min="11265" max="11265" width="14.5" style="3399" bestFit="1" customWidth="1"/>
    <col min="11266" max="11266" width="6" style="3399" bestFit="1" customWidth="1"/>
    <col min="11267" max="11267" width="14.5" style="3399" bestFit="1" customWidth="1"/>
    <col min="11268" max="11268" width="17" style="3399" bestFit="1" customWidth="1"/>
    <col min="11269" max="11269" width="19.625" style="3399" bestFit="1" customWidth="1"/>
    <col min="11270" max="11270" width="45" style="3399" bestFit="1" customWidth="1"/>
    <col min="11271" max="11271" width="23.875" style="3399" bestFit="1" customWidth="1"/>
    <col min="11272" max="11272" width="17" style="3399" bestFit="1" customWidth="1"/>
    <col min="11273" max="11273" width="17.25" style="3399" customWidth="1"/>
    <col min="11274" max="11510" width="9" style="3399"/>
    <col min="11511" max="11511" width="10.25" style="3399" bestFit="1" customWidth="1"/>
    <col min="11512" max="11512" width="14.625" style="3399" customWidth="1"/>
    <col min="11513" max="11513" width="13.25" style="3399" bestFit="1" customWidth="1"/>
    <col min="11514" max="11514" width="10.875" style="3399" customWidth="1"/>
    <col min="11515" max="11515" width="12.625" style="3399" bestFit="1" customWidth="1"/>
    <col min="11516" max="11516" width="40.875" style="3399" bestFit="1" customWidth="1"/>
    <col min="11517" max="11517" width="23.875" style="3399" bestFit="1" customWidth="1"/>
    <col min="11518" max="11518" width="16" style="3399" customWidth="1"/>
    <col min="11519" max="11519" width="9.875" style="3399" customWidth="1"/>
    <col min="11520" max="11520" width="8.5" style="3399" customWidth="1"/>
    <col min="11521" max="11521" width="14.5" style="3399" bestFit="1" customWidth="1"/>
    <col min="11522" max="11522" width="6" style="3399" bestFit="1" customWidth="1"/>
    <col min="11523" max="11523" width="14.5" style="3399" bestFit="1" customWidth="1"/>
    <col min="11524" max="11524" width="17" style="3399" bestFit="1" customWidth="1"/>
    <col min="11525" max="11525" width="19.625" style="3399" bestFit="1" customWidth="1"/>
    <col min="11526" max="11526" width="45" style="3399" bestFit="1" customWidth="1"/>
    <col min="11527" max="11527" width="23.875" style="3399" bestFit="1" customWidth="1"/>
    <col min="11528" max="11528" width="17" style="3399" bestFit="1" customWidth="1"/>
    <col min="11529" max="11529" width="17.25" style="3399" customWidth="1"/>
    <col min="11530" max="11766" width="9" style="3399"/>
    <col min="11767" max="11767" width="10.25" style="3399" bestFit="1" customWidth="1"/>
    <col min="11768" max="11768" width="14.625" style="3399" customWidth="1"/>
    <col min="11769" max="11769" width="13.25" style="3399" bestFit="1" customWidth="1"/>
    <col min="11770" max="11770" width="10.875" style="3399" customWidth="1"/>
    <col min="11771" max="11771" width="12.625" style="3399" bestFit="1" customWidth="1"/>
    <col min="11772" max="11772" width="40.875" style="3399" bestFit="1" customWidth="1"/>
    <col min="11773" max="11773" width="23.875" style="3399" bestFit="1" customWidth="1"/>
    <col min="11774" max="11774" width="16" style="3399" customWidth="1"/>
    <col min="11775" max="11775" width="9.875" style="3399" customWidth="1"/>
    <col min="11776" max="11776" width="8.5" style="3399" customWidth="1"/>
    <col min="11777" max="11777" width="14.5" style="3399" bestFit="1" customWidth="1"/>
    <col min="11778" max="11778" width="6" style="3399" bestFit="1" customWidth="1"/>
    <col min="11779" max="11779" width="14.5" style="3399" bestFit="1" customWidth="1"/>
    <col min="11780" max="11780" width="17" style="3399" bestFit="1" customWidth="1"/>
    <col min="11781" max="11781" width="19.625" style="3399" bestFit="1" customWidth="1"/>
    <col min="11782" max="11782" width="45" style="3399" bestFit="1" customWidth="1"/>
    <col min="11783" max="11783" width="23.875" style="3399" bestFit="1" customWidth="1"/>
    <col min="11784" max="11784" width="17" style="3399" bestFit="1" customWidth="1"/>
    <col min="11785" max="11785" width="17.25" style="3399" customWidth="1"/>
    <col min="11786" max="12022" width="9" style="3399"/>
    <col min="12023" max="12023" width="10.25" style="3399" bestFit="1" customWidth="1"/>
    <col min="12024" max="12024" width="14.625" style="3399" customWidth="1"/>
    <col min="12025" max="12025" width="13.25" style="3399" bestFit="1" customWidth="1"/>
    <col min="12026" max="12026" width="10.875" style="3399" customWidth="1"/>
    <col min="12027" max="12027" width="12.625" style="3399" bestFit="1" customWidth="1"/>
    <col min="12028" max="12028" width="40.875" style="3399" bestFit="1" customWidth="1"/>
    <col min="12029" max="12029" width="23.875" style="3399" bestFit="1" customWidth="1"/>
    <col min="12030" max="12030" width="16" style="3399" customWidth="1"/>
    <col min="12031" max="12031" width="9.875" style="3399" customWidth="1"/>
    <col min="12032" max="12032" width="8.5" style="3399" customWidth="1"/>
    <col min="12033" max="12033" width="14.5" style="3399" bestFit="1" customWidth="1"/>
    <col min="12034" max="12034" width="6" style="3399" bestFit="1" customWidth="1"/>
    <col min="12035" max="12035" width="14.5" style="3399" bestFit="1" customWidth="1"/>
    <col min="12036" max="12036" width="17" style="3399" bestFit="1" customWidth="1"/>
    <col min="12037" max="12037" width="19.625" style="3399" bestFit="1" customWidth="1"/>
    <col min="12038" max="12038" width="45" style="3399" bestFit="1" customWidth="1"/>
    <col min="12039" max="12039" width="23.875" style="3399" bestFit="1" customWidth="1"/>
    <col min="12040" max="12040" width="17" style="3399" bestFit="1" customWidth="1"/>
    <col min="12041" max="12041" width="17.25" style="3399" customWidth="1"/>
    <col min="12042" max="12278" width="9" style="3399"/>
    <col min="12279" max="12279" width="10.25" style="3399" bestFit="1" customWidth="1"/>
    <col min="12280" max="12280" width="14.625" style="3399" customWidth="1"/>
    <col min="12281" max="12281" width="13.25" style="3399" bestFit="1" customWidth="1"/>
    <col min="12282" max="12282" width="10.875" style="3399" customWidth="1"/>
    <col min="12283" max="12283" width="12.625" style="3399" bestFit="1" customWidth="1"/>
    <col min="12284" max="12284" width="40.875" style="3399" bestFit="1" customWidth="1"/>
    <col min="12285" max="12285" width="23.875" style="3399" bestFit="1" customWidth="1"/>
    <col min="12286" max="12286" width="16" style="3399" customWidth="1"/>
    <col min="12287" max="12287" width="9.875" style="3399" customWidth="1"/>
    <col min="12288" max="12288" width="8.5" style="3399" customWidth="1"/>
    <col min="12289" max="12289" width="14.5" style="3399" bestFit="1" customWidth="1"/>
    <col min="12290" max="12290" width="6" style="3399" bestFit="1" customWidth="1"/>
    <col min="12291" max="12291" width="14.5" style="3399" bestFit="1" customWidth="1"/>
    <col min="12292" max="12292" width="17" style="3399" bestFit="1" customWidth="1"/>
    <col min="12293" max="12293" width="19.625" style="3399" bestFit="1" customWidth="1"/>
    <col min="12294" max="12294" width="45" style="3399" bestFit="1" customWidth="1"/>
    <col min="12295" max="12295" width="23.875" style="3399" bestFit="1" customWidth="1"/>
    <col min="12296" max="12296" width="17" style="3399" bestFit="1" customWidth="1"/>
    <col min="12297" max="12297" width="17.25" style="3399" customWidth="1"/>
    <col min="12298" max="12534" width="9" style="3399"/>
    <col min="12535" max="12535" width="10.25" style="3399" bestFit="1" customWidth="1"/>
    <col min="12536" max="12536" width="14.625" style="3399" customWidth="1"/>
    <col min="12537" max="12537" width="13.25" style="3399" bestFit="1" customWidth="1"/>
    <col min="12538" max="12538" width="10.875" style="3399" customWidth="1"/>
    <col min="12539" max="12539" width="12.625" style="3399" bestFit="1" customWidth="1"/>
    <col min="12540" max="12540" width="40.875" style="3399" bestFit="1" customWidth="1"/>
    <col min="12541" max="12541" width="23.875" style="3399" bestFit="1" customWidth="1"/>
    <col min="12542" max="12542" width="16" style="3399" customWidth="1"/>
    <col min="12543" max="12543" width="9.875" style="3399" customWidth="1"/>
    <col min="12544" max="12544" width="8.5" style="3399" customWidth="1"/>
    <col min="12545" max="12545" width="14.5" style="3399" bestFit="1" customWidth="1"/>
    <col min="12546" max="12546" width="6" style="3399" bestFit="1" customWidth="1"/>
    <col min="12547" max="12547" width="14.5" style="3399" bestFit="1" customWidth="1"/>
    <col min="12548" max="12548" width="17" style="3399" bestFit="1" customWidth="1"/>
    <col min="12549" max="12549" width="19.625" style="3399" bestFit="1" customWidth="1"/>
    <col min="12550" max="12550" width="45" style="3399" bestFit="1" customWidth="1"/>
    <col min="12551" max="12551" width="23.875" style="3399" bestFit="1" customWidth="1"/>
    <col min="12552" max="12552" width="17" style="3399" bestFit="1" customWidth="1"/>
    <col min="12553" max="12553" width="17.25" style="3399" customWidth="1"/>
    <col min="12554" max="12790" width="9" style="3399"/>
    <col min="12791" max="12791" width="10.25" style="3399" bestFit="1" customWidth="1"/>
    <col min="12792" max="12792" width="14.625" style="3399" customWidth="1"/>
    <col min="12793" max="12793" width="13.25" style="3399" bestFit="1" customWidth="1"/>
    <col min="12794" max="12794" width="10.875" style="3399" customWidth="1"/>
    <col min="12795" max="12795" width="12.625" style="3399" bestFit="1" customWidth="1"/>
    <col min="12796" max="12796" width="40.875" style="3399" bestFit="1" customWidth="1"/>
    <col min="12797" max="12797" width="23.875" style="3399" bestFit="1" customWidth="1"/>
    <col min="12798" max="12798" width="16" style="3399" customWidth="1"/>
    <col min="12799" max="12799" width="9.875" style="3399" customWidth="1"/>
    <col min="12800" max="12800" width="8.5" style="3399" customWidth="1"/>
    <col min="12801" max="12801" width="14.5" style="3399" bestFit="1" customWidth="1"/>
    <col min="12802" max="12802" width="6" style="3399" bestFit="1" customWidth="1"/>
    <col min="12803" max="12803" width="14.5" style="3399" bestFit="1" customWidth="1"/>
    <col min="12804" max="12804" width="17" style="3399" bestFit="1" customWidth="1"/>
    <col min="12805" max="12805" width="19.625" style="3399" bestFit="1" customWidth="1"/>
    <col min="12806" max="12806" width="45" style="3399" bestFit="1" customWidth="1"/>
    <col min="12807" max="12807" width="23.875" style="3399" bestFit="1" customWidth="1"/>
    <col min="12808" max="12808" width="17" style="3399" bestFit="1" customWidth="1"/>
    <col min="12809" max="12809" width="17.25" style="3399" customWidth="1"/>
    <col min="12810" max="13046" width="9" style="3399"/>
    <col min="13047" max="13047" width="10.25" style="3399" bestFit="1" customWidth="1"/>
    <col min="13048" max="13048" width="14.625" style="3399" customWidth="1"/>
    <col min="13049" max="13049" width="13.25" style="3399" bestFit="1" customWidth="1"/>
    <col min="13050" max="13050" width="10.875" style="3399" customWidth="1"/>
    <col min="13051" max="13051" width="12.625" style="3399" bestFit="1" customWidth="1"/>
    <col min="13052" max="13052" width="40.875" style="3399" bestFit="1" customWidth="1"/>
    <col min="13053" max="13053" width="23.875" style="3399" bestFit="1" customWidth="1"/>
    <col min="13054" max="13054" width="16" style="3399" customWidth="1"/>
    <col min="13055" max="13055" width="9.875" style="3399" customWidth="1"/>
    <col min="13056" max="13056" width="8.5" style="3399" customWidth="1"/>
    <col min="13057" max="13057" width="14.5" style="3399" bestFit="1" customWidth="1"/>
    <col min="13058" max="13058" width="6" style="3399" bestFit="1" customWidth="1"/>
    <col min="13059" max="13059" width="14.5" style="3399" bestFit="1" customWidth="1"/>
    <col min="13060" max="13060" width="17" style="3399" bestFit="1" customWidth="1"/>
    <col min="13061" max="13061" width="19.625" style="3399" bestFit="1" customWidth="1"/>
    <col min="13062" max="13062" width="45" style="3399" bestFit="1" customWidth="1"/>
    <col min="13063" max="13063" width="23.875" style="3399" bestFit="1" customWidth="1"/>
    <col min="13064" max="13064" width="17" style="3399" bestFit="1" customWidth="1"/>
    <col min="13065" max="13065" width="17.25" style="3399" customWidth="1"/>
    <col min="13066" max="13302" width="9" style="3399"/>
    <col min="13303" max="13303" width="10.25" style="3399" bestFit="1" customWidth="1"/>
    <col min="13304" max="13304" width="14.625" style="3399" customWidth="1"/>
    <col min="13305" max="13305" width="13.25" style="3399" bestFit="1" customWidth="1"/>
    <col min="13306" max="13306" width="10.875" style="3399" customWidth="1"/>
    <col min="13307" max="13307" width="12.625" style="3399" bestFit="1" customWidth="1"/>
    <col min="13308" max="13308" width="40.875" style="3399" bestFit="1" customWidth="1"/>
    <col min="13309" max="13309" width="23.875" style="3399" bestFit="1" customWidth="1"/>
    <col min="13310" max="13310" width="16" style="3399" customWidth="1"/>
    <col min="13311" max="13311" width="9.875" style="3399" customWidth="1"/>
    <col min="13312" max="13312" width="8.5" style="3399" customWidth="1"/>
    <col min="13313" max="13313" width="14.5" style="3399" bestFit="1" customWidth="1"/>
    <col min="13314" max="13314" width="6" style="3399" bestFit="1" customWidth="1"/>
    <col min="13315" max="13315" width="14.5" style="3399" bestFit="1" customWidth="1"/>
    <col min="13316" max="13316" width="17" style="3399" bestFit="1" customWidth="1"/>
    <col min="13317" max="13317" width="19.625" style="3399" bestFit="1" customWidth="1"/>
    <col min="13318" max="13318" width="45" style="3399" bestFit="1" customWidth="1"/>
    <col min="13319" max="13319" width="23.875" style="3399" bestFit="1" customWidth="1"/>
    <col min="13320" max="13320" width="17" style="3399" bestFit="1" customWidth="1"/>
    <col min="13321" max="13321" width="17.25" style="3399" customWidth="1"/>
    <col min="13322" max="13558" width="9" style="3399"/>
    <col min="13559" max="13559" width="10.25" style="3399" bestFit="1" customWidth="1"/>
    <col min="13560" max="13560" width="14.625" style="3399" customWidth="1"/>
    <col min="13561" max="13561" width="13.25" style="3399" bestFit="1" customWidth="1"/>
    <col min="13562" max="13562" width="10.875" style="3399" customWidth="1"/>
    <col min="13563" max="13563" width="12.625" style="3399" bestFit="1" customWidth="1"/>
    <col min="13564" max="13564" width="40.875" style="3399" bestFit="1" customWidth="1"/>
    <col min="13565" max="13565" width="23.875" style="3399" bestFit="1" customWidth="1"/>
    <col min="13566" max="13566" width="16" style="3399" customWidth="1"/>
    <col min="13567" max="13567" width="9.875" style="3399" customWidth="1"/>
    <col min="13568" max="13568" width="8.5" style="3399" customWidth="1"/>
    <col min="13569" max="13569" width="14.5" style="3399" bestFit="1" customWidth="1"/>
    <col min="13570" max="13570" width="6" style="3399" bestFit="1" customWidth="1"/>
    <col min="13571" max="13571" width="14.5" style="3399" bestFit="1" customWidth="1"/>
    <col min="13572" max="13572" width="17" style="3399" bestFit="1" customWidth="1"/>
    <col min="13573" max="13573" width="19.625" style="3399" bestFit="1" customWidth="1"/>
    <col min="13574" max="13574" width="45" style="3399" bestFit="1" customWidth="1"/>
    <col min="13575" max="13575" width="23.875" style="3399" bestFit="1" customWidth="1"/>
    <col min="13576" max="13576" width="17" style="3399" bestFit="1" customWidth="1"/>
    <col min="13577" max="13577" width="17.25" style="3399" customWidth="1"/>
    <col min="13578" max="13814" width="9" style="3399"/>
    <col min="13815" max="13815" width="10.25" style="3399" bestFit="1" customWidth="1"/>
    <col min="13816" max="13816" width="14.625" style="3399" customWidth="1"/>
    <col min="13817" max="13817" width="13.25" style="3399" bestFit="1" customWidth="1"/>
    <col min="13818" max="13818" width="10.875" style="3399" customWidth="1"/>
    <col min="13819" max="13819" width="12.625" style="3399" bestFit="1" customWidth="1"/>
    <col min="13820" max="13820" width="40.875" style="3399" bestFit="1" customWidth="1"/>
    <col min="13821" max="13821" width="23.875" style="3399" bestFit="1" customWidth="1"/>
    <col min="13822" max="13822" width="16" style="3399" customWidth="1"/>
    <col min="13823" max="13823" width="9.875" style="3399" customWidth="1"/>
    <col min="13824" max="13824" width="8.5" style="3399" customWidth="1"/>
    <col min="13825" max="13825" width="14.5" style="3399" bestFit="1" customWidth="1"/>
    <col min="13826" max="13826" width="6" style="3399" bestFit="1" customWidth="1"/>
    <col min="13827" max="13827" width="14.5" style="3399" bestFit="1" customWidth="1"/>
    <col min="13828" max="13828" width="17" style="3399" bestFit="1" customWidth="1"/>
    <col min="13829" max="13829" width="19.625" style="3399" bestFit="1" customWidth="1"/>
    <col min="13830" max="13830" width="45" style="3399" bestFit="1" customWidth="1"/>
    <col min="13831" max="13831" width="23.875" style="3399" bestFit="1" customWidth="1"/>
    <col min="13832" max="13832" width="17" style="3399" bestFit="1" customWidth="1"/>
    <col min="13833" max="13833" width="17.25" style="3399" customWidth="1"/>
    <col min="13834" max="14070" width="9" style="3399"/>
    <col min="14071" max="14071" width="10.25" style="3399" bestFit="1" customWidth="1"/>
    <col min="14072" max="14072" width="14.625" style="3399" customWidth="1"/>
    <col min="14073" max="14073" width="13.25" style="3399" bestFit="1" customWidth="1"/>
    <col min="14074" max="14074" width="10.875" style="3399" customWidth="1"/>
    <col min="14075" max="14075" width="12.625" style="3399" bestFit="1" customWidth="1"/>
    <col min="14076" max="14076" width="40.875" style="3399" bestFit="1" customWidth="1"/>
    <col min="14077" max="14077" width="23.875" style="3399" bestFit="1" customWidth="1"/>
    <col min="14078" max="14078" width="16" style="3399" customWidth="1"/>
    <col min="14079" max="14079" width="9.875" style="3399" customWidth="1"/>
    <col min="14080" max="14080" width="8.5" style="3399" customWidth="1"/>
    <col min="14081" max="14081" width="14.5" style="3399" bestFit="1" customWidth="1"/>
    <col min="14082" max="14082" width="6" style="3399" bestFit="1" customWidth="1"/>
    <col min="14083" max="14083" width="14.5" style="3399" bestFit="1" customWidth="1"/>
    <col min="14084" max="14084" width="17" style="3399" bestFit="1" customWidth="1"/>
    <col min="14085" max="14085" width="19.625" style="3399" bestFit="1" customWidth="1"/>
    <col min="14086" max="14086" width="45" style="3399" bestFit="1" customWidth="1"/>
    <col min="14087" max="14087" width="23.875" style="3399" bestFit="1" customWidth="1"/>
    <col min="14088" max="14088" width="17" style="3399" bestFit="1" customWidth="1"/>
    <col min="14089" max="14089" width="17.25" style="3399" customWidth="1"/>
    <col min="14090" max="14326" width="9" style="3399"/>
    <col min="14327" max="14327" width="10.25" style="3399" bestFit="1" customWidth="1"/>
    <col min="14328" max="14328" width="14.625" style="3399" customWidth="1"/>
    <col min="14329" max="14329" width="13.25" style="3399" bestFit="1" customWidth="1"/>
    <col min="14330" max="14330" width="10.875" style="3399" customWidth="1"/>
    <col min="14331" max="14331" width="12.625" style="3399" bestFit="1" customWidth="1"/>
    <col min="14332" max="14332" width="40.875" style="3399" bestFit="1" customWidth="1"/>
    <col min="14333" max="14333" width="23.875" style="3399" bestFit="1" customWidth="1"/>
    <col min="14334" max="14334" width="16" style="3399" customWidth="1"/>
    <col min="14335" max="14335" width="9.875" style="3399" customWidth="1"/>
    <col min="14336" max="14336" width="8.5" style="3399" customWidth="1"/>
    <col min="14337" max="14337" width="14.5" style="3399" bestFit="1" customWidth="1"/>
    <col min="14338" max="14338" width="6" style="3399" bestFit="1" customWidth="1"/>
    <col min="14339" max="14339" width="14.5" style="3399" bestFit="1" customWidth="1"/>
    <col min="14340" max="14340" width="17" style="3399" bestFit="1" customWidth="1"/>
    <col min="14341" max="14341" width="19.625" style="3399" bestFit="1" customWidth="1"/>
    <col min="14342" max="14342" width="45" style="3399" bestFit="1" customWidth="1"/>
    <col min="14343" max="14343" width="23.875" style="3399" bestFit="1" customWidth="1"/>
    <col min="14344" max="14344" width="17" style="3399" bestFit="1" customWidth="1"/>
    <col min="14345" max="14345" width="17.25" style="3399" customWidth="1"/>
    <col min="14346" max="14582" width="9" style="3399"/>
    <col min="14583" max="14583" width="10.25" style="3399" bestFit="1" customWidth="1"/>
    <col min="14584" max="14584" width="14.625" style="3399" customWidth="1"/>
    <col min="14585" max="14585" width="13.25" style="3399" bestFit="1" customWidth="1"/>
    <col min="14586" max="14586" width="10.875" style="3399" customWidth="1"/>
    <col min="14587" max="14587" width="12.625" style="3399" bestFit="1" customWidth="1"/>
    <col min="14588" max="14588" width="40.875" style="3399" bestFit="1" customWidth="1"/>
    <col min="14589" max="14589" width="23.875" style="3399" bestFit="1" customWidth="1"/>
    <col min="14590" max="14590" width="16" style="3399" customWidth="1"/>
    <col min="14591" max="14591" width="9.875" style="3399" customWidth="1"/>
    <col min="14592" max="14592" width="8.5" style="3399" customWidth="1"/>
    <col min="14593" max="14593" width="14.5" style="3399" bestFit="1" customWidth="1"/>
    <col min="14594" max="14594" width="6" style="3399" bestFit="1" customWidth="1"/>
    <col min="14595" max="14595" width="14.5" style="3399" bestFit="1" customWidth="1"/>
    <col min="14596" max="14596" width="17" style="3399" bestFit="1" customWidth="1"/>
    <col min="14597" max="14597" width="19.625" style="3399" bestFit="1" customWidth="1"/>
    <col min="14598" max="14598" width="45" style="3399" bestFit="1" customWidth="1"/>
    <col min="14599" max="14599" width="23.875" style="3399" bestFit="1" customWidth="1"/>
    <col min="14600" max="14600" width="17" style="3399" bestFit="1" customWidth="1"/>
    <col min="14601" max="14601" width="17.25" style="3399" customWidth="1"/>
    <col min="14602" max="14838" width="9" style="3399"/>
    <col min="14839" max="14839" width="10.25" style="3399" bestFit="1" customWidth="1"/>
    <col min="14840" max="14840" width="14.625" style="3399" customWidth="1"/>
    <col min="14841" max="14841" width="13.25" style="3399" bestFit="1" customWidth="1"/>
    <col min="14842" max="14842" width="10.875" style="3399" customWidth="1"/>
    <col min="14843" max="14843" width="12.625" style="3399" bestFit="1" customWidth="1"/>
    <col min="14844" max="14844" width="40.875" style="3399" bestFit="1" customWidth="1"/>
    <col min="14845" max="14845" width="23.875" style="3399" bestFit="1" customWidth="1"/>
    <col min="14846" max="14846" width="16" style="3399" customWidth="1"/>
    <col min="14847" max="14847" width="9.875" style="3399" customWidth="1"/>
    <col min="14848" max="14848" width="8.5" style="3399" customWidth="1"/>
    <col min="14849" max="14849" width="14.5" style="3399" bestFit="1" customWidth="1"/>
    <col min="14850" max="14850" width="6" style="3399" bestFit="1" customWidth="1"/>
    <col min="14851" max="14851" width="14.5" style="3399" bestFit="1" customWidth="1"/>
    <col min="14852" max="14852" width="17" style="3399" bestFit="1" customWidth="1"/>
    <col min="14853" max="14853" width="19.625" style="3399" bestFit="1" customWidth="1"/>
    <col min="14854" max="14854" width="45" style="3399" bestFit="1" customWidth="1"/>
    <col min="14855" max="14855" width="23.875" style="3399" bestFit="1" customWidth="1"/>
    <col min="14856" max="14856" width="17" style="3399" bestFit="1" customWidth="1"/>
    <col min="14857" max="14857" width="17.25" style="3399" customWidth="1"/>
    <col min="14858" max="15094" width="9" style="3399"/>
    <col min="15095" max="15095" width="10.25" style="3399" bestFit="1" customWidth="1"/>
    <col min="15096" max="15096" width="14.625" style="3399" customWidth="1"/>
    <col min="15097" max="15097" width="13.25" style="3399" bestFit="1" customWidth="1"/>
    <col min="15098" max="15098" width="10.875" style="3399" customWidth="1"/>
    <col min="15099" max="15099" width="12.625" style="3399" bestFit="1" customWidth="1"/>
    <col min="15100" max="15100" width="40.875" style="3399" bestFit="1" customWidth="1"/>
    <col min="15101" max="15101" width="23.875" style="3399" bestFit="1" customWidth="1"/>
    <col min="15102" max="15102" width="16" style="3399" customWidth="1"/>
    <col min="15103" max="15103" width="9.875" style="3399" customWidth="1"/>
    <col min="15104" max="15104" width="8.5" style="3399" customWidth="1"/>
    <col min="15105" max="15105" width="14.5" style="3399" bestFit="1" customWidth="1"/>
    <col min="15106" max="15106" width="6" style="3399" bestFit="1" customWidth="1"/>
    <col min="15107" max="15107" width="14.5" style="3399" bestFit="1" customWidth="1"/>
    <col min="15108" max="15108" width="17" style="3399" bestFit="1" customWidth="1"/>
    <col min="15109" max="15109" width="19.625" style="3399" bestFit="1" customWidth="1"/>
    <col min="15110" max="15110" width="45" style="3399" bestFit="1" customWidth="1"/>
    <col min="15111" max="15111" width="23.875" style="3399" bestFit="1" customWidth="1"/>
    <col min="15112" max="15112" width="17" style="3399" bestFit="1" customWidth="1"/>
    <col min="15113" max="15113" width="17.25" style="3399" customWidth="1"/>
    <col min="15114" max="15350" width="9" style="3399"/>
    <col min="15351" max="15351" width="10.25" style="3399" bestFit="1" customWidth="1"/>
    <col min="15352" max="15352" width="14.625" style="3399" customWidth="1"/>
    <col min="15353" max="15353" width="13.25" style="3399" bestFit="1" customWidth="1"/>
    <col min="15354" max="15354" width="10.875" style="3399" customWidth="1"/>
    <col min="15355" max="15355" width="12.625" style="3399" bestFit="1" customWidth="1"/>
    <col min="15356" max="15356" width="40.875" style="3399" bestFit="1" customWidth="1"/>
    <col min="15357" max="15357" width="23.875" style="3399" bestFit="1" customWidth="1"/>
    <col min="15358" max="15358" width="16" style="3399" customWidth="1"/>
    <col min="15359" max="15359" width="9.875" style="3399" customWidth="1"/>
    <col min="15360" max="15360" width="8.5" style="3399" customWidth="1"/>
    <col min="15361" max="15361" width="14.5" style="3399" bestFit="1" customWidth="1"/>
    <col min="15362" max="15362" width="6" style="3399" bestFit="1" customWidth="1"/>
    <col min="15363" max="15363" width="14.5" style="3399" bestFit="1" customWidth="1"/>
    <col min="15364" max="15364" width="17" style="3399" bestFit="1" customWidth="1"/>
    <col min="15365" max="15365" width="19.625" style="3399" bestFit="1" customWidth="1"/>
    <col min="15366" max="15366" width="45" style="3399" bestFit="1" customWidth="1"/>
    <col min="15367" max="15367" width="23.875" style="3399" bestFit="1" customWidth="1"/>
    <col min="15368" max="15368" width="17" style="3399" bestFit="1" customWidth="1"/>
    <col min="15369" max="15369" width="17.25" style="3399" customWidth="1"/>
    <col min="15370" max="15606" width="9" style="3399"/>
    <col min="15607" max="15607" width="10.25" style="3399" bestFit="1" customWidth="1"/>
    <col min="15608" max="15608" width="14.625" style="3399" customWidth="1"/>
    <col min="15609" max="15609" width="13.25" style="3399" bestFit="1" customWidth="1"/>
    <col min="15610" max="15610" width="10.875" style="3399" customWidth="1"/>
    <col min="15611" max="15611" width="12.625" style="3399" bestFit="1" customWidth="1"/>
    <col min="15612" max="15612" width="40.875" style="3399" bestFit="1" customWidth="1"/>
    <col min="15613" max="15613" width="23.875" style="3399" bestFit="1" customWidth="1"/>
    <col min="15614" max="15614" width="16" style="3399" customWidth="1"/>
    <col min="15615" max="15615" width="9.875" style="3399" customWidth="1"/>
    <col min="15616" max="15616" width="8.5" style="3399" customWidth="1"/>
    <col min="15617" max="15617" width="14.5" style="3399" bestFit="1" customWidth="1"/>
    <col min="15618" max="15618" width="6" style="3399" bestFit="1" customWidth="1"/>
    <col min="15619" max="15619" width="14.5" style="3399" bestFit="1" customWidth="1"/>
    <col min="15620" max="15620" width="17" style="3399" bestFit="1" customWidth="1"/>
    <col min="15621" max="15621" width="19.625" style="3399" bestFit="1" customWidth="1"/>
    <col min="15622" max="15622" width="45" style="3399" bestFit="1" customWidth="1"/>
    <col min="15623" max="15623" width="23.875" style="3399" bestFit="1" customWidth="1"/>
    <col min="15624" max="15624" width="17" style="3399" bestFit="1" customWidth="1"/>
    <col min="15625" max="15625" width="17.25" style="3399" customWidth="1"/>
    <col min="15626" max="15862" width="9" style="3399"/>
    <col min="15863" max="15863" width="10.25" style="3399" bestFit="1" customWidth="1"/>
    <col min="15864" max="15864" width="14.625" style="3399" customWidth="1"/>
    <col min="15865" max="15865" width="13.25" style="3399" bestFit="1" customWidth="1"/>
    <col min="15866" max="15866" width="10.875" style="3399" customWidth="1"/>
    <col min="15867" max="15867" width="12.625" style="3399" bestFit="1" customWidth="1"/>
    <col min="15868" max="15868" width="40.875" style="3399" bestFit="1" customWidth="1"/>
    <col min="15869" max="15869" width="23.875" style="3399" bestFit="1" customWidth="1"/>
    <col min="15870" max="15870" width="16" style="3399" customWidth="1"/>
    <col min="15871" max="15871" width="9.875" style="3399" customWidth="1"/>
    <col min="15872" max="15872" width="8.5" style="3399" customWidth="1"/>
    <col min="15873" max="15873" width="14.5" style="3399" bestFit="1" customWidth="1"/>
    <col min="15874" max="15874" width="6" style="3399" bestFit="1" customWidth="1"/>
    <col min="15875" max="15875" width="14.5" style="3399" bestFit="1" customWidth="1"/>
    <col min="15876" max="15876" width="17" style="3399" bestFit="1" customWidth="1"/>
    <col min="15877" max="15877" width="19.625" style="3399" bestFit="1" customWidth="1"/>
    <col min="15878" max="15878" width="45" style="3399" bestFit="1" customWidth="1"/>
    <col min="15879" max="15879" width="23.875" style="3399" bestFit="1" customWidth="1"/>
    <col min="15880" max="15880" width="17" style="3399" bestFit="1" customWidth="1"/>
    <col min="15881" max="15881" width="17.25" style="3399" customWidth="1"/>
    <col min="15882" max="16118" width="9" style="3399"/>
    <col min="16119" max="16119" width="10.25" style="3399" bestFit="1" customWidth="1"/>
    <col min="16120" max="16120" width="14.625" style="3399" customWidth="1"/>
    <col min="16121" max="16121" width="13.25" style="3399" bestFit="1" customWidth="1"/>
    <col min="16122" max="16122" width="10.875" style="3399" customWidth="1"/>
    <col min="16123" max="16123" width="12.625" style="3399" bestFit="1" customWidth="1"/>
    <col min="16124" max="16124" width="40.875" style="3399" bestFit="1" customWidth="1"/>
    <col min="16125" max="16125" width="23.875" style="3399" bestFit="1" customWidth="1"/>
    <col min="16126" max="16126" width="16" style="3399" customWidth="1"/>
    <col min="16127" max="16127" width="9.875" style="3399" customWidth="1"/>
    <col min="16128" max="16128" width="8.5" style="3399" customWidth="1"/>
    <col min="16129" max="16129" width="14.5" style="3399" bestFit="1" customWidth="1"/>
    <col min="16130" max="16130" width="6" style="3399" bestFit="1" customWidth="1"/>
    <col min="16131" max="16131" width="14.5" style="3399" bestFit="1" customWidth="1"/>
    <col min="16132" max="16132" width="17" style="3399" bestFit="1" customWidth="1"/>
    <col min="16133" max="16133" width="19.625" style="3399" bestFit="1" customWidth="1"/>
    <col min="16134" max="16134" width="45" style="3399" bestFit="1" customWidth="1"/>
    <col min="16135" max="16135" width="23.875" style="3399" bestFit="1" customWidth="1"/>
    <col min="16136" max="16136" width="17" style="3399" bestFit="1" customWidth="1"/>
    <col min="16137" max="16137" width="17.25" style="3399" customWidth="1"/>
    <col min="16138" max="16384" width="9" style="3399"/>
  </cols>
  <sheetData>
    <row r="1" spans="1:77" ht="15" thickBot="1">
      <c r="A1" s="3397"/>
      <c r="B1" s="4315" t="s">
        <v>3460</v>
      </c>
      <c r="C1" s="4315"/>
      <c r="D1" s="4315"/>
      <c r="E1" s="4315"/>
      <c r="F1" s="4315"/>
      <c r="G1" s="4315"/>
      <c r="H1" s="4315"/>
      <c r="I1" s="4315"/>
      <c r="J1" s="4315"/>
      <c r="K1" s="4315"/>
      <c r="L1" s="4315"/>
      <c r="M1" s="4315"/>
      <c r="N1" s="4315"/>
      <c r="O1" s="4315"/>
      <c r="P1" s="4315"/>
      <c r="Q1" s="4315"/>
      <c r="R1" s="3498"/>
      <c r="V1" s="3470"/>
      <c r="W1" s="3470"/>
      <c r="X1" s="3503">
        <v>44927</v>
      </c>
      <c r="Y1" s="3503">
        <v>45292</v>
      </c>
      <c r="Z1" s="3503">
        <v>45658</v>
      </c>
      <c r="AA1" s="3503">
        <v>46023</v>
      </c>
      <c r="AB1" s="3471">
        <v>46388</v>
      </c>
      <c r="AC1" s="3471">
        <v>46753</v>
      </c>
      <c r="AD1" s="3471">
        <v>47119</v>
      </c>
      <c r="AE1" s="3471">
        <v>47484</v>
      </c>
      <c r="AF1" s="3475">
        <v>47849</v>
      </c>
      <c r="AG1" s="3475">
        <v>48214</v>
      </c>
      <c r="AH1" s="3475">
        <v>48580</v>
      </c>
      <c r="AI1" s="3475">
        <v>48945</v>
      </c>
      <c r="AJ1" s="3475">
        <v>49310</v>
      </c>
      <c r="AK1" s="3475">
        <v>49675</v>
      </c>
      <c r="AL1" s="3475">
        <v>50041</v>
      </c>
      <c r="AM1" s="3475">
        <v>50406</v>
      </c>
      <c r="AN1" s="3475">
        <v>50771</v>
      </c>
      <c r="AO1" s="3475">
        <v>51136</v>
      </c>
      <c r="AP1" s="3475">
        <v>51502</v>
      </c>
      <c r="AQ1" s="3475">
        <v>51867</v>
      </c>
      <c r="AR1" s="3475">
        <v>52232</v>
      </c>
      <c r="AS1" s="3475">
        <v>52597</v>
      </c>
      <c r="AT1" s="3475">
        <v>52963</v>
      </c>
      <c r="AU1" s="3475">
        <v>53328</v>
      </c>
      <c r="AV1" s="3475">
        <v>53693</v>
      </c>
      <c r="AW1" s="3475">
        <v>54058</v>
      </c>
      <c r="AX1" s="3475">
        <v>54424</v>
      </c>
      <c r="AY1" s="3475">
        <v>54789</v>
      </c>
      <c r="AZ1" s="3475">
        <v>55154</v>
      </c>
      <c r="BA1" s="3475">
        <v>55519</v>
      </c>
      <c r="BB1" s="3475">
        <v>55885</v>
      </c>
      <c r="BC1" s="3475">
        <v>56250</v>
      </c>
      <c r="BD1" s="3475">
        <v>56615</v>
      </c>
      <c r="BE1" s="3475">
        <v>56980</v>
      </c>
      <c r="BF1" s="3475">
        <v>57346</v>
      </c>
      <c r="BG1" s="3475">
        <v>57711</v>
      </c>
      <c r="BH1" s="3475">
        <v>58076</v>
      </c>
      <c r="BI1" s="3475">
        <v>58441</v>
      </c>
      <c r="BJ1" s="3475">
        <v>58807</v>
      </c>
      <c r="BK1" s="3475">
        <v>59172</v>
      </c>
      <c r="BL1" s="3475">
        <v>59537</v>
      </c>
      <c r="BM1" s="3475">
        <v>59902</v>
      </c>
      <c r="BN1" s="3475">
        <v>60268</v>
      </c>
      <c r="BO1" s="3475">
        <v>60633</v>
      </c>
      <c r="BP1" s="3475">
        <v>60998</v>
      </c>
      <c r="BQ1" s="3475">
        <v>61363</v>
      </c>
      <c r="BR1" s="3475">
        <v>61729</v>
      </c>
      <c r="BS1" s="3475">
        <v>62094</v>
      </c>
      <c r="BT1" s="3475">
        <v>62459</v>
      </c>
      <c r="BU1" s="3475">
        <v>62824</v>
      </c>
      <c r="BV1" s="3475">
        <v>63190</v>
      </c>
      <c r="BW1" s="3475">
        <v>63555</v>
      </c>
    </row>
    <row r="2" spans="1:77" s="3407" customFormat="1" ht="71.25">
      <c r="A2" s="3400" t="s">
        <v>3461</v>
      </c>
      <c r="B2" s="3401" t="s">
        <v>3462</v>
      </c>
      <c r="C2" s="3402" t="s">
        <v>3463</v>
      </c>
      <c r="D2" s="3402" t="s">
        <v>3464</v>
      </c>
      <c r="E2" s="3403" t="s">
        <v>3465</v>
      </c>
      <c r="F2" s="3401" t="s">
        <v>3466</v>
      </c>
      <c r="G2" s="3403" t="s">
        <v>3467</v>
      </c>
      <c r="H2" s="3403" t="s">
        <v>3468</v>
      </c>
      <c r="I2" s="3403"/>
      <c r="J2" s="3404" t="s">
        <v>3469</v>
      </c>
      <c r="K2" s="3403" t="s">
        <v>3470</v>
      </c>
      <c r="L2" s="3403" t="s">
        <v>3471</v>
      </c>
      <c r="M2" s="3403" t="s">
        <v>3472</v>
      </c>
      <c r="N2" s="3403" t="s">
        <v>3473</v>
      </c>
      <c r="O2" s="3403" t="s">
        <v>3474</v>
      </c>
      <c r="P2" s="3403" t="s">
        <v>3475</v>
      </c>
      <c r="Q2" s="3403" t="s">
        <v>3476</v>
      </c>
      <c r="R2" s="3405" t="s">
        <v>3477</v>
      </c>
      <c r="S2" s="3406" t="s">
        <v>3478</v>
      </c>
      <c r="T2" s="3623"/>
      <c r="U2" s="3623"/>
      <c r="V2" s="3470"/>
      <c r="W2" s="3471">
        <f>项目基本情况!D3</f>
        <v>45226</v>
      </c>
      <c r="X2" s="3503">
        <v>45291</v>
      </c>
      <c r="Y2" s="3503">
        <v>45657</v>
      </c>
      <c r="Z2" s="3503">
        <v>46022</v>
      </c>
      <c r="AA2" s="3503">
        <v>46387</v>
      </c>
      <c r="AB2" s="3471">
        <v>46752</v>
      </c>
      <c r="AC2" s="3471">
        <v>47118</v>
      </c>
      <c r="AD2" s="3471">
        <v>47483</v>
      </c>
      <c r="AE2" s="3471">
        <v>47848</v>
      </c>
      <c r="AF2" s="3475">
        <v>48213</v>
      </c>
      <c r="AG2" s="3475">
        <v>48579</v>
      </c>
      <c r="AH2" s="3475">
        <v>48944</v>
      </c>
      <c r="AI2" s="3475">
        <v>49309</v>
      </c>
      <c r="AJ2" s="3475">
        <v>49674</v>
      </c>
      <c r="AK2" s="3475">
        <v>50040</v>
      </c>
      <c r="AL2" s="3475">
        <v>50405</v>
      </c>
      <c r="AM2" s="3475">
        <v>50770</v>
      </c>
      <c r="AN2" s="3475">
        <v>51135</v>
      </c>
      <c r="AO2" s="3475">
        <v>51501</v>
      </c>
      <c r="AP2" s="3475">
        <v>51866</v>
      </c>
      <c r="AQ2" s="3475">
        <v>52231</v>
      </c>
      <c r="AR2" s="3475">
        <v>52596</v>
      </c>
      <c r="AS2" s="3475">
        <v>52962</v>
      </c>
      <c r="AT2" s="3475">
        <v>53327</v>
      </c>
      <c r="AU2" s="3475">
        <v>53692</v>
      </c>
      <c r="AV2" s="3475">
        <v>54057</v>
      </c>
      <c r="AW2" s="3475">
        <v>54423</v>
      </c>
      <c r="AX2" s="3475">
        <v>54788</v>
      </c>
      <c r="AY2" s="3475">
        <v>55153</v>
      </c>
      <c r="AZ2" s="3475">
        <v>55518</v>
      </c>
      <c r="BA2" s="3475">
        <v>55884</v>
      </c>
      <c r="BB2" s="3475">
        <v>56249</v>
      </c>
      <c r="BC2" s="3475">
        <v>56614</v>
      </c>
      <c r="BD2" s="3475">
        <v>56979</v>
      </c>
      <c r="BE2" s="3475">
        <v>57345</v>
      </c>
      <c r="BF2" s="3475">
        <v>57710</v>
      </c>
      <c r="BG2" s="3475">
        <v>58075</v>
      </c>
      <c r="BH2" s="3475">
        <v>58440</v>
      </c>
      <c r="BI2" s="3475">
        <v>58806</v>
      </c>
      <c r="BJ2" s="3475">
        <v>59171</v>
      </c>
      <c r="BK2" s="3475">
        <v>59536</v>
      </c>
      <c r="BL2" s="3475">
        <v>59901</v>
      </c>
      <c r="BM2" s="3475">
        <v>60267</v>
      </c>
      <c r="BN2" s="3475">
        <v>60632</v>
      </c>
      <c r="BO2" s="3475">
        <v>60997</v>
      </c>
      <c r="BP2" s="3475">
        <v>61362</v>
      </c>
      <c r="BQ2" s="3475">
        <v>61728</v>
      </c>
      <c r="BR2" s="3475">
        <v>62093</v>
      </c>
      <c r="BS2" s="3475">
        <v>62458</v>
      </c>
      <c r="BT2" s="3475">
        <v>62823</v>
      </c>
      <c r="BU2" s="3475">
        <v>63189</v>
      </c>
      <c r="BV2" s="3475">
        <v>63554</v>
      </c>
      <c r="BW2" s="3475">
        <v>63919</v>
      </c>
      <c r="BX2" s="3476"/>
      <c r="BY2" s="3476"/>
    </row>
    <row r="3" spans="1:77" s="3409" customFormat="1">
      <c r="A3" s="4316"/>
      <c r="B3" s="3499" t="s">
        <v>3479</v>
      </c>
      <c r="C3" s="3408">
        <v>316.14999999999998</v>
      </c>
      <c r="D3" s="3408">
        <v>211.31</v>
      </c>
      <c r="E3" s="3408"/>
      <c r="F3" s="4317"/>
      <c r="G3" s="4320"/>
      <c r="H3" s="4303"/>
      <c r="I3" s="3674"/>
      <c r="J3" s="4303"/>
      <c r="K3" s="4303"/>
      <c r="L3" s="4303"/>
      <c r="M3" s="4303"/>
      <c r="N3" s="4303"/>
      <c r="O3" s="4303"/>
      <c r="P3" s="4323"/>
      <c r="Q3" s="4324"/>
      <c r="R3" s="4303"/>
      <c r="S3" s="4303"/>
      <c r="T3" s="3462"/>
      <c r="U3" s="3462"/>
      <c r="V3" s="3472"/>
      <c r="W3" s="3472"/>
      <c r="X3" s="3504"/>
      <c r="Y3" s="3504"/>
      <c r="Z3" s="3504"/>
      <c r="AA3" s="3504"/>
      <c r="AB3" s="3472"/>
      <c r="AC3" s="3472"/>
      <c r="AD3" s="3472"/>
      <c r="AE3" s="3472"/>
      <c r="AF3" s="3397"/>
      <c r="AG3" s="3397"/>
      <c r="AH3" s="3397"/>
      <c r="AI3" s="3397"/>
      <c r="AJ3" s="3397"/>
      <c r="AK3" s="3397"/>
      <c r="AL3" s="3397"/>
      <c r="AM3" s="3397"/>
      <c r="AN3" s="3397"/>
      <c r="AO3" s="3397"/>
      <c r="AP3" s="3397"/>
      <c r="AQ3" s="3397"/>
      <c r="AR3" s="3397"/>
      <c r="AS3" s="3397"/>
      <c r="AT3" s="3397"/>
      <c r="AU3" s="3397"/>
      <c r="AV3" s="3397"/>
      <c r="AW3" s="3397"/>
      <c r="AX3" s="3397"/>
      <c r="AY3" s="3397"/>
      <c r="AZ3" s="3397"/>
      <c r="BA3" s="3397"/>
      <c r="BB3" s="3397"/>
      <c r="BC3" s="3397"/>
      <c r="BD3" s="3397"/>
      <c r="BE3" s="3397"/>
      <c r="BF3" s="3397"/>
      <c r="BG3" s="3397"/>
      <c r="BH3" s="3397"/>
      <c r="BI3" s="3397"/>
      <c r="BJ3" s="3397"/>
      <c r="BK3" s="3397"/>
      <c r="BL3" s="3397"/>
      <c r="BM3" s="3397"/>
      <c r="BN3" s="3397"/>
      <c r="BO3" s="3397"/>
      <c r="BP3" s="3397"/>
      <c r="BQ3" s="3397"/>
      <c r="BR3" s="3397"/>
      <c r="BS3" s="3397"/>
      <c r="BT3" s="3397"/>
      <c r="BU3" s="3397"/>
      <c r="BV3" s="3397"/>
      <c r="BW3" s="3397"/>
      <c r="BX3" s="3397"/>
      <c r="BY3" s="3397"/>
    </row>
    <row r="4" spans="1:77" s="3409" customFormat="1">
      <c r="A4" s="4316"/>
      <c r="B4" s="3499" t="s">
        <v>3480</v>
      </c>
      <c r="C4" s="3408">
        <v>315.86</v>
      </c>
      <c r="D4" s="3408">
        <v>211.11</v>
      </c>
      <c r="E4" s="3408"/>
      <c r="F4" s="4318"/>
      <c r="G4" s="4321"/>
      <c r="H4" s="4304"/>
      <c r="I4" s="3675"/>
      <c r="J4" s="4304"/>
      <c r="K4" s="4304"/>
      <c r="L4" s="4304"/>
      <c r="M4" s="4304"/>
      <c r="N4" s="4304"/>
      <c r="O4" s="4304"/>
      <c r="P4" s="4323"/>
      <c r="Q4" s="4324"/>
      <c r="R4" s="4304"/>
      <c r="S4" s="4304"/>
      <c r="T4" s="3462"/>
      <c r="U4" s="3462"/>
      <c r="V4" s="3473"/>
      <c r="W4" s="3470"/>
      <c r="X4" s="3505"/>
      <c r="Y4" s="3505"/>
      <c r="Z4" s="3505"/>
      <c r="AA4" s="3505"/>
      <c r="AB4" s="3470"/>
      <c r="AC4" s="3470"/>
      <c r="AD4" s="3470"/>
      <c r="AE4" s="3470"/>
      <c r="AF4" s="3397"/>
      <c r="AG4" s="3397"/>
      <c r="AH4" s="3397"/>
      <c r="AI4" s="3397"/>
      <c r="AJ4" s="3397"/>
      <c r="AK4" s="3397"/>
      <c r="AL4" s="3397"/>
      <c r="AM4" s="3397"/>
      <c r="AN4" s="3397"/>
      <c r="AO4" s="3397"/>
      <c r="AP4" s="3397"/>
      <c r="AQ4" s="3397"/>
      <c r="AR4" s="3397"/>
      <c r="AS4" s="3397"/>
      <c r="AT4" s="3397"/>
      <c r="AU4" s="3397"/>
      <c r="AV4" s="3397"/>
      <c r="AW4" s="3397"/>
      <c r="AX4" s="3397"/>
      <c r="AY4" s="3397"/>
      <c r="AZ4" s="3397"/>
      <c r="BA4" s="3397"/>
      <c r="BB4" s="3397"/>
      <c r="BC4" s="3397"/>
      <c r="BD4" s="3397"/>
      <c r="BE4" s="3397"/>
      <c r="BF4" s="3397"/>
      <c r="BG4" s="3397"/>
      <c r="BH4" s="3397"/>
      <c r="BI4" s="3397"/>
      <c r="BJ4" s="3397"/>
      <c r="BK4" s="3397"/>
      <c r="BL4" s="3397"/>
      <c r="BM4" s="3397"/>
      <c r="BN4" s="3397"/>
      <c r="BO4" s="3397"/>
      <c r="BP4" s="3397"/>
      <c r="BQ4" s="3397"/>
      <c r="BR4" s="3397"/>
      <c r="BS4" s="3397"/>
      <c r="BT4" s="3397"/>
      <c r="BU4" s="3397"/>
      <c r="BV4" s="3397"/>
      <c r="BW4" s="3397"/>
      <c r="BX4" s="3397"/>
      <c r="BY4" s="3397"/>
    </row>
    <row r="5" spans="1:77" s="3409" customFormat="1">
      <c r="A5" s="4316"/>
      <c r="B5" s="3499" t="s">
        <v>3481</v>
      </c>
      <c r="C5" s="3408">
        <v>223.36</v>
      </c>
      <c r="D5" s="3408">
        <v>149.15</v>
      </c>
      <c r="E5" s="3408"/>
      <c r="F5" s="4318"/>
      <c r="G5" s="4321"/>
      <c r="H5" s="4304"/>
      <c r="I5" s="3675"/>
      <c r="J5" s="4304"/>
      <c r="K5" s="4304"/>
      <c r="L5" s="4304"/>
      <c r="M5" s="4304"/>
      <c r="N5" s="4304"/>
      <c r="O5" s="4304"/>
      <c r="P5" s="4323"/>
      <c r="Q5" s="4324"/>
      <c r="R5" s="4304"/>
      <c r="S5" s="4304"/>
      <c r="T5" s="3462"/>
      <c r="U5" s="3462"/>
      <c r="V5" s="3470"/>
      <c r="W5" s="3470"/>
      <c r="X5" s="3505"/>
      <c r="Y5" s="3505"/>
      <c r="Z5" s="3505"/>
      <c r="AA5" s="3505"/>
      <c r="AB5" s="3470"/>
      <c r="AC5" s="3470"/>
      <c r="AD5" s="3470"/>
      <c r="AE5" s="3470"/>
      <c r="AF5" s="3397"/>
      <c r="AG5" s="3397"/>
      <c r="AH5" s="3397"/>
      <c r="AI5" s="3397"/>
      <c r="AJ5" s="3397"/>
      <c r="AK5" s="3397"/>
      <c r="AL5" s="3397"/>
      <c r="AM5" s="3397"/>
      <c r="AN5" s="3397"/>
      <c r="AO5" s="3397"/>
      <c r="AP5" s="3397"/>
      <c r="AQ5" s="3397"/>
      <c r="AR5" s="3397"/>
      <c r="AS5" s="3397"/>
      <c r="AT5" s="3397"/>
      <c r="AU5" s="3397"/>
      <c r="AV5" s="3397"/>
      <c r="AW5" s="3397"/>
      <c r="AX5" s="3397"/>
      <c r="AY5" s="3397"/>
      <c r="AZ5" s="3397"/>
      <c r="BA5" s="3397"/>
      <c r="BB5" s="3397"/>
      <c r="BC5" s="3397"/>
      <c r="BD5" s="3397"/>
      <c r="BE5" s="3397"/>
      <c r="BF5" s="3397"/>
      <c r="BG5" s="3397"/>
      <c r="BH5" s="3397"/>
      <c r="BI5" s="3397"/>
      <c r="BJ5" s="3397"/>
      <c r="BK5" s="3397"/>
      <c r="BL5" s="3397"/>
      <c r="BM5" s="3397"/>
      <c r="BN5" s="3397"/>
      <c r="BO5" s="3397"/>
      <c r="BP5" s="3397"/>
      <c r="BQ5" s="3397"/>
      <c r="BR5" s="3397"/>
      <c r="BS5" s="3397"/>
      <c r="BT5" s="3397"/>
      <c r="BU5" s="3397"/>
      <c r="BV5" s="3397"/>
      <c r="BW5" s="3397"/>
      <c r="BX5" s="3397"/>
      <c r="BY5" s="3397"/>
    </row>
    <row r="6" spans="1:77" s="3409" customFormat="1">
      <c r="A6" s="4316"/>
      <c r="B6" s="3499" t="s">
        <v>3482</v>
      </c>
      <c r="C6" s="3408">
        <v>303.2</v>
      </c>
      <c r="D6" s="3408">
        <v>202.46</v>
      </c>
      <c r="E6" s="3408"/>
      <c r="F6" s="4319"/>
      <c r="G6" s="4322"/>
      <c r="H6" s="4305"/>
      <c r="I6" s="3676"/>
      <c r="J6" s="4305"/>
      <c r="K6" s="4305"/>
      <c r="L6" s="4305"/>
      <c r="M6" s="4305"/>
      <c r="N6" s="4305"/>
      <c r="O6" s="4305"/>
      <c r="P6" s="4323"/>
      <c r="Q6" s="4324"/>
      <c r="R6" s="4305"/>
      <c r="S6" s="4305"/>
      <c r="T6" s="3462"/>
      <c r="U6" s="3462"/>
      <c r="V6" s="3470"/>
      <c r="W6" s="3470"/>
      <c r="X6" s="3505"/>
      <c r="Y6" s="3505"/>
      <c r="Z6" s="3505"/>
      <c r="AA6" s="3505"/>
      <c r="AB6" s="3470"/>
      <c r="AC6" s="3470"/>
      <c r="AD6" s="3470"/>
      <c r="AE6" s="3470"/>
      <c r="AF6" s="3397"/>
      <c r="AG6" s="3397"/>
      <c r="AH6" s="3397"/>
      <c r="AI6" s="3397"/>
      <c r="AJ6" s="3397"/>
      <c r="AK6" s="3397"/>
      <c r="AL6" s="3397"/>
      <c r="AM6" s="3397"/>
      <c r="AN6" s="3397"/>
      <c r="AO6" s="3397"/>
      <c r="AP6" s="3397"/>
      <c r="AQ6" s="3397"/>
      <c r="AR6" s="3397"/>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c r="BP6" s="3397"/>
      <c r="BQ6" s="3397"/>
      <c r="BR6" s="3397"/>
      <c r="BS6" s="3397"/>
      <c r="BT6" s="3397"/>
      <c r="BU6" s="3397"/>
      <c r="BV6" s="3397"/>
      <c r="BW6" s="3397"/>
      <c r="BX6" s="3397"/>
      <c r="BY6" s="3397"/>
    </row>
    <row r="7" spans="1:77" s="3409" customFormat="1">
      <c r="A7" s="3499"/>
      <c r="B7" s="3499" t="s">
        <v>3483</v>
      </c>
      <c r="C7" s="3408">
        <v>315.86</v>
      </c>
      <c r="D7" s="3408">
        <v>210.91</v>
      </c>
      <c r="E7" s="3408"/>
      <c r="F7" s="3410"/>
      <c r="G7" s="3411"/>
      <c r="H7" s="3412"/>
      <c r="I7" s="3412"/>
      <c r="J7" s="3499"/>
      <c r="K7" s="3413"/>
      <c r="L7" s="3412"/>
      <c r="M7" s="3499"/>
      <c r="N7" s="3496"/>
      <c r="O7" s="3496"/>
      <c r="P7" s="3496"/>
      <c r="Q7" s="3499"/>
      <c r="R7" s="3499" t="s">
        <v>3484</v>
      </c>
      <c r="S7" s="3496"/>
      <c r="T7" s="3462"/>
      <c r="U7" s="3462"/>
      <c r="V7" s="3470"/>
      <c r="W7" s="3470"/>
      <c r="X7" s="3505"/>
      <c r="Y7" s="3505"/>
      <c r="Z7" s="3505"/>
      <c r="AA7" s="3505"/>
      <c r="AB7" s="3470"/>
      <c r="AC7" s="3470"/>
      <c r="AD7" s="3470"/>
      <c r="AE7" s="3470"/>
      <c r="AF7" s="3397"/>
      <c r="AG7" s="3397"/>
      <c r="AH7" s="3397"/>
      <c r="AI7" s="3397"/>
      <c r="AJ7" s="3397"/>
      <c r="AK7" s="3397"/>
      <c r="AL7" s="3397"/>
      <c r="AM7" s="3397"/>
      <c r="AN7" s="3397"/>
      <c r="AO7" s="3397"/>
      <c r="AP7" s="3397"/>
      <c r="AQ7" s="3397"/>
      <c r="AR7" s="3397"/>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c r="BP7" s="3397"/>
      <c r="BQ7" s="3397"/>
      <c r="BR7" s="3397"/>
      <c r="BS7" s="3397"/>
      <c r="BT7" s="3397"/>
      <c r="BU7" s="3397"/>
      <c r="BV7" s="3397"/>
      <c r="BW7" s="3397"/>
      <c r="BX7" s="3397"/>
      <c r="BY7" s="3397"/>
    </row>
    <row r="8" spans="1:77" s="3417" customFormat="1">
      <c r="A8" s="3414" t="s">
        <v>3485</v>
      </c>
      <c r="B8" s="3489" t="s">
        <v>3486</v>
      </c>
      <c r="C8" s="3415">
        <v>316.14999999999998</v>
      </c>
      <c r="D8" s="3415">
        <v>211.11</v>
      </c>
      <c r="E8" s="3415">
        <v>316.14999999999998</v>
      </c>
      <c r="F8" s="3521" t="s">
        <v>3487</v>
      </c>
      <c r="G8" s="3519" t="s">
        <v>3488</v>
      </c>
      <c r="H8" s="3490">
        <v>68756.039999999994</v>
      </c>
      <c r="I8" s="3673">
        <f>J8*30*C8</f>
        <v>67814.174999999988</v>
      </c>
      <c r="J8" s="3416">
        <v>7.15</v>
      </c>
      <c r="K8" s="3416">
        <v>35</v>
      </c>
      <c r="L8" s="3416">
        <v>11065.2</v>
      </c>
      <c r="M8" s="3416"/>
      <c r="N8" s="3416">
        <v>33195.75</v>
      </c>
      <c r="O8" s="3416">
        <v>206268.12</v>
      </c>
      <c r="P8" s="3416">
        <v>239463.87</v>
      </c>
      <c r="Q8" s="3522"/>
      <c r="R8" s="3416"/>
      <c r="S8" s="3416">
        <v>239463.87</v>
      </c>
      <c r="T8" s="3732">
        <f>H8/E8/30</f>
        <v>7.2493057093151982</v>
      </c>
      <c r="U8" s="3732"/>
      <c r="V8" s="3680">
        <f>W8-H8</f>
        <v>-188.37416666666104</v>
      </c>
      <c r="W8" s="3470">
        <f>X8/12</f>
        <v>68567.665833333333</v>
      </c>
      <c r="X8" s="3505">
        <f t="shared" ref="X8:Y13" si="0">$C8*$J8*(X$2-X$1)</f>
        <v>822811.99</v>
      </c>
      <c r="Y8" s="3505">
        <f t="shared" si="0"/>
        <v>825072.46249999991</v>
      </c>
      <c r="Z8" s="3505">
        <f t="shared" ref="Z8:BE8" si="1">$C8*$Y45*(Z$2-Z$1)</f>
        <v>748010.9</v>
      </c>
      <c r="AA8" s="3505">
        <f t="shared" si="1"/>
        <v>748010.9</v>
      </c>
      <c r="AB8" s="3470">
        <f t="shared" si="1"/>
        <v>748010.9</v>
      </c>
      <c r="AC8" s="3470">
        <f t="shared" si="1"/>
        <v>750065.875</v>
      </c>
      <c r="AD8" s="3470">
        <f t="shared" si="1"/>
        <v>748010.9</v>
      </c>
      <c r="AE8" s="3470">
        <f t="shared" si="1"/>
        <v>748010.9</v>
      </c>
      <c r="AF8" s="3477">
        <f t="shared" si="1"/>
        <v>748010.9</v>
      </c>
      <c r="AG8" s="3477">
        <f t="shared" si="1"/>
        <v>750065.875</v>
      </c>
      <c r="AH8" s="3477">
        <f t="shared" si="1"/>
        <v>748010.9</v>
      </c>
      <c r="AI8" s="3477">
        <f t="shared" si="1"/>
        <v>748010.9</v>
      </c>
      <c r="AJ8" s="3477">
        <f t="shared" si="1"/>
        <v>748010.9</v>
      </c>
      <c r="AK8" s="3477">
        <f t="shared" si="1"/>
        <v>750065.875</v>
      </c>
      <c r="AL8" s="3477">
        <f t="shared" si="1"/>
        <v>748010.9</v>
      </c>
      <c r="AM8" s="3477">
        <f t="shared" si="1"/>
        <v>748010.9</v>
      </c>
      <c r="AN8" s="3477">
        <f t="shared" si="1"/>
        <v>748010.9</v>
      </c>
      <c r="AO8" s="3477">
        <f t="shared" si="1"/>
        <v>750065.875</v>
      </c>
      <c r="AP8" s="3477">
        <f t="shared" si="1"/>
        <v>748010.9</v>
      </c>
      <c r="AQ8" s="3477">
        <f t="shared" si="1"/>
        <v>748010.9</v>
      </c>
      <c r="AR8" s="3477">
        <f t="shared" si="1"/>
        <v>748010.9</v>
      </c>
      <c r="AS8" s="3477">
        <f t="shared" si="1"/>
        <v>750065.875</v>
      </c>
      <c r="AT8" s="3477">
        <f t="shared" si="1"/>
        <v>748010.9</v>
      </c>
      <c r="AU8" s="3477">
        <f t="shared" si="1"/>
        <v>748010.9</v>
      </c>
      <c r="AV8" s="3477">
        <f t="shared" si="1"/>
        <v>748010.9</v>
      </c>
      <c r="AW8" s="3477">
        <f t="shared" si="1"/>
        <v>750065.875</v>
      </c>
      <c r="AX8" s="3477">
        <f t="shared" si="1"/>
        <v>748010.9</v>
      </c>
      <c r="AY8" s="3477">
        <f t="shared" si="1"/>
        <v>748010.9</v>
      </c>
      <c r="AZ8" s="3477">
        <f t="shared" si="1"/>
        <v>748010.9</v>
      </c>
      <c r="BA8" s="3477">
        <f t="shared" si="1"/>
        <v>750065.875</v>
      </c>
      <c r="BB8" s="3477">
        <f t="shared" si="1"/>
        <v>748010.9</v>
      </c>
      <c r="BC8" s="3477">
        <f t="shared" si="1"/>
        <v>748010.9</v>
      </c>
      <c r="BD8" s="3477">
        <f t="shared" si="1"/>
        <v>748010.9</v>
      </c>
      <c r="BE8" s="3477">
        <f t="shared" si="1"/>
        <v>750065.875</v>
      </c>
      <c r="BF8" s="3477">
        <f t="shared" ref="BF8:BW8" si="2">$C8*$Y45*(BF$2-BF$1)</f>
        <v>748010.9</v>
      </c>
      <c r="BG8" s="3477">
        <f t="shared" si="2"/>
        <v>748010.9</v>
      </c>
      <c r="BH8" s="3477">
        <f t="shared" si="2"/>
        <v>748010.9</v>
      </c>
      <c r="BI8" s="3477">
        <f t="shared" si="2"/>
        <v>750065.875</v>
      </c>
      <c r="BJ8" s="3477">
        <f t="shared" si="2"/>
        <v>748010.9</v>
      </c>
      <c r="BK8" s="3477">
        <f t="shared" si="2"/>
        <v>748010.9</v>
      </c>
      <c r="BL8" s="3477">
        <f t="shared" si="2"/>
        <v>748010.9</v>
      </c>
      <c r="BM8" s="3477">
        <f t="shared" si="2"/>
        <v>750065.875</v>
      </c>
      <c r="BN8" s="3477">
        <f t="shared" si="2"/>
        <v>748010.9</v>
      </c>
      <c r="BO8" s="3477">
        <f t="shared" si="2"/>
        <v>748010.9</v>
      </c>
      <c r="BP8" s="3477">
        <f t="shared" si="2"/>
        <v>748010.9</v>
      </c>
      <c r="BQ8" s="3477">
        <f t="shared" si="2"/>
        <v>750065.875</v>
      </c>
      <c r="BR8" s="3477">
        <f t="shared" si="2"/>
        <v>748010.9</v>
      </c>
      <c r="BS8" s="3477">
        <f t="shared" si="2"/>
        <v>748010.9</v>
      </c>
      <c r="BT8" s="3477">
        <f t="shared" si="2"/>
        <v>748010.9</v>
      </c>
      <c r="BU8" s="3477">
        <f t="shared" si="2"/>
        <v>750065.875</v>
      </c>
      <c r="BV8" s="3477">
        <f t="shared" si="2"/>
        <v>748010.9</v>
      </c>
      <c r="BW8" s="3477">
        <f t="shared" si="2"/>
        <v>748010.9</v>
      </c>
      <c r="BX8" s="3397"/>
      <c r="BY8" s="3397"/>
    </row>
    <row r="9" spans="1:77" s="3409" customFormat="1">
      <c r="A9" s="3499"/>
      <c r="B9" s="3499" t="s">
        <v>3489</v>
      </c>
      <c r="C9" s="3408">
        <v>223.36</v>
      </c>
      <c r="D9" s="3408">
        <v>149.15</v>
      </c>
      <c r="E9" s="3496"/>
      <c r="F9" s="3410"/>
      <c r="G9" s="3418"/>
      <c r="H9" s="3496"/>
      <c r="I9" s="3678"/>
      <c r="J9" s="3496"/>
      <c r="K9" s="3496"/>
      <c r="L9" s="3496"/>
      <c r="M9" s="3496"/>
      <c r="N9" s="3496"/>
      <c r="O9" s="3419"/>
      <c r="P9" s="3496"/>
      <c r="Q9" s="3496"/>
      <c r="R9" s="3420"/>
      <c r="S9" s="3496"/>
      <c r="T9" s="3462"/>
      <c r="U9" s="3462"/>
      <c r="V9" s="3470"/>
      <c r="W9" s="3470"/>
      <c r="X9" s="3505">
        <f t="shared" si="0"/>
        <v>0</v>
      </c>
      <c r="Y9" s="3505">
        <f t="shared" si="0"/>
        <v>0</v>
      </c>
      <c r="Z9" s="3505">
        <f t="shared" ref="Z9:AE10" si="3">$C9*$J9*(Z$2-Z$1)</f>
        <v>0</v>
      </c>
      <c r="AA9" s="3505">
        <f t="shared" si="3"/>
        <v>0</v>
      </c>
      <c r="AB9" s="3470">
        <f t="shared" si="3"/>
        <v>0</v>
      </c>
      <c r="AC9" s="3470">
        <f t="shared" si="3"/>
        <v>0</v>
      </c>
      <c r="AD9" s="3470">
        <f t="shared" si="3"/>
        <v>0</v>
      </c>
      <c r="AE9" s="3470">
        <f t="shared" si="3"/>
        <v>0</v>
      </c>
      <c r="AF9" s="3397"/>
      <c r="AG9" s="3397"/>
      <c r="AH9" s="3397"/>
      <c r="AI9" s="3397"/>
      <c r="AJ9" s="3397"/>
      <c r="AK9" s="3397"/>
      <c r="AL9" s="3397"/>
      <c r="AM9" s="3397"/>
      <c r="AN9" s="3397"/>
      <c r="AO9" s="3397"/>
      <c r="AP9" s="3397"/>
      <c r="AQ9" s="3397"/>
      <c r="AR9" s="3397"/>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c r="BP9" s="3397"/>
      <c r="BQ9" s="3397"/>
      <c r="BR9" s="3397"/>
      <c r="BS9" s="3397"/>
      <c r="BT9" s="3397"/>
      <c r="BU9" s="3397"/>
      <c r="BV9" s="3397"/>
      <c r="BW9" s="3397"/>
      <c r="BX9" s="3397"/>
      <c r="BY9" s="3397"/>
    </row>
    <row r="10" spans="1:77" s="3417" customFormat="1" ht="27">
      <c r="A10" s="3414" t="s">
        <v>3485</v>
      </c>
      <c r="B10" s="3489" t="s">
        <v>3490</v>
      </c>
      <c r="C10" s="3415">
        <v>303.2</v>
      </c>
      <c r="D10" s="3415">
        <v>202.46</v>
      </c>
      <c r="E10" s="3416">
        <v>303.2</v>
      </c>
      <c r="F10" s="3421" t="s">
        <v>3487</v>
      </c>
      <c r="G10" s="3474" t="s">
        <v>3491</v>
      </c>
      <c r="H10" s="3416">
        <v>65939.679999999993</v>
      </c>
      <c r="I10" s="3673">
        <f>J10*30*C10</f>
        <v>0</v>
      </c>
      <c r="J10" s="3416">
        <v>0</v>
      </c>
      <c r="K10" s="3416">
        <v>35</v>
      </c>
      <c r="L10" s="3416">
        <v>10612</v>
      </c>
      <c r="M10" s="3416"/>
      <c r="N10" s="3416">
        <f>L10*3</f>
        <v>31836</v>
      </c>
      <c r="O10" s="3416">
        <f t="shared" ref="O10:O15" si="4">H10*3</f>
        <v>197819.03999999998</v>
      </c>
      <c r="P10" s="3416">
        <f t="shared" ref="P10:P15" si="5">N10+O10</f>
        <v>229655.03999999998</v>
      </c>
      <c r="Q10" s="3522"/>
      <c r="R10" s="3422" t="s">
        <v>3492</v>
      </c>
      <c r="S10" s="3416">
        <v>229655.04000000001</v>
      </c>
      <c r="T10" s="3732">
        <f>H10/E10/30</f>
        <v>7.2493051890941063</v>
      </c>
      <c r="U10" s="3732"/>
      <c r="V10" s="3470"/>
      <c r="W10" s="3470"/>
      <c r="X10" s="3505">
        <f t="shared" si="0"/>
        <v>0</v>
      </c>
      <c r="Y10" s="3505">
        <f t="shared" si="0"/>
        <v>0</v>
      </c>
      <c r="Z10" s="3505">
        <f t="shared" si="3"/>
        <v>0</v>
      </c>
      <c r="AA10" s="3505">
        <f t="shared" si="3"/>
        <v>0</v>
      </c>
      <c r="AB10" s="3470">
        <f t="shared" si="3"/>
        <v>0</v>
      </c>
      <c r="AC10" s="3470">
        <f t="shared" si="3"/>
        <v>0</v>
      </c>
      <c r="AD10" s="3470">
        <f t="shared" si="3"/>
        <v>0</v>
      </c>
      <c r="AE10" s="3470">
        <f t="shared" si="3"/>
        <v>0</v>
      </c>
      <c r="AF10" s="3397"/>
      <c r="AG10" s="3397"/>
      <c r="AH10" s="3397"/>
      <c r="AI10" s="3397"/>
      <c r="AJ10" s="3397"/>
      <c r="AK10" s="3397"/>
      <c r="AL10" s="3397"/>
      <c r="AM10" s="3397"/>
      <c r="AN10" s="3397"/>
      <c r="AO10" s="3397"/>
      <c r="AP10" s="3397"/>
      <c r="AQ10" s="3397"/>
      <c r="AR10" s="3397"/>
      <c r="AS10" s="3397"/>
      <c r="AT10" s="3397"/>
      <c r="AU10" s="3397"/>
      <c r="AV10" s="3397"/>
      <c r="AW10" s="3397"/>
      <c r="AX10" s="3397"/>
      <c r="AY10" s="3397"/>
      <c r="AZ10" s="3397"/>
      <c r="BA10" s="3397"/>
      <c r="BB10" s="3397"/>
      <c r="BC10" s="3397"/>
      <c r="BD10" s="3397"/>
      <c r="BE10" s="3397"/>
      <c r="BF10" s="3397"/>
      <c r="BG10" s="3397"/>
      <c r="BH10" s="3397"/>
      <c r="BI10" s="3397"/>
      <c r="BJ10" s="3397"/>
      <c r="BK10" s="3397"/>
      <c r="BL10" s="3397"/>
      <c r="BM10" s="3397"/>
      <c r="BN10" s="3397"/>
      <c r="BO10" s="3397"/>
      <c r="BP10" s="3397"/>
      <c r="BQ10" s="3397"/>
      <c r="BR10" s="3397"/>
      <c r="BS10" s="3397"/>
      <c r="BT10" s="3397"/>
      <c r="BU10" s="3397"/>
      <c r="BV10" s="3397"/>
      <c r="BW10" s="3397"/>
      <c r="BX10" s="3397"/>
      <c r="BY10" s="3397"/>
    </row>
    <row r="11" spans="1:77" s="3417" customFormat="1" ht="81">
      <c r="A11" s="3573" t="s">
        <v>3493</v>
      </c>
      <c r="B11" s="3489" t="s">
        <v>3494</v>
      </c>
      <c r="C11" s="3415">
        <v>297.85000000000002</v>
      </c>
      <c r="D11" s="3415">
        <v>197.13</v>
      </c>
      <c r="E11" s="3416">
        <f>C11</f>
        <v>297.85000000000002</v>
      </c>
      <c r="F11" s="3421" t="s">
        <v>3495</v>
      </c>
      <c r="G11" s="3423" t="s">
        <v>3496</v>
      </c>
      <c r="H11" s="3415">
        <v>49918.42</v>
      </c>
      <c r="I11" s="3673">
        <f>J11*30*C11</f>
        <v>49234.606027397269</v>
      </c>
      <c r="J11" s="3416">
        <f>H11*12/365/E11</f>
        <v>5.5100001149792694</v>
      </c>
      <c r="K11" s="3416">
        <v>35</v>
      </c>
      <c r="L11" s="3416">
        <v>10424.75</v>
      </c>
      <c r="M11" s="3416"/>
      <c r="N11" s="3416">
        <v>31274.25</v>
      </c>
      <c r="O11" s="3416">
        <f t="shared" si="4"/>
        <v>149755.26</v>
      </c>
      <c r="P11" s="3416">
        <f t="shared" si="5"/>
        <v>181029.51</v>
      </c>
      <c r="Q11" s="3424" t="s">
        <v>3497</v>
      </c>
      <c r="R11" s="3522"/>
      <c r="S11" s="3416">
        <v>181029.51</v>
      </c>
      <c r="T11" s="3732">
        <f>H11/E11/30</f>
        <v>5.5865278943539805</v>
      </c>
      <c r="U11" s="3732"/>
      <c r="V11" s="3680">
        <f>W11-H11</f>
        <v>-136.76279452054587</v>
      </c>
      <c r="W11" s="3470">
        <f>X11/12</f>
        <v>49781.657205479452</v>
      </c>
      <c r="X11" s="3505">
        <f t="shared" si="0"/>
        <v>597379.88646575343</v>
      </c>
      <c r="Y11" s="3505">
        <f t="shared" si="0"/>
        <v>599021.04</v>
      </c>
      <c r="Z11" s="3505">
        <f t="shared" ref="Z11:BE11" si="6">$C11*$Y45*(Z$2-Z$1)</f>
        <v>704713.1</v>
      </c>
      <c r="AA11" s="3505">
        <f t="shared" si="6"/>
        <v>704713.1</v>
      </c>
      <c r="AB11" s="3470">
        <f t="shared" si="6"/>
        <v>704713.1</v>
      </c>
      <c r="AC11" s="3470">
        <f t="shared" si="6"/>
        <v>706649.125</v>
      </c>
      <c r="AD11" s="3470">
        <f t="shared" si="6"/>
        <v>704713.1</v>
      </c>
      <c r="AE11" s="3470">
        <f t="shared" si="6"/>
        <v>704713.1</v>
      </c>
      <c r="AF11" s="3470">
        <f t="shared" si="6"/>
        <v>704713.1</v>
      </c>
      <c r="AG11" s="3470">
        <f t="shared" si="6"/>
        <v>706649.125</v>
      </c>
      <c r="AH11" s="3470">
        <f t="shared" si="6"/>
        <v>704713.1</v>
      </c>
      <c r="AI11" s="3470">
        <f t="shared" si="6"/>
        <v>704713.1</v>
      </c>
      <c r="AJ11" s="3470">
        <f t="shared" si="6"/>
        <v>704713.1</v>
      </c>
      <c r="AK11" s="3470">
        <f t="shared" si="6"/>
        <v>706649.125</v>
      </c>
      <c r="AL11" s="3470">
        <f t="shared" si="6"/>
        <v>704713.1</v>
      </c>
      <c r="AM11" s="3470">
        <f t="shared" si="6"/>
        <v>704713.1</v>
      </c>
      <c r="AN11" s="3470">
        <f t="shared" si="6"/>
        <v>704713.1</v>
      </c>
      <c r="AO11" s="3470">
        <f t="shared" si="6"/>
        <v>706649.125</v>
      </c>
      <c r="AP11" s="3470">
        <f t="shared" si="6"/>
        <v>704713.1</v>
      </c>
      <c r="AQ11" s="3470">
        <f t="shared" si="6"/>
        <v>704713.1</v>
      </c>
      <c r="AR11" s="3470">
        <f t="shared" si="6"/>
        <v>704713.1</v>
      </c>
      <c r="AS11" s="3470">
        <f t="shared" si="6"/>
        <v>706649.125</v>
      </c>
      <c r="AT11" s="3470">
        <f t="shared" si="6"/>
        <v>704713.1</v>
      </c>
      <c r="AU11" s="3470">
        <f t="shared" si="6"/>
        <v>704713.1</v>
      </c>
      <c r="AV11" s="3470">
        <f t="shared" si="6"/>
        <v>704713.1</v>
      </c>
      <c r="AW11" s="3470">
        <f t="shared" si="6"/>
        <v>706649.125</v>
      </c>
      <c r="AX11" s="3470">
        <f t="shared" si="6"/>
        <v>704713.1</v>
      </c>
      <c r="AY11" s="3470">
        <f t="shared" si="6"/>
        <v>704713.1</v>
      </c>
      <c r="AZ11" s="3470">
        <f t="shared" si="6"/>
        <v>704713.1</v>
      </c>
      <c r="BA11" s="3470">
        <f t="shared" si="6"/>
        <v>706649.125</v>
      </c>
      <c r="BB11" s="3470">
        <f t="shared" si="6"/>
        <v>704713.1</v>
      </c>
      <c r="BC11" s="3470">
        <f t="shared" si="6"/>
        <v>704713.1</v>
      </c>
      <c r="BD11" s="3470">
        <f t="shared" si="6"/>
        <v>704713.1</v>
      </c>
      <c r="BE11" s="3470">
        <f t="shared" si="6"/>
        <v>706649.125</v>
      </c>
      <c r="BF11" s="3470">
        <f t="shared" ref="BF11:BW11" si="7">$C11*$Y45*(BF$2-BF$1)</f>
        <v>704713.1</v>
      </c>
      <c r="BG11" s="3470">
        <f t="shared" si="7"/>
        <v>704713.1</v>
      </c>
      <c r="BH11" s="3470">
        <f t="shared" si="7"/>
        <v>704713.1</v>
      </c>
      <c r="BI11" s="3470">
        <f t="shared" si="7"/>
        <v>706649.125</v>
      </c>
      <c r="BJ11" s="3470">
        <f t="shared" si="7"/>
        <v>704713.1</v>
      </c>
      <c r="BK11" s="3470">
        <f t="shared" si="7"/>
        <v>704713.1</v>
      </c>
      <c r="BL11" s="3470">
        <f t="shared" si="7"/>
        <v>704713.1</v>
      </c>
      <c r="BM11" s="3470">
        <f t="shared" si="7"/>
        <v>706649.125</v>
      </c>
      <c r="BN11" s="3470">
        <f t="shared" si="7"/>
        <v>704713.1</v>
      </c>
      <c r="BO11" s="3470">
        <f t="shared" si="7"/>
        <v>704713.1</v>
      </c>
      <c r="BP11" s="3470">
        <f t="shared" si="7"/>
        <v>704713.1</v>
      </c>
      <c r="BQ11" s="3470">
        <f t="shared" si="7"/>
        <v>706649.125</v>
      </c>
      <c r="BR11" s="3470">
        <f t="shared" si="7"/>
        <v>704713.1</v>
      </c>
      <c r="BS11" s="3470">
        <f t="shared" si="7"/>
        <v>704713.1</v>
      </c>
      <c r="BT11" s="3470">
        <f t="shared" si="7"/>
        <v>704713.1</v>
      </c>
      <c r="BU11" s="3470">
        <f t="shared" si="7"/>
        <v>706649.125</v>
      </c>
      <c r="BV11" s="3470">
        <f t="shared" si="7"/>
        <v>704713.1</v>
      </c>
      <c r="BW11" s="3470">
        <f t="shared" si="7"/>
        <v>704713.1</v>
      </c>
      <c r="BX11" s="3397"/>
      <c r="BY11" s="3397"/>
    </row>
    <row r="12" spans="1:77" s="3417" customFormat="1" ht="81">
      <c r="A12" s="3414" t="s">
        <v>3498</v>
      </c>
      <c r="B12" s="3489" t="s">
        <v>3499</v>
      </c>
      <c r="C12" s="3415">
        <v>298.17</v>
      </c>
      <c r="D12" s="3415">
        <v>197.34</v>
      </c>
      <c r="E12" s="3416">
        <f>C12</f>
        <v>298.17</v>
      </c>
      <c r="F12" s="3421" t="s">
        <v>3500</v>
      </c>
      <c r="G12" s="3424" t="s">
        <v>3501</v>
      </c>
      <c r="H12" s="3415">
        <v>49972.05</v>
      </c>
      <c r="I12" s="3673">
        <f>J12*30*C12</f>
        <v>49287.501369863014</v>
      </c>
      <c r="J12" s="3416">
        <f>H12*12/365/E12</f>
        <v>5.5100000413481141</v>
      </c>
      <c r="K12" s="3416">
        <v>35</v>
      </c>
      <c r="L12" s="3416">
        <v>10435.950000000001</v>
      </c>
      <c r="M12" s="3416"/>
      <c r="N12" s="3416">
        <v>31307.85</v>
      </c>
      <c r="O12" s="3416">
        <f t="shared" si="4"/>
        <v>149916.15000000002</v>
      </c>
      <c r="P12" s="3416">
        <f t="shared" si="5"/>
        <v>181224.00000000003</v>
      </c>
      <c r="Q12" s="3424" t="s">
        <v>3502</v>
      </c>
      <c r="R12" s="3522"/>
      <c r="S12" s="3416">
        <v>181224.00000000003</v>
      </c>
      <c r="T12" s="3732">
        <f>H12/E12/30</f>
        <v>5.5865278197001711</v>
      </c>
      <c r="U12" s="3732"/>
      <c r="V12" s="3680">
        <f>W12-H12</f>
        <v>-136.90972602739203</v>
      </c>
      <c r="W12" s="3470">
        <f>X12/12</f>
        <v>49835.140273972611</v>
      </c>
      <c r="X12" s="3505">
        <f t="shared" si="0"/>
        <v>598021.6832876713</v>
      </c>
      <c r="Y12" s="3505">
        <f t="shared" si="0"/>
        <v>599664.60000000009</v>
      </c>
      <c r="Z12" s="3505">
        <f t="shared" ref="Z12:BE12" si="8">$D12*$Y45*(Z$2-Z$1)</f>
        <v>466906.44</v>
      </c>
      <c r="AA12" s="3505">
        <f t="shared" si="8"/>
        <v>466906.44</v>
      </c>
      <c r="AB12" s="3470">
        <f t="shared" si="8"/>
        <v>466906.44</v>
      </c>
      <c r="AC12" s="3470">
        <f t="shared" si="8"/>
        <v>468189.15</v>
      </c>
      <c r="AD12" s="3470">
        <f t="shared" si="8"/>
        <v>466906.44</v>
      </c>
      <c r="AE12" s="3470">
        <f t="shared" si="8"/>
        <v>466906.44</v>
      </c>
      <c r="AF12" s="3470">
        <f t="shared" si="8"/>
        <v>466906.44</v>
      </c>
      <c r="AG12" s="3470">
        <f t="shared" si="8"/>
        <v>468189.15</v>
      </c>
      <c r="AH12" s="3470">
        <f t="shared" si="8"/>
        <v>466906.44</v>
      </c>
      <c r="AI12" s="3470">
        <f t="shared" si="8"/>
        <v>466906.44</v>
      </c>
      <c r="AJ12" s="3470">
        <f t="shared" si="8"/>
        <v>466906.44</v>
      </c>
      <c r="AK12" s="3470">
        <f t="shared" si="8"/>
        <v>468189.15</v>
      </c>
      <c r="AL12" s="3470">
        <f t="shared" si="8"/>
        <v>466906.44</v>
      </c>
      <c r="AM12" s="3470">
        <f t="shared" si="8"/>
        <v>466906.44</v>
      </c>
      <c r="AN12" s="3470">
        <f t="shared" si="8"/>
        <v>466906.44</v>
      </c>
      <c r="AO12" s="3470">
        <f t="shared" si="8"/>
        <v>468189.15</v>
      </c>
      <c r="AP12" s="3470">
        <f t="shared" si="8"/>
        <v>466906.44</v>
      </c>
      <c r="AQ12" s="3470">
        <f t="shared" si="8"/>
        <v>466906.44</v>
      </c>
      <c r="AR12" s="3470">
        <f t="shared" si="8"/>
        <v>466906.44</v>
      </c>
      <c r="AS12" s="3470">
        <f t="shared" si="8"/>
        <v>468189.15</v>
      </c>
      <c r="AT12" s="3470">
        <f t="shared" si="8"/>
        <v>466906.44</v>
      </c>
      <c r="AU12" s="3470">
        <f t="shared" si="8"/>
        <v>466906.44</v>
      </c>
      <c r="AV12" s="3470">
        <f t="shared" si="8"/>
        <v>466906.44</v>
      </c>
      <c r="AW12" s="3470">
        <f t="shared" si="8"/>
        <v>468189.15</v>
      </c>
      <c r="AX12" s="3470">
        <f t="shared" si="8"/>
        <v>466906.44</v>
      </c>
      <c r="AY12" s="3470">
        <f t="shared" si="8"/>
        <v>466906.44</v>
      </c>
      <c r="AZ12" s="3470">
        <f t="shared" si="8"/>
        <v>466906.44</v>
      </c>
      <c r="BA12" s="3470">
        <f t="shared" si="8"/>
        <v>468189.15</v>
      </c>
      <c r="BB12" s="3470">
        <f t="shared" si="8"/>
        <v>466906.44</v>
      </c>
      <c r="BC12" s="3470">
        <f t="shared" si="8"/>
        <v>466906.44</v>
      </c>
      <c r="BD12" s="3470">
        <f t="shared" si="8"/>
        <v>466906.44</v>
      </c>
      <c r="BE12" s="3470">
        <f t="shared" si="8"/>
        <v>468189.15</v>
      </c>
      <c r="BF12" s="3470">
        <f t="shared" ref="BF12:BW12" si="9">$D12*$Y45*(BF$2-BF$1)</f>
        <v>466906.44</v>
      </c>
      <c r="BG12" s="3470">
        <f t="shared" si="9"/>
        <v>466906.44</v>
      </c>
      <c r="BH12" s="3470">
        <f t="shared" si="9"/>
        <v>466906.44</v>
      </c>
      <c r="BI12" s="3470">
        <f t="shared" si="9"/>
        <v>468189.15</v>
      </c>
      <c r="BJ12" s="3470">
        <f t="shared" si="9"/>
        <v>466906.44</v>
      </c>
      <c r="BK12" s="3470">
        <f t="shared" si="9"/>
        <v>466906.44</v>
      </c>
      <c r="BL12" s="3470">
        <f t="shared" si="9"/>
        <v>466906.44</v>
      </c>
      <c r="BM12" s="3470">
        <f t="shared" si="9"/>
        <v>468189.15</v>
      </c>
      <c r="BN12" s="3470">
        <f t="shared" si="9"/>
        <v>466906.44</v>
      </c>
      <c r="BO12" s="3470">
        <f t="shared" si="9"/>
        <v>466906.44</v>
      </c>
      <c r="BP12" s="3470">
        <f t="shared" si="9"/>
        <v>466906.44</v>
      </c>
      <c r="BQ12" s="3470">
        <f t="shared" si="9"/>
        <v>468189.15</v>
      </c>
      <c r="BR12" s="3470">
        <f t="shared" si="9"/>
        <v>466906.44</v>
      </c>
      <c r="BS12" s="3470">
        <f t="shared" si="9"/>
        <v>466906.44</v>
      </c>
      <c r="BT12" s="3470">
        <f t="shared" si="9"/>
        <v>466906.44</v>
      </c>
      <c r="BU12" s="3470">
        <f t="shared" si="9"/>
        <v>468189.15</v>
      </c>
      <c r="BV12" s="3470">
        <f t="shared" si="9"/>
        <v>466906.44</v>
      </c>
      <c r="BW12" s="3470">
        <f t="shared" si="9"/>
        <v>466906.44</v>
      </c>
      <c r="BX12" s="3397"/>
      <c r="BY12" s="3397"/>
    </row>
    <row r="13" spans="1:77" s="3417" customFormat="1" ht="81">
      <c r="A13" s="3414" t="s">
        <v>3503</v>
      </c>
      <c r="B13" s="3489" t="s">
        <v>3504</v>
      </c>
      <c r="C13" s="3415">
        <v>225.36</v>
      </c>
      <c r="D13" s="3415">
        <v>149.15</v>
      </c>
      <c r="E13" s="3416">
        <f>C13</f>
        <v>225.36</v>
      </c>
      <c r="F13" s="3421" t="s">
        <v>3505</v>
      </c>
      <c r="G13" s="3424" t="s">
        <v>3501</v>
      </c>
      <c r="H13" s="3415">
        <v>37769.4</v>
      </c>
      <c r="I13" s="3673">
        <f>J13*30*C13</f>
        <v>37252.010958904109</v>
      </c>
      <c r="J13" s="3416">
        <f>H13*12/365/E13</f>
        <v>5.5100004376559149</v>
      </c>
      <c r="K13" s="3416">
        <v>35</v>
      </c>
      <c r="L13" s="3416">
        <v>7887.6</v>
      </c>
      <c r="M13" s="3416"/>
      <c r="N13" s="3416">
        <v>23662.799999999999</v>
      </c>
      <c r="O13" s="3416">
        <f t="shared" si="4"/>
        <v>113308.20000000001</v>
      </c>
      <c r="P13" s="3416">
        <f t="shared" si="5"/>
        <v>136971</v>
      </c>
      <c r="Q13" s="3424" t="s">
        <v>3506</v>
      </c>
      <c r="R13" s="3522"/>
      <c r="S13" s="3416">
        <v>136971</v>
      </c>
      <c r="T13" s="3732">
        <f>H13/E13/30</f>
        <v>5.5865282215122471</v>
      </c>
      <c r="U13" s="3732"/>
      <c r="V13" s="3680">
        <f>W13-H13</f>
        <v>-103.47780821917695</v>
      </c>
      <c r="W13" s="3470">
        <f>X13/12</f>
        <v>37665.922191780825</v>
      </c>
      <c r="X13" s="3505">
        <f t="shared" si="0"/>
        <v>451991.06630136986</v>
      </c>
      <c r="Y13" s="3505">
        <f t="shared" si="0"/>
        <v>453232.80000000005</v>
      </c>
      <c r="Z13" s="3505">
        <f t="shared" ref="Z13:BE13" si="10">$D13*$Y45*(Z$2-Z$1)</f>
        <v>352888.9</v>
      </c>
      <c r="AA13" s="3505">
        <f t="shared" si="10"/>
        <v>352888.9</v>
      </c>
      <c r="AB13" s="3470">
        <f t="shared" si="10"/>
        <v>352888.9</v>
      </c>
      <c r="AC13" s="3470">
        <f t="shared" si="10"/>
        <v>353858.375</v>
      </c>
      <c r="AD13" s="3470">
        <f t="shared" si="10"/>
        <v>352888.9</v>
      </c>
      <c r="AE13" s="3470">
        <f t="shared" si="10"/>
        <v>352888.9</v>
      </c>
      <c r="AF13" s="3470">
        <f t="shared" si="10"/>
        <v>352888.9</v>
      </c>
      <c r="AG13" s="3470">
        <f t="shared" si="10"/>
        <v>353858.375</v>
      </c>
      <c r="AH13" s="3470">
        <f t="shared" si="10"/>
        <v>352888.9</v>
      </c>
      <c r="AI13" s="3470">
        <f t="shared" si="10"/>
        <v>352888.9</v>
      </c>
      <c r="AJ13" s="3470">
        <f t="shared" si="10"/>
        <v>352888.9</v>
      </c>
      <c r="AK13" s="3470">
        <f t="shared" si="10"/>
        <v>353858.375</v>
      </c>
      <c r="AL13" s="3470">
        <f t="shared" si="10"/>
        <v>352888.9</v>
      </c>
      <c r="AM13" s="3470">
        <f t="shared" si="10"/>
        <v>352888.9</v>
      </c>
      <c r="AN13" s="3470">
        <f t="shared" si="10"/>
        <v>352888.9</v>
      </c>
      <c r="AO13" s="3470">
        <f t="shared" si="10"/>
        <v>353858.375</v>
      </c>
      <c r="AP13" s="3470">
        <f t="shared" si="10"/>
        <v>352888.9</v>
      </c>
      <c r="AQ13" s="3470">
        <f t="shared" si="10"/>
        <v>352888.9</v>
      </c>
      <c r="AR13" s="3470">
        <f t="shared" si="10"/>
        <v>352888.9</v>
      </c>
      <c r="AS13" s="3470">
        <f t="shared" si="10"/>
        <v>353858.375</v>
      </c>
      <c r="AT13" s="3470">
        <f t="shared" si="10"/>
        <v>352888.9</v>
      </c>
      <c r="AU13" s="3470">
        <f t="shared" si="10"/>
        <v>352888.9</v>
      </c>
      <c r="AV13" s="3470">
        <f t="shared" si="10"/>
        <v>352888.9</v>
      </c>
      <c r="AW13" s="3470">
        <f t="shared" si="10"/>
        <v>353858.375</v>
      </c>
      <c r="AX13" s="3470">
        <f t="shared" si="10"/>
        <v>352888.9</v>
      </c>
      <c r="AY13" s="3470">
        <f t="shared" si="10"/>
        <v>352888.9</v>
      </c>
      <c r="AZ13" s="3470">
        <f t="shared" si="10"/>
        <v>352888.9</v>
      </c>
      <c r="BA13" s="3470">
        <f t="shared" si="10"/>
        <v>353858.375</v>
      </c>
      <c r="BB13" s="3470">
        <f t="shared" si="10"/>
        <v>352888.9</v>
      </c>
      <c r="BC13" s="3470">
        <f t="shared" si="10"/>
        <v>352888.9</v>
      </c>
      <c r="BD13" s="3470">
        <f t="shared" si="10"/>
        <v>352888.9</v>
      </c>
      <c r="BE13" s="3470">
        <f t="shared" si="10"/>
        <v>353858.375</v>
      </c>
      <c r="BF13" s="3470">
        <f t="shared" ref="BF13:BW13" si="11">$D13*$Y45*(BF$2-BF$1)</f>
        <v>352888.9</v>
      </c>
      <c r="BG13" s="3470">
        <f t="shared" si="11"/>
        <v>352888.9</v>
      </c>
      <c r="BH13" s="3470">
        <f t="shared" si="11"/>
        <v>352888.9</v>
      </c>
      <c r="BI13" s="3470">
        <f t="shared" si="11"/>
        <v>353858.375</v>
      </c>
      <c r="BJ13" s="3470">
        <f t="shared" si="11"/>
        <v>352888.9</v>
      </c>
      <c r="BK13" s="3470">
        <f t="shared" si="11"/>
        <v>352888.9</v>
      </c>
      <c r="BL13" s="3470">
        <f t="shared" si="11"/>
        <v>352888.9</v>
      </c>
      <c r="BM13" s="3470">
        <f t="shared" si="11"/>
        <v>353858.375</v>
      </c>
      <c r="BN13" s="3470">
        <f t="shared" si="11"/>
        <v>352888.9</v>
      </c>
      <c r="BO13" s="3470">
        <f t="shared" si="11"/>
        <v>352888.9</v>
      </c>
      <c r="BP13" s="3470">
        <f t="shared" si="11"/>
        <v>352888.9</v>
      </c>
      <c r="BQ13" s="3470">
        <f t="shared" si="11"/>
        <v>353858.375</v>
      </c>
      <c r="BR13" s="3470">
        <f t="shared" si="11"/>
        <v>352888.9</v>
      </c>
      <c r="BS13" s="3470">
        <f t="shared" si="11"/>
        <v>352888.9</v>
      </c>
      <c r="BT13" s="3470">
        <f t="shared" si="11"/>
        <v>352888.9</v>
      </c>
      <c r="BU13" s="3470">
        <f t="shared" si="11"/>
        <v>353858.375</v>
      </c>
      <c r="BV13" s="3470">
        <f t="shared" si="11"/>
        <v>352888.9</v>
      </c>
      <c r="BW13" s="3470">
        <f t="shared" si="11"/>
        <v>352888.9</v>
      </c>
      <c r="BX13" s="3397"/>
      <c r="BY13" s="3397"/>
    </row>
    <row r="14" spans="1:77" s="3417" customFormat="1" ht="108">
      <c r="A14" s="3414" t="s">
        <v>3507</v>
      </c>
      <c r="B14" s="3489" t="s">
        <v>3508</v>
      </c>
      <c r="C14" s="3415">
        <v>305.91000000000003</v>
      </c>
      <c r="D14" s="3415">
        <v>202.46</v>
      </c>
      <c r="E14" s="3416">
        <f>C14</f>
        <v>305.91000000000003</v>
      </c>
      <c r="F14" s="3421" t="s">
        <v>3509</v>
      </c>
      <c r="G14" s="3424" t="s">
        <v>3510</v>
      </c>
      <c r="H14" s="3415">
        <v>51269.24</v>
      </c>
      <c r="I14" s="3673">
        <f>J14*30*C14</f>
        <v>50566.921643835616</v>
      </c>
      <c r="J14" s="3416">
        <f>H14*12/365/E14</f>
        <v>5.5099998522262119</v>
      </c>
      <c r="K14" s="3491">
        <v>35</v>
      </c>
      <c r="L14" s="3416">
        <v>10706.85</v>
      </c>
      <c r="M14" s="3416"/>
      <c r="N14" s="3416">
        <v>32120.55</v>
      </c>
      <c r="O14" s="3416">
        <f t="shared" si="4"/>
        <v>153807.72</v>
      </c>
      <c r="P14" s="3416">
        <f t="shared" si="5"/>
        <v>185928.27</v>
      </c>
      <c r="Q14" s="3424" t="s">
        <v>3511</v>
      </c>
      <c r="R14" s="3537"/>
      <c r="S14" s="3416">
        <v>185928.27</v>
      </c>
      <c r="T14" s="3732">
        <f>H14/E14/30</f>
        <v>5.5865276279515763</v>
      </c>
      <c r="U14" s="3732"/>
      <c r="V14" s="3680">
        <f>W14-H14</f>
        <v>-140.463671232872</v>
      </c>
      <c r="W14" s="3470">
        <f>X14/12</f>
        <v>51128.776328767126</v>
      </c>
      <c r="X14" s="3505">
        <f t="shared" ref="X14:X31" si="12">$C14*$J14*(X$2-X$1)</f>
        <v>613545.31594520551</v>
      </c>
      <c r="Y14" s="3505">
        <f t="shared" ref="Y14:BD14" si="13">$C14*$Y45*(Y$2-Y$1)</f>
        <v>725771.47500000009</v>
      </c>
      <c r="Z14" s="3505">
        <f t="shared" si="13"/>
        <v>723783.06</v>
      </c>
      <c r="AA14" s="3505">
        <f t="shared" si="13"/>
        <v>723783.06</v>
      </c>
      <c r="AB14" s="3470">
        <f t="shared" si="13"/>
        <v>723783.06</v>
      </c>
      <c r="AC14" s="3470">
        <f t="shared" si="13"/>
        <v>725771.47500000009</v>
      </c>
      <c r="AD14" s="3470">
        <f t="shared" si="13"/>
        <v>723783.06</v>
      </c>
      <c r="AE14" s="3470">
        <f t="shared" si="13"/>
        <v>723783.06</v>
      </c>
      <c r="AF14" s="3470">
        <f t="shared" si="13"/>
        <v>723783.06</v>
      </c>
      <c r="AG14" s="3470">
        <f t="shared" si="13"/>
        <v>725771.47500000009</v>
      </c>
      <c r="AH14" s="3470">
        <f t="shared" si="13"/>
        <v>723783.06</v>
      </c>
      <c r="AI14" s="3470">
        <f t="shared" si="13"/>
        <v>723783.06</v>
      </c>
      <c r="AJ14" s="3470">
        <f t="shared" si="13"/>
        <v>723783.06</v>
      </c>
      <c r="AK14" s="3470">
        <f t="shared" si="13"/>
        <v>725771.47500000009</v>
      </c>
      <c r="AL14" s="3470">
        <f t="shared" si="13"/>
        <v>723783.06</v>
      </c>
      <c r="AM14" s="3470">
        <f t="shared" si="13"/>
        <v>723783.06</v>
      </c>
      <c r="AN14" s="3470">
        <f t="shared" si="13"/>
        <v>723783.06</v>
      </c>
      <c r="AO14" s="3470">
        <f t="shared" si="13"/>
        <v>725771.47500000009</v>
      </c>
      <c r="AP14" s="3470">
        <f t="shared" si="13"/>
        <v>723783.06</v>
      </c>
      <c r="AQ14" s="3470">
        <f t="shared" si="13"/>
        <v>723783.06</v>
      </c>
      <c r="AR14" s="3470">
        <f t="shared" si="13"/>
        <v>723783.06</v>
      </c>
      <c r="AS14" s="3470">
        <f t="shared" si="13"/>
        <v>725771.47500000009</v>
      </c>
      <c r="AT14" s="3470">
        <f t="shared" si="13"/>
        <v>723783.06</v>
      </c>
      <c r="AU14" s="3470">
        <f t="shared" si="13"/>
        <v>723783.06</v>
      </c>
      <c r="AV14" s="3470">
        <f t="shared" si="13"/>
        <v>723783.06</v>
      </c>
      <c r="AW14" s="3470">
        <f t="shared" si="13"/>
        <v>725771.47500000009</v>
      </c>
      <c r="AX14" s="3470">
        <f t="shared" si="13"/>
        <v>723783.06</v>
      </c>
      <c r="AY14" s="3470">
        <f t="shared" si="13"/>
        <v>723783.06</v>
      </c>
      <c r="AZ14" s="3470">
        <f t="shared" si="13"/>
        <v>723783.06</v>
      </c>
      <c r="BA14" s="3470">
        <f t="shared" si="13"/>
        <v>725771.47500000009</v>
      </c>
      <c r="BB14" s="3470">
        <f t="shared" si="13"/>
        <v>723783.06</v>
      </c>
      <c r="BC14" s="3470">
        <f t="shared" si="13"/>
        <v>723783.06</v>
      </c>
      <c r="BD14" s="3470">
        <f t="shared" si="13"/>
        <v>723783.06</v>
      </c>
      <c r="BE14" s="3470">
        <f t="shared" ref="BE14:BW14" si="14">$C14*$Y45*(BE$2-BE$1)</f>
        <v>725771.47500000009</v>
      </c>
      <c r="BF14" s="3470">
        <f t="shared" si="14"/>
        <v>723783.06</v>
      </c>
      <c r="BG14" s="3470">
        <f t="shared" si="14"/>
        <v>723783.06</v>
      </c>
      <c r="BH14" s="3470">
        <f t="shared" si="14"/>
        <v>723783.06</v>
      </c>
      <c r="BI14" s="3470">
        <f t="shared" si="14"/>
        <v>725771.47500000009</v>
      </c>
      <c r="BJ14" s="3470">
        <f t="shared" si="14"/>
        <v>723783.06</v>
      </c>
      <c r="BK14" s="3470">
        <f t="shared" si="14"/>
        <v>723783.06</v>
      </c>
      <c r="BL14" s="3470">
        <f t="shared" si="14"/>
        <v>723783.06</v>
      </c>
      <c r="BM14" s="3470">
        <f t="shared" si="14"/>
        <v>725771.47500000009</v>
      </c>
      <c r="BN14" s="3470">
        <f t="shared" si="14"/>
        <v>723783.06</v>
      </c>
      <c r="BO14" s="3470">
        <f t="shared" si="14"/>
        <v>723783.06</v>
      </c>
      <c r="BP14" s="3470">
        <f t="shared" si="14"/>
        <v>723783.06</v>
      </c>
      <c r="BQ14" s="3470">
        <f t="shared" si="14"/>
        <v>725771.47500000009</v>
      </c>
      <c r="BR14" s="3470">
        <f t="shared" si="14"/>
        <v>723783.06</v>
      </c>
      <c r="BS14" s="3470">
        <f t="shared" si="14"/>
        <v>723783.06</v>
      </c>
      <c r="BT14" s="3470">
        <f t="shared" si="14"/>
        <v>723783.06</v>
      </c>
      <c r="BU14" s="3470">
        <f t="shared" si="14"/>
        <v>725771.47500000009</v>
      </c>
      <c r="BV14" s="3470">
        <f t="shared" si="14"/>
        <v>723783.06</v>
      </c>
      <c r="BW14" s="3470">
        <f t="shared" si="14"/>
        <v>723783.06</v>
      </c>
      <c r="BX14" s="3397"/>
      <c r="BY14" s="3397"/>
    </row>
    <row r="15" spans="1:77" s="3426" customFormat="1">
      <c r="A15" s="4310" t="s">
        <v>3512</v>
      </c>
      <c r="B15" s="3492" t="s">
        <v>3513</v>
      </c>
      <c r="C15" s="3425">
        <v>284.47000000000003</v>
      </c>
      <c r="D15" s="3425">
        <v>186.97</v>
      </c>
      <c r="E15" s="3425">
        <v>284.47000000000003</v>
      </c>
      <c r="F15" s="4311" t="s">
        <v>3514</v>
      </c>
      <c r="G15" s="4314" t="s">
        <v>3515</v>
      </c>
      <c r="H15" s="4308">
        <v>230070.92</v>
      </c>
      <c r="I15" s="3677">
        <f>J15*30*C14</f>
        <v>58275.855000000003</v>
      </c>
      <c r="J15" s="4308">
        <v>6.35</v>
      </c>
      <c r="K15" s="4308">
        <v>35</v>
      </c>
      <c r="L15" s="4308">
        <v>38648.050000000003</v>
      </c>
      <c r="M15" s="4308"/>
      <c r="N15" s="4300">
        <f>L15*3</f>
        <v>115944.15000000001</v>
      </c>
      <c r="O15" s="4300">
        <f t="shared" si="4"/>
        <v>690212.76</v>
      </c>
      <c r="P15" s="4300">
        <f t="shared" si="5"/>
        <v>806156.91</v>
      </c>
      <c r="Q15" s="4308"/>
      <c r="R15" s="4309"/>
      <c r="S15" s="4308">
        <f>755776.41+50380.5</f>
        <v>806156.91</v>
      </c>
      <c r="T15" s="3733">
        <f>H15/SUM(E15:E18)/30</f>
        <v>6.9451388448662579</v>
      </c>
      <c r="U15" s="3733"/>
      <c r="V15" s="3470"/>
      <c r="W15" s="3470"/>
      <c r="X15" s="3505">
        <f t="shared" si="12"/>
        <v>657523.9580000001</v>
      </c>
      <c r="Y15" s="3505">
        <f t="shared" ref="Y15:BD15" si="15">$C15*$Y45*(Y$2-Y$1)</f>
        <v>674905.07500000007</v>
      </c>
      <c r="Z15" s="3505">
        <f t="shared" si="15"/>
        <v>673056.02000000014</v>
      </c>
      <c r="AA15" s="3505">
        <f t="shared" si="15"/>
        <v>673056.02000000014</v>
      </c>
      <c r="AB15" s="3470">
        <f t="shared" si="15"/>
        <v>673056.02000000014</v>
      </c>
      <c r="AC15" s="3470">
        <f t="shared" si="15"/>
        <v>674905.07500000007</v>
      </c>
      <c r="AD15" s="3470">
        <f t="shared" si="15"/>
        <v>673056.02000000014</v>
      </c>
      <c r="AE15" s="3470">
        <f t="shared" si="15"/>
        <v>673056.02000000014</v>
      </c>
      <c r="AF15" s="3470">
        <f t="shared" si="15"/>
        <v>673056.02000000014</v>
      </c>
      <c r="AG15" s="3470">
        <f t="shared" si="15"/>
        <v>674905.07500000007</v>
      </c>
      <c r="AH15" s="3470">
        <f t="shared" si="15"/>
        <v>673056.02000000014</v>
      </c>
      <c r="AI15" s="3470">
        <f t="shared" si="15"/>
        <v>673056.02000000014</v>
      </c>
      <c r="AJ15" s="3470">
        <f t="shared" si="15"/>
        <v>673056.02000000014</v>
      </c>
      <c r="AK15" s="3470">
        <f t="shared" si="15"/>
        <v>674905.07500000007</v>
      </c>
      <c r="AL15" s="3470">
        <f t="shared" si="15"/>
        <v>673056.02000000014</v>
      </c>
      <c r="AM15" s="3470">
        <f t="shared" si="15"/>
        <v>673056.02000000014</v>
      </c>
      <c r="AN15" s="3470">
        <f t="shared" si="15"/>
        <v>673056.02000000014</v>
      </c>
      <c r="AO15" s="3470">
        <f t="shared" si="15"/>
        <v>674905.07500000007</v>
      </c>
      <c r="AP15" s="3470">
        <f t="shared" si="15"/>
        <v>673056.02000000014</v>
      </c>
      <c r="AQ15" s="3470">
        <f t="shared" si="15"/>
        <v>673056.02000000014</v>
      </c>
      <c r="AR15" s="3470">
        <f t="shared" si="15"/>
        <v>673056.02000000014</v>
      </c>
      <c r="AS15" s="3470">
        <f t="shared" si="15"/>
        <v>674905.07500000007</v>
      </c>
      <c r="AT15" s="3470">
        <f t="shared" si="15"/>
        <v>673056.02000000014</v>
      </c>
      <c r="AU15" s="3470">
        <f t="shared" si="15"/>
        <v>673056.02000000014</v>
      </c>
      <c r="AV15" s="3470">
        <f t="shared" si="15"/>
        <v>673056.02000000014</v>
      </c>
      <c r="AW15" s="3470">
        <f t="shared" si="15"/>
        <v>674905.07500000007</v>
      </c>
      <c r="AX15" s="3470">
        <f t="shared" si="15"/>
        <v>673056.02000000014</v>
      </c>
      <c r="AY15" s="3470">
        <f t="shared" si="15"/>
        <v>673056.02000000014</v>
      </c>
      <c r="AZ15" s="3470">
        <f t="shared" si="15"/>
        <v>673056.02000000014</v>
      </c>
      <c r="BA15" s="3470">
        <f t="shared" si="15"/>
        <v>674905.07500000007</v>
      </c>
      <c r="BB15" s="3470">
        <f t="shared" si="15"/>
        <v>673056.02000000014</v>
      </c>
      <c r="BC15" s="3470">
        <f t="shared" si="15"/>
        <v>673056.02000000014</v>
      </c>
      <c r="BD15" s="3470">
        <f t="shared" si="15"/>
        <v>673056.02000000014</v>
      </c>
      <c r="BE15" s="3470">
        <f t="shared" ref="BE15:BW15" si="16">$C15*$Y45*(BE$2-BE$1)</f>
        <v>674905.07500000007</v>
      </c>
      <c r="BF15" s="3470">
        <f t="shared" si="16"/>
        <v>673056.02000000014</v>
      </c>
      <c r="BG15" s="3470">
        <f t="shared" si="16"/>
        <v>673056.02000000014</v>
      </c>
      <c r="BH15" s="3470">
        <f t="shared" si="16"/>
        <v>673056.02000000014</v>
      </c>
      <c r="BI15" s="3470">
        <f t="shared" si="16"/>
        <v>674905.07500000007</v>
      </c>
      <c r="BJ15" s="3470">
        <f t="shared" si="16"/>
        <v>673056.02000000014</v>
      </c>
      <c r="BK15" s="3470">
        <f t="shared" si="16"/>
        <v>673056.02000000014</v>
      </c>
      <c r="BL15" s="3470">
        <f t="shared" si="16"/>
        <v>673056.02000000014</v>
      </c>
      <c r="BM15" s="3470">
        <f t="shared" si="16"/>
        <v>674905.07500000007</v>
      </c>
      <c r="BN15" s="3470">
        <f t="shared" si="16"/>
        <v>673056.02000000014</v>
      </c>
      <c r="BO15" s="3470">
        <f t="shared" si="16"/>
        <v>673056.02000000014</v>
      </c>
      <c r="BP15" s="3470">
        <f t="shared" si="16"/>
        <v>673056.02000000014</v>
      </c>
      <c r="BQ15" s="3470">
        <f t="shared" si="16"/>
        <v>674905.07500000007</v>
      </c>
      <c r="BR15" s="3470">
        <f t="shared" si="16"/>
        <v>673056.02000000014</v>
      </c>
      <c r="BS15" s="3470">
        <f t="shared" si="16"/>
        <v>673056.02000000014</v>
      </c>
      <c r="BT15" s="3470">
        <f t="shared" si="16"/>
        <v>673056.02000000014</v>
      </c>
      <c r="BU15" s="3470">
        <f t="shared" si="16"/>
        <v>674905.07500000007</v>
      </c>
      <c r="BV15" s="3470">
        <f t="shared" si="16"/>
        <v>673056.02000000014</v>
      </c>
      <c r="BW15" s="3470">
        <f t="shared" si="16"/>
        <v>673056.02000000014</v>
      </c>
      <c r="BX15" s="3397"/>
      <c r="BY15" s="3397"/>
    </row>
    <row r="16" spans="1:77" s="3426" customFormat="1">
      <c r="A16" s="4309"/>
      <c r="B16" s="3492" t="s">
        <v>3516</v>
      </c>
      <c r="C16" s="3425">
        <v>284.79000000000002</v>
      </c>
      <c r="D16" s="3425">
        <v>187.18</v>
      </c>
      <c r="E16" s="3425">
        <v>284.79000000000002</v>
      </c>
      <c r="F16" s="4312"/>
      <c r="G16" s="4314"/>
      <c r="H16" s="4308"/>
      <c r="I16" s="3677"/>
      <c r="J16" s="4308"/>
      <c r="K16" s="4308"/>
      <c r="L16" s="4308"/>
      <c r="M16" s="4308"/>
      <c r="N16" s="4301"/>
      <c r="O16" s="4301"/>
      <c r="P16" s="4301"/>
      <c r="Q16" s="4308"/>
      <c r="R16" s="4309"/>
      <c r="S16" s="4308"/>
      <c r="T16" s="3733"/>
      <c r="U16" s="3733"/>
      <c r="V16" s="3470"/>
      <c r="W16" s="3470"/>
      <c r="X16" s="3505">
        <f t="shared" si="12"/>
        <v>0</v>
      </c>
      <c r="Y16" s="3505">
        <f t="shared" ref="Y16:AM16" si="17">$C16*$J16*(Y$2-Y$1)</f>
        <v>0</v>
      </c>
      <c r="Z16" s="3505">
        <f t="shared" si="17"/>
        <v>0</v>
      </c>
      <c r="AA16" s="3505">
        <f t="shared" si="17"/>
        <v>0</v>
      </c>
      <c r="AB16" s="3470">
        <f t="shared" si="17"/>
        <v>0</v>
      </c>
      <c r="AC16" s="3470">
        <f t="shared" si="17"/>
        <v>0</v>
      </c>
      <c r="AD16" s="3470">
        <f t="shared" si="17"/>
        <v>0</v>
      </c>
      <c r="AE16" s="3470">
        <f t="shared" si="17"/>
        <v>0</v>
      </c>
      <c r="AF16" s="3470">
        <f t="shared" si="17"/>
        <v>0</v>
      </c>
      <c r="AG16" s="3470">
        <f t="shared" si="17"/>
        <v>0</v>
      </c>
      <c r="AH16" s="3470">
        <f t="shared" si="17"/>
        <v>0</v>
      </c>
      <c r="AI16" s="3470">
        <f t="shared" si="17"/>
        <v>0</v>
      </c>
      <c r="AJ16" s="3470">
        <f t="shared" si="17"/>
        <v>0</v>
      </c>
      <c r="AK16" s="3470">
        <f t="shared" si="17"/>
        <v>0</v>
      </c>
      <c r="AL16" s="3470">
        <f t="shared" si="17"/>
        <v>0</v>
      </c>
      <c r="AM16" s="3470">
        <f t="shared" si="17"/>
        <v>0</v>
      </c>
      <c r="AN16" s="3470">
        <f t="shared" ref="AF16:BW24" si="18">$C16*$J16*(AN$2-AN$1)</f>
        <v>0</v>
      </c>
      <c r="AO16" s="3470">
        <f t="shared" si="18"/>
        <v>0</v>
      </c>
      <c r="AP16" s="3470">
        <f t="shared" si="18"/>
        <v>0</v>
      </c>
      <c r="AQ16" s="3470">
        <f t="shared" si="18"/>
        <v>0</v>
      </c>
      <c r="AR16" s="3470">
        <f t="shared" si="18"/>
        <v>0</v>
      </c>
      <c r="AS16" s="3470">
        <f t="shared" si="18"/>
        <v>0</v>
      </c>
      <c r="AT16" s="3470">
        <f t="shared" si="18"/>
        <v>0</v>
      </c>
      <c r="AU16" s="3470">
        <f t="shared" si="18"/>
        <v>0</v>
      </c>
      <c r="AV16" s="3470">
        <f t="shared" si="18"/>
        <v>0</v>
      </c>
      <c r="AW16" s="3470">
        <f t="shared" si="18"/>
        <v>0</v>
      </c>
      <c r="AX16" s="3470">
        <f t="shared" si="18"/>
        <v>0</v>
      </c>
      <c r="AY16" s="3470">
        <f t="shared" si="18"/>
        <v>0</v>
      </c>
      <c r="AZ16" s="3470">
        <f t="shared" si="18"/>
        <v>0</v>
      </c>
      <c r="BA16" s="3470">
        <f t="shared" si="18"/>
        <v>0</v>
      </c>
      <c r="BB16" s="3470">
        <f t="shared" si="18"/>
        <v>0</v>
      </c>
      <c r="BC16" s="3470">
        <f t="shared" si="18"/>
        <v>0</v>
      </c>
      <c r="BD16" s="3470">
        <f t="shared" si="18"/>
        <v>0</v>
      </c>
      <c r="BE16" s="3470">
        <f t="shared" si="18"/>
        <v>0</v>
      </c>
      <c r="BF16" s="3470">
        <f t="shared" si="18"/>
        <v>0</v>
      </c>
      <c r="BG16" s="3470">
        <f t="shared" si="18"/>
        <v>0</v>
      </c>
      <c r="BH16" s="3470">
        <f t="shared" si="18"/>
        <v>0</v>
      </c>
      <c r="BI16" s="3470">
        <f t="shared" si="18"/>
        <v>0</v>
      </c>
      <c r="BJ16" s="3470">
        <f t="shared" si="18"/>
        <v>0</v>
      </c>
      <c r="BK16" s="3470">
        <f t="shared" si="18"/>
        <v>0</v>
      </c>
      <c r="BL16" s="3470">
        <f t="shared" si="18"/>
        <v>0</v>
      </c>
      <c r="BM16" s="3470">
        <f t="shared" si="18"/>
        <v>0</v>
      </c>
      <c r="BN16" s="3470">
        <f t="shared" si="18"/>
        <v>0</v>
      </c>
      <c r="BO16" s="3470">
        <f t="shared" si="18"/>
        <v>0</v>
      </c>
      <c r="BP16" s="3470">
        <f t="shared" si="18"/>
        <v>0</v>
      </c>
      <c r="BQ16" s="3470">
        <f t="shared" si="18"/>
        <v>0</v>
      </c>
      <c r="BR16" s="3470">
        <f t="shared" si="18"/>
        <v>0</v>
      </c>
      <c r="BS16" s="3470">
        <f t="shared" si="18"/>
        <v>0</v>
      </c>
      <c r="BT16" s="3470">
        <f t="shared" si="18"/>
        <v>0</v>
      </c>
      <c r="BU16" s="3470">
        <f t="shared" si="18"/>
        <v>0</v>
      </c>
      <c r="BV16" s="3470">
        <f t="shared" si="18"/>
        <v>0</v>
      </c>
      <c r="BW16" s="3470">
        <f t="shared" si="18"/>
        <v>0</v>
      </c>
      <c r="BX16" s="3397"/>
      <c r="BY16" s="3397"/>
    </row>
    <row r="17" spans="1:77" s="3426" customFormat="1">
      <c r="A17" s="4309"/>
      <c r="B17" s="3492" t="s">
        <v>3517</v>
      </c>
      <c r="C17" s="3425">
        <v>226.93</v>
      </c>
      <c r="D17" s="3425">
        <v>149.15</v>
      </c>
      <c r="E17" s="3425">
        <v>226.93</v>
      </c>
      <c r="F17" s="4312"/>
      <c r="G17" s="4314"/>
      <c r="H17" s="4308"/>
      <c r="I17" s="3677"/>
      <c r="J17" s="4308"/>
      <c r="K17" s="4308"/>
      <c r="L17" s="4308"/>
      <c r="M17" s="4308"/>
      <c r="N17" s="4301"/>
      <c r="O17" s="4301"/>
      <c r="P17" s="4301"/>
      <c r="Q17" s="4308"/>
      <c r="R17" s="4309"/>
      <c r="S17" s="4308"/>
      <c r="T17" s="3733"/>
      <c r="U17" s="3733"/>
      <c r="V17" s="3470"/>
      <c r="W17" s="3470"/>
      <c r="X17" s="3505">
        <f t="shared" si="12"/>
        <v>0</v>
      </c>
      <c r="Y17" s="3505">
        <f t="shared" ref="Y17:AE18" si="19">$C17*$J17*(Y$2-Y$1)</f>
        <v>0</v>
      </c>
      <c r="Z17" s="3505">
        <f t="shared" si="19"/>
        <v>0</v>
      </c>
      <c r="AA17" s="3505">
        <f t="shared" si="19"/>
        <v>0</v>
      </c>
      <c r="AB17" s="3470">
        <f t="shared" si="19"/>
        <v>0</v>
      </c>
      <c r="AC17" s="3470">
        <f t="shared" si="19"/>
        <v>0</v>
      </c>
      <c r="AD17" s="3470">
        <f t="shared" si="19"/>
        <v>0</v>
      </c>
      <c r="AE17" s="3470">
        <f t="shared" si="19"/>
        <v>0</v>
      </c>
      <c r="AF17" s="3470">
        <f t="shared" si="18"/>
        <v>0</v>
      </c>
      <c r="AG17" s="3470">
        <f t="shared" si="18"/>
        <v>0</v>
      </c>
      <c r="AH17" s="3470">
        <f t="shared" si="18"/>
        <v>0</v>
      </c>
      <c r="AI17" s="3470">
        <f t="shared" si="18"/>
        <v>0</v>
      </c>
      <c r="AJ17" s="3470">
        <f t="shared" si="18"/>
        <v>0</v>
      </c>
      <c r="AK17" s="3470">
        <f t="shared" si="18"/>
        <v>0</v>
      </c>
      <c r="AL17" s="3470">
        <f t="shared" si="18"/>
        <v>0</v>
      </c>
      <c r="AM17" s="3470">
        <f t="shared" si="18"/>
        <v>0</v>
      </c>
      <c r="AN17" s="3470">
        <f t="shared" si="18"/>
        <v>0</v>
      </c>
      <c r="AO17" s="3470">
        <f t="shared" si="18"/>
        <v>0</v>
      </c>
      <c r="AP17" s="3470">
        <f t="shared" si="18"/>
        <v>0</v>
      </c>
      <c r="AQ17" s="3470">
        <f t="shared" si="18"/>
        <v>0</v>
      </c>
      <c r="AR17" s="3470">
        <f t="shared" si="18"/>
        <v>0</v>
      </c>
      <c r="AS17" s="3470">
        <f t="shared" si="18"/>
        <v>0</v>
      </c>
      <c r="AT17" s="3470">
        <f t="shared" si="18"/>
        <v>0</v>
      </c>
      <c r="AU17" s="3470">
        <f t="shared" si="18"/>
        <v>0</v>
      </c>
      <c r="AV17" s="3470">
        <f t="shared" si="18"/>
        <v>0</v>
      </c>
      <c r="AW17" s="3470">
        <f t="shared" si="18"/>
        <v>0</v>
      </c>
      <c r="AX17" s="3470">
        <f t="shared" si="18"/>
        <v>0</v>
      </c>
      <c r="AY17" s="3470">
        <f t="shared" si="18"/>
        <v>0</v>
      </c>
      <c r="AZ17" s="3470">
        <f t="shared" si="18"/>
        <v>0</v>
      </c>
      <c r="BA17" s="3470">
        <f t="shared" si="18"/>
        <v>0</v>
      </c>
      <c r="BB17" s="3470">
        <f t="shared" si="18"/>
        <v>0</v>
      </c>
      <c r="BC17" s="3470">
        <f t="shared" si="18"/>
        <v>0</v>
      </c>
      <c r="BD17" s="3470">
        <f t="shared" si="18"/>
        <v>0</v>
      </c>
      <c r="BE17" s="3470">
        <f t="shared" si="18"/>
        <v>0</v>
      </c>
      <c r="BF17" s="3470">
        <f t="shared" si="18"/>
        <v>0</v>
      </c>
      <c r="BG17" s="3470">
        <f t="shared" si="18"/>
        <v>0</v>
      </c>
      <c r="BH17" s="3470">
        <f t="shared" si="18"/>
        <v>0</v>
      </c>
      <c r="BI17" s="3470">
        <f t="shared" si="18"/>
        <v>0</v>
      </c>
      <c r="BJ17" s="3470">
        <f t="shared" si="18"/>
        <v>0</v>
      </c>
      <c r="BK17" s="3470">
        <f t="shared" si="18"/>
        <v>0</v>
      </c>
      <c r="BL17" s="3470">
        <f t="shared" si="18"/>
        <v>0</v>
      </c>
      <c r="BM17" s="3470">
        <f t="shared" si="18"/>
        <v>0</v>
      </c>
      <c r="BN17" s="3470">
        <f t="shared" si="18"/>
        <v>0</v>
      </c>
      <c r="BO17" s="3470">
        <f t="shared" si="18"/>
        <v>0</v>
      </c>
      <c r="BP17" s="3470">
        <f t="shared" si="18"/>
        <v>0</v>
      </c>
      <c r="BQ17" s="3470">
        <f t="shared" si="18"/>
        <v>0</v>
      </c>
      <c r="BR17" s="3470">
        <f t="shared" si="18"/>
        <v>0</v>
      </c>
      <c r="BS17" s="3470">
        <f t="shared" si="18"/>
        <v>0</v>
      </c>
      <c r="BT17" s="3470">
        <f t="shared" si="18"/>
        <v>0</v>
      </c>
      <c r="BU17" s="3470">
        <f t="shared" si="18"/>
        <v>0</v>
      </c>
      <c r="BV17" s="3470">
        <f t="shared" si="18"/>
        <v>0</v>
      </c>
      <c r="BW17" s="3470">
        <f t="shared" si="18"/>
        <v>0</v>
      </c>
      <c r="BX17" s="3397"/>
      <c r="BY17" s="3397"/>
    </row>
    <row r="18" spans="1:77" s="3426" customFormat="1">
      <c r="A18" s="4309"/>
      <c r="B18" s="3492" t="s">
        <v>3518</v>
      </c>
      <c r="C18" s="3425">
        <v>308.04000000000002</v>
      </c>
      <c r="D18" s="3425">
        <v>202.46</v>
      </c>
      <c r="E18" s="3425">
        <v>308.04000000000002</v>
      </c>
      <c r="F18" s="4313"/>
      <c r="G18" s="4314"/>
      <c r="H18" s="4308"/>
      <c r="I18" s="3677"/>
      <c r="J18" s="4308"/>
      <c r="K18" s="4308"/>
      <c r="L18" s="4308"/>
      <c r="M18" s="4308"/>
      <c r="N18" s="4302"/>
      <c r="O18" s="4302"/>
      <c r="P18" s="4302"/>
      <c r="Q18" s="4308"/>
      <c r="R18" s="4309"/>
      <c r="S18" s="4308"/>
      <c r="T18" s="3733"/>
      <c r="U18" s="3733"/>
      <c r="V18" s="3470"/>
      <c r="W18" s="3470"/>
      <c r="X18" s="3505">
        <f t="shared" si="12"/>
        <v>0</v>
      </c>
      <c r="Y18" s="3505">
        <f t="shared" si="19"/>
        <v>0</v>
      </c>
      <c r="Z18" s="3505">
        <f t="shared" si="19"/>
        <v>0</v>
      </c>
      <c r="AA18" s="3505">
        <f t="shared" si="19"/>
        <v>0</v>
      </c>
      <c r="AB18" s="3470">
        <f t="shared" si="19"/>
        <v>0</v>
      </c>
      <c r="AC18" s="3470">
        <f t="shared" si="19"/>
        <v>0</v>
      </c>
      <c r="AD18" s="3470">
        <f t="shared" si="19"/>
        <v>0</v>
      </c>
      <c r="AE18" s="3470">
        <f t="shared" si="19"/>
        <v>0</v>
      </c>
      <c r="AF18" s="3470">
        <f t="shared" si="18"/>
        <v>0</v>
      </c>
      <c r="AG18" s="3470">
        <f t="shared" si="18"/>
        <v>0</v>
      </c>
      <c r="AH18" s="3470">
        <f t="shared" si="18"/>
        <v>0</v>
      </c>
      <c r="AI18" s="3470">
        <f t="shared" si="18"/>
        <v>0</v>
      </c>
      <c r="AJ18" s="3470">
        <f t="shared" si="18"/>
        <v>0</v>
      </c>
      <c r="AK18" s="3470">
        <f t="shared" si="18"/>
        <v>0</v>
      </c>
      <c r="AL18" s="3470">
        <f t="shared" si="18"/>
        <v>0</v>
      </c>
      <c r="AM18" s="3470">
        <f t="shared" si="18"/>
        <v>0</v>
      </c>
      <c r="AN18" s="3470">
        <f t="shared" si="18"/>
        <v>0</v>
      </c>
      <c r="AO18" s="3470">
        <f t="shared" si="18"/>
        <v>0</v>
      </c>
      <c r="AP18" s="3470">
        <f t="shared" si="18"/>
        <v>0</v>
      </c>
      <c r="AQ18" s="3470">
        <f t="shared" si="18"/>
        <v>0</v>
      </c>
      <c r="AR18" s="3470">
        <f t="shared" si="18"/>
        <v>0</v>
      </c>
      <c r="AS18" s="3470">
        <f t="shared" si="18"/>
        <v>0</v>
      </c>
      <c r="AT18" s="3470">
        <f t="shared" si="18"/>
        <v>0</v>
      </c>
      <c r="AU18" s="3470">
        <f t="shared" si="18"/>
        <v>0</v>
      </c>
      <c r="AV18" s="3470">
        <f t="shared" si="18"/>
        <v>0</v>
      </c>
      <c r="AW18" s="3470">
        <f t="shared" si="18"/>
        <v>0</v>
      </c>
      <c r="AX18" s="3470">
        <f t="shared" si="18"/>
        <v>0</v>
      </c>
      <c r="AY18" s="3470">
        <f t="shared" si="18"/>
        <v>0</v>
      </c>
      <c r="AZ18" s="3470">
        <f t="shared" si="18"/>
        <v>0</v>
      </c>
      <c r="BA18" s="3470">
        <f t="shared" si="18"/>
        <v>0</v>
      </c>
      <c r="BB18" s="3470">
        <f t="shared" si="18"/>
        <v>0</v>
      </c>
      <c r="BC18" s="3470">
        <f t="shared" si="18"/>
        <v>0</v>
      </c>
      <c r="BD18" s="3470">
        <f t="shared" si="18"/>
        <v>0</v>
      </c>
      <c r="BE18" s="3470">
        <f t="shared" si="18"/>
        <v>0</v>
      </c>
      <c r="BF18" s="3470">
        <f t="shared" si="18"/>
        <v>0</v>
      </c>
      <c r="BG18" s="3470">
        <f t="shared" si="18"/>
        <v>0</v>
      </c>
      <c r="BH18" s="3470">
        <f t="shared" si="18"/>
        <v>0</v>
      </c>
      <c r="BI18" s="3470">
        <f t="shared" si="18"/>
        <v>0</v>
      </c>
      <c r="BJ18" s="3470">
        <f t="shared" si="18"/>
        <v>0</v>
      </c>
      <c r="BK18" s="3470">
        <f t="shared" si="18"/>
        <v>0</v>
      </c>
      <c r="BL18" s="3470">
        <f t="shared" si="18"/>
        <v>0</v>
      </c>
      <c r="BM18" s="3470">
        <f t="shared" si="18"/>
        <v>0</v>
      </c>
      <c r="BN18" s="3470">
        <f t="shared" si="18"/>
        <v>0</v>
      </c>
      <c r="BO18" s="3470">
        <f t="shared" si="18"/>
        <v>0</v>
      </c>
      <c r="BP18" s="3470">
        <f t="shared" si="18"/>
        <v>0</v>
      </c>
      <c r="BQ18" s="3470">
        <f t="shared" si="18"/>
        <v>0</v>
      </c>
      <c r="BR18" s="3470">
        <f t="shared" si="18"/>
        <v>0</v>
      </c>
      <c r="BS18" s="3470">
        <f t="shared" si="18"/>
        <v>0</v>
      </c>
      <c r="BT18" s="3470">
        <f t="shared" si="18"/>
        <v>0</v>
      </c>
      <c r="BU18" s="3470">
        <f t="shared" si="18"/>
        <v>0</v>
      </c>
      <c r="BV18" s="3470">
        <f t="shared" si="18"/>
        <v>0</v>
      </c>
      <c r="BW18" s="3470">
        <f t="shared" si="18"/>
        <v>0</v>
      </c>
      <c r="BX18" s="3397"/>
      <c r="BY18" s="3397"/>
    </row>
    <row r="19" spans="1:77" s="3417" customFormat="1">
      <c r="A19" s="3489" t="s">
        <v>3519</v>
      </c>
      <c r="B19" s="3489" t="s">
        <v>3520</v>
      </c>
      <c r="C19" s="3415">
        <v>141.43</v>
      </c>
      <c r="D19" s="3415">
        <v>103.54</v>
      </c>
      <c r="E19" s="3416">
        <v>141.43</v>
      </c>
      <c r="F19" s="3421" t="s">
        <v>3487</v>
      </c>
      <c r="G19" s="3502" t="s">
        <v>3586</v>
      </c>
      <c r="H19" s="3416">
        <v>38071.19</v>
      </c>
      <c r="I19" s="3416">
        <f>J15*30*C15</f>
        <v>54191.535000000003</v>
      </c>
      <c r="J19" s="3416">
        <v>7.15</v>
      </c>
      <c r="K19" s="3416">
        <v>35</v>
      </c>
      <c r="L19" s="3416">
        <v>4950.05</v>
      </c>
      <c r="M19" s="3416"/>
      <c r="N19" s="3416">
        <f>L19*3</f>
        <v>14850.150000000001</v>
      </c>
      <c r="O19" s="3416">
        <f>H19*3</f>
        <v>114213.57</v>
      </c>
      <c r="P19" s="3416">
        <f>N19+O19</f>
        <v>129063.72</v>
      </c>
      <c r="Q19" s="3416"/>
      <c r="R19" s="3427"/>
      <c r="S19" s="3428">
        <v>129063.72</v>
      </c>
      <c r="T19" s="3732">
        <f>H19/E19/30</f>
        <v>8.9729171085813935</v>
      </c>
      <c r="U19" s="3732"/>
      <c r="V19" s="3680">
        <f>W19-H19</f>
        <v>-7397.3801666666659</v>
      </c>
      <c r="W19" s="3470">
        <f>X19/12</f>
        <v>30673.809833333336</v>
      </c>
      <c r="X19" s="3505">
        <f t="shared" si="12"/>
        <v>368085.71800000005</v>
      </c>
      <c r="Y19" s="3505">
        <f t="shared" ref="Y19:Y31" si="20">$C19*$J19*(Y$2-Y$1)</f>
        <v>369096.94250000006</v>
      </c>
      <c r="Z19" s="3505">
        <f t="shared" ref="Z19:BE19" si="21">$C19*$Y45*(Z$2-Z$1)</f>
        <v>334623.38</v>
      </c>
      <c r="AA19" s="3505">
        <f t="shared" si="21"/>
        <v>334623.38</v>
      </c>
      <c r="AB19" s="3470">
        <f t="shared" si="21"/>
        <v>334623.38</v>
      </c>
      <c r="AC19" s="3470">
        <f t="shared" si="21"/>
        <v>335542.67500000005</v>
      </c>
      <c r="AD19" s="3470">
        <f t="shared" si="21"/>
        <v>334623.38</v>
      </c>
      <c r="AE19" s="3470">
        <f t="shared" si="21"/>
        <v>334623.38</v>
      </c>
      <c r="AF19" s="3470">
        <f t="shared" si="21"/>
        <v>334623.38</v>
      </c>
      <c r="AG19" s="3470">
        <f t="shared" si="21"/>
        <v>335542.67500000005</v>
      </c>
      <c r="AH19" s="3470">
        <f t="shared" si="21"/>
        <v>334623.38</v>
      </c>
      <c r="AI19" s="3470">
        <f t="shared" si="21"/>
        <v>334623.38</v>
      </c>
      <c r="AJ19" s="3470">
        <f t="shared" si="21"/>
        <v>334623.38</v>
      </c>
      <c r="AK19" s="3470">
        <f t="shared" si="21"/>
        <v>335542.67500000005</v>
      </c>
      <c r="AL19" s="3470">
        <f t="shared" si="21"/>
        <v>334623.38</v>
      </c>
      <c r="AM19" s="3470">
        <f t="shared" si="21"/>
        <v>334623.38</v>
      </c>
      <c r="AN19" s="3470">
        <f t="shared" si="21"/>
        <v>334623.38</v>
      </c>
      <c r="AO19" s="3470">
        <f t="shared" si="21"/>
        <v>335542.67500000005</v>
      </c>
      <c r="AP19" s="3470">
        <f t="shared" si="21"/>
        <v>334623.38</v>
      </c>
      <c r="AQ19" s="3470">
        <f t="shared" si="21"/>
        <v>334623.38</v>
      </c>
      <c r="AR19" s="3470">
        <f t="shared" si="21"/>
        <v>334623.38</v>
      </c>
      <c r="AS19" s="3470">
        <f t="shared" si="21"/>
        <v>335542.67500000005</v>
      </c>
      <c r="AT19" s="3470">
        <f t="shared" si="21"/>
        <v>334623.38</v>
      </c>
      <c r="AU19" s="3470">
        <f t="shared" si="21"/>
        <v>334623.38</v>
      </c>
      <c r="AV19" s="3470">
        <f t="shared" si="21"/>
        <v>334623.38</v>
      </c>
      <c r="AW19" s="3470">
        <f t="shared" si="21"/>
        <v>335542.67500000005</v>
      </c>
      <c r="AX19" s="3470">
        <f t="shared" si="21"/>
        <v>334623.38</v>
      </c>
      <c r="AY19" s="3470">
        <f t="shared" si="21"/>
        <v>334623.38</v>
      </c>
      <c r="AZ19" s="3470">
        <f t="shared" si="21"/>
        <v>334623.38</v>
      </c>
      <c r="BA19" s="3470">
        <f t="shared" si="21"/>
        <v>335542.67500000005</v>
      </c>
      <c r="BB19" s="3470">
        <f t="shared" si="21"/>
        <v>334623.38</v>
      </c>
      <c r="BC19" s="3470">
        <f t="shared" si="21"/>
        <v>334623.38</v>
      </c>
      <c r="BD19" s="3470">
        <f t="shared" si="21"/>
        <v>334623.38</v>
      </c>
      <c r="BE19" s="3470">
        <f t="shared" si="21"/>
        <v>335542.67500000005</v>
      </c>
      <c r="BF19" s="3470">
        <f t="shared" ref="BF19:BW19" si="22">$C19*$Y45*(BF$2-BF$1)</f>
        <v>334623.38</v>
      </c>
      <c r="BG19" s="3470">
        <f t="shared" si="22"/>
        <v>334623.38</v>
      </c>
      <c r="BH19" s="3470">
        <f t="shared" si="22"/>
        <v>334623.38</v>
      </c>
      <c r="BI19" s="3470">
        <f t="shared" si="22"/>
        <v>335542.67500000005</v>
      </c>
      <c r="BJ19" s="3470">
        <f t="shared" si="22"/>
        <v>334623.38</v>
      </c>
      <c r="BK19" s="3470">
        <f t="shared" si="22"/>
        <v>334623.38</v>
      </c>
      <c r="BL19" s="3470">
        <f t="shared" si="22"/>
        <v>334623.38</v>
      </c>
      <c r="BM19" s="3470">
        <f t="shared" si="22"/>
        <v>335542.67500000005</v>
      </c>
      <c r="BN19" s="3470">
        <f t="shared" si="22"/>
        <v>334623.38</v>
      </c>
      <c r="BO19" s="3470">
        <f t="shared" si="22"/>
        <v>334623.38</v>
      </c>
      <c r="BP19" s="3470">
        <f t="shared" si="22"/>
        <v>334623.38</v>
      </c>
      <c r="BQ19" s="3470">
        <f t="shared" si="22"/>
        <v>335542.67500000005</v>
      </c>
      <c r="BR19" s="3470">
        <f t="shared" si="22"/>
        <v>334623.38</v>
      </c>
      <c r="BS19" s="3470">
        <f t="shared" si="22"/>
        <v>334623.38</v>
      </c>
      <c r="BT19" s="3470">
        <f t="shared" si="22"/>
        <v>334623.38</v>
      </c>
      <c r="BU19" s="3470">
        <f t="shared" si="22"/>
        <v>335542.67500000005</v>
      </c>
      <c r="BV19" s="3470">
        <f t="shared" si="22"/>
        <v>334623.38</v>
      </c>
      <c r="BW19" s="3470">
        <f t="shared" si="22"/>
        <v>334623.38</v>
      </c>
      <c r="BX19" s="3397"/>
      <c r="BY19" s="3397"/>
    </row>
    <row r="20" spans="1:77" s="3417" customFormat="1" ht="28.5">
      <c r="A20" s="3516" t="s">
        <v>3521</v>
      </c>
      <c r="B20" s="3489" t="s">
        <v>3522</v>
      </c>
      <c r="C20" s="3415">
        <v>141.43</v>
      </c>
      <c r="D20" s="3415">
        <v>103.54</v>
      </c>
      <c r="E20" s="3416">
        <v>141.43</v>
      </c>
      <c r="F20" s="3429" t="s">
        <v>3523</v>
      </c>
      <c r="G20" s="3430" t="s">
        <v>3524</v>
      </c>
      <c r="H20" s="3431">
        <v>31618.44</v>
      </c>
      <c r="I20" s="3431"/>
      <c r="J20" s="3416">
        <v>7.35</v>
      </c>
      <c r="K20" s="3416">
        <v>35</v>
      </c>
      <c r="L20" s="3416">
        <v>4950.05</v>
      </c>
      <c r="M20" s="3416"/>
      <c r="N20" s="3416">
        <f>L20*3</f>
        <v>14850.150000000001</v>
      </c>
      <c r="O20" s="3416">
        <f>H20*3</f>
        <v>94855.319999999992</v>
      </c>
      <c r="P20" s="3416">
        <f>N20+O20</f>
        <v>109705.47</v>
      </c>
      <c r="Q20" s="3522"/>
      <c r="R20" s="3427"/>
      <c r="S20" s="3428">
        <v>109705.47</v>
      </c>
      <c r="T20" s="3732">
        <f>H20/E20/30</f>
        <v>7.4520823021989662</v>
      </c>
      <c r="U20" s="3732"/>
      <c r="V20" s="3680">
        <f>W20-H20</f>
        <v>-86.62149999999383</v>
      </c>
      <c r="W20" s="3470">
        <f>X20/12</f>
        <v>31531.818500000005</v>
      </c>
      <c r="X20" s="3505">
        <f t="shared" si="12"/>
        <v>378381.82200000004</v>
      </c>
      <c r="Y20" s="3505">
        <f t="shared" si="20"/>
        <v>379421.33250000002</v>
      </c>
      <c r="Z20" s="3505">
        <f t="shared" ref="Z20:BE20" si="23">$C20*$Y45*(Z$2-Z$1)</f>
        <v>334623.38</v>
      </c>
      <c r="AA20" s="3505">
        <f t="shared" si="23"/>
        <v>334623.38</v>
      </c>
      <c r="AB20" s="3470">
        <f t="shared" si="23"/>
        <v>334623.38</v>
      </c>
      <c r="AC20" s="3470">
        <f t="shared" si="23"/>
        <v>335542.67500000005</v>
      </c>
      <c r="AD20" s="3470">
        <f t="shared" si="23"/>
        <v>334623.38</v>
      </c>
      <c r="AE20" s="3470">
        <f t="shared" si="23"/>
        <v>334623.38</v>
      </c>
      <c r="AF20" s="3470">
        <f t="shared" si="23"/>
        <v>334623.38</v>
      </c>
      <c r="AG20" s="3470">
        <f t="shared" si="23"/>
        <v>335542.67500000005</v>
      </c>
      <c r="AH20" s="3470">
        <f t="shared" si="23"/>
        <v>334623.38</v>
      </c>
      <c r="AI20" s="3470">
        <f t="shared" si="23"/>
        <v>334623.38</v>
      </c>
      <c r="AJ20" s="3470">
        <f t="shared" si="23"/>
        <v>334623.38</v>
      </c>
      <c r="AK20" s="3470">
        <f t="shared" si="23"/>
        <v>335542.67500000005</v>
      </c>
      <c r="AL20" s="3470">
        <f t="shared" si="23"/>
        <v>334623.38</v>
      </c>
      <c r="AM20" s="3470">
        <f t="shared" si="23"/>
        <v>334623.38</v>
      </c>
      <c r="AN20" s="3470">
        <f t="shared" si="23"/>
        <v>334623.38</v>
      </c>
      <c r="AO20" s="3470">
        <f t="shared" si="23"/>
        <v>335542.67500000005</v>
      </c>
      <c r="AP20" s="3470">
        <f t="shared" si="23"/>
        <v>334623.38</v>
      </c>
      <c r="AQ20" s="3470">
        <f t="shared" si="23"/>
        <v>334623.38</v>
      </c>
      <c r="AR20" s="3470">
        <f t="shared" si="23"/>
        <v>334623.38</v>
      </c>
      <c r="AS20" s="3470">
        <f t="shared" si="23"/>
        <v>335542.67500000005</v>
      </c>
      <c r="AT20" s="3470">
        <f t="shared" si="23"/>
        <v>334623.38</v>
      </c>
      <c r="AU20" s="3470">
        <f t="shared" si="23"/>
        <v>334623.38</v>
      </c>
      <c r="AV20" s="3470">
        <f t="shared" si="23"/>
        <v>334623.38</v>
      </c>
      <c r="AW20" s="3470">
        <f t="shared" si="23"/>
        <v>335542.67500000005</v>
      </c>
      <c r="AX20" s="3470">
        <f t="shared" si="23"/>
        <v>334623.38</v>
      </c>
      <c r="AY20" s="3470">
        <f t="shared" si="23"/>
        <v>334623.38</v>
      </c>
      <c r="AZ20" s="3470">
        <f t="shared" si="23"/>
        <v>334623.38</v>
      </c>
      <c r="BA20" s="3470">
        <f t="shared" si="23"/>
        <v>335542.67500000005</v>
      </c>
      <c r="BB20" s="3470">
        <f t="shared" si="23"/>
        <v>334623.38</v>
      </c>
      <c r="BC20" s="3470">
        <f t="shared" si="23"/>
        <v>334623.38</v>
      </c>
      <c r="BD20" s="3470">
        <f t="shared" si="23"/>
        <v>334623.38</v>
      </c>
      <c r="BE20" s="3470">
        <f t="shared" si="23"/>
        <v>335542.67500000005</v>
      </c>
      <c r="BF20" s="3470">
        <f t="shared" ref="BF20:BW20" si="24">$C20*$Y45*(BF$2-BF$1)</f>
        <v>334623.38</v>
      </c>
      <c r="BG20" s="3470">
        <f t="shared" si="24"/>
        <v>334623.38</v>
      </c>
      <c r="BH20" s="3470">
        <f t="shared" si="24"/>
        <v>334623.38</v>
      </c>
      <c r="BI20" s="3470">
        <f t="shared" si="24"/>
        <v>335542.67500000005</v>
      </c>
      <c r="BJ20" s="3470">
        <f t="shared" si="24"/>
        <v>334623.38</v>
      </c>
      <c r="BK20" s="3470">
        <f t="shared" si="24"/>
        <v>334623.38</v>
      </c>
      <c r="BL20" s="3470">
        <f t="shared" si="24"/>
        <v>334623.38</v>
      </c>
      <c r="BM20" s="3470">
        <f t="shared" si="24"/>
        <v>335542.67500000005</v>
      </c>
      <c r="BN20" s="3470">
        <f t="shared" si="24"/>
        <v>334623.38</v>
      </c>
      <c r="BO20" s="3470">
        <f t="shared" si="24"/>
        <v>334623.38</v>
      </c>
      <c r="BP20" s="3470">
        <f t="shared" si="24"/>
        <v>334623.38</v>
      </c>
      <c r="BQ20" s="3470">
        <f t="shared" si="24"/>
        <v>335542.67500000005</v>
      </c>
      <c r="BR20" s="3470">
        <f t="shared" si="24"/>
        <v>334623.38</v>
      </c>
      <c r="BS20" s="3470">
        <f t="shared" si="24"/>
        <v>334623.38</v>
      </c>
      <c r="BT20" s="3470">
        <f t="shared" si="24"/>
        <v>334623.38</v>
      </c>
      <c r="BU20" s="3470">
        <f t="shared" si="24"/>
        <v>335542.67500000005</v>
      </c>
      <c r="BV20" s="3470">
        <f t="shared" si="24"/>
        <v>334623.38</v>
      </c>
      <c r="BW20" s="3470">
        <f t="shared" si="24"/>
        <v>334623.38</v>
      </c>
      <c r="BX20" s="3397"/>
      <c r="BY20" s="3397"/>
    </row>
    <row r="21" spans="1:77" s="3417" customFormat="1">
      <c r="A21" s="3432" t="s">
        <v>3525</v>
      </c>
      <c r="B21" s="3489" t="s">
        <v>3526</v>
      </c>
      <c r="C21" s="3415">
        <v>279.92</v>
      </c>
      <c r="D21" s="3415">
        <v>204.92</v>
      </c>
      <c r="E21" s="3416">
        <v>279.92</v>
      </c>
      <c r="F21" s="3429" t="s">
        <v>3527</v>
      </c>
      <c r="G21" s="3433" t="s">
        <v>3528</v>
      </c>
      <c r="H21" s="3431">
        <v>46913.43</v>
      </c>
      <c r="I21" s="3431"/>
      <c r="J21" s="3416">
        <f>H21*12/365/E21</f>
        <v>5.510000508951677</v>
      </c>
      <c r="K21" s="3416">
        <v>35</v>
      </c>
      <c r="L21" s="3416">
        <f>K21*E21</f>
        <v>9797.2000000000007</v>
      </c>
      <c r="M21" s="3416"/>
      <c r="N21" s="3416">
        <f>L21*3</f>
        <v>29391.600000000002</v>
      </c>
      <c r="O21" s="3416">
        <f>H21*3</f>
        <v>140740.29</v>
      </c>
      <c r="P21" s="3416">
        <f>N21+O21</f>
        <v>170131.89</v>
      </c>
      <c r="Q21" s="3522"/>
      <c r="R21" s="3434" t="s">
        <v>3529</v>
      </c>
      <c r="S21" s="3428">
        <v>170131.89</v>
      </c>
      <c r="T21" s="3732">
        <f>H21/E21/30</f>
        <v>5.5865282937982279</v>
      </c>
      <c r="U21" s="3732"/>
      <c r="V21" s="3680">
        <f>W21-H21</f>
        <v>-128.52994520547509</v>
      </c>
      <c r="W21" s="3470">
        <f>X21/12</f>
        <v>46784.900054794525</v>
      </c>
      <c r="X21" s="3505">
        <f t="shared" si="12"/>
        <v>561418.80065753427</v>
      </c>
      <c r="Y21" s="3505">
        <f t="shared" si="20"/>
        <v>562961.16</v>
      </c>
      <c r="Z21" s="3505">
        <f t="shared" ref="Z21:BE21" si="25">$C21*$Y45*(Z$2-Z$1)</f>
        <v>662290.72</v>
      </c>
      <c r="AA21" s="3505">
        <f t="shared" si="25"/>
        <v>662290.72</v>
      </c>
      <c r="AB21" s="3470">
        <f t="shared" si="25"/>
        <v>662290.72</v>
      </c>
      <c r="AC21" s="3470">
        <f t="shared" si="25"/>
        <v>664110.19999999995</v>
      </c>
      <c r="AD21" s="3470">
        <f t="shared" si="25"/>
        <v>662290.72</v>
      </c>
      <c r="AE21" s="3470">
        <f t="shared" si="25"/>
        <v>662290.72</v>
      </c>
      <c r="AF21" s="3470">
        <f t="shared" si="25"/>
        <v>662290.72</v>
      </c>
      <c r="AG21" s="3470">
        <f t="shared" si="25"/>
        <v>664110.19999999995</v>
      </c>
      <c r="AH21" s="3470">
        <f t="shared" si="25"/>
        <v>662290.72</v>
      </c>
      <c r="AI21" s="3470">
        <f t="shared" si="25"/>
        <v>662290.72</v>
      </c>
      <c r="AJ21" s="3470">
        <f t="shared" si="25"/>
        <v>662290.72</v>
      </c>
      <c r="AK21" s="3470">
        <f t="shared" si="25"/>
        <v>664110.19999999995</v>
      </c>
      <c r="AL21" s="3470">
        <f t="shared" si="25"/>
        <v>662290.72</v>
      </c>
      <c r="AM21" s="3470">
        <f t="shared" si="25"/>
        <v>662290.72</v>
      </c>
      <c r="AN21" s="3470">
        <f t="shared" si="25"/>
        <v>662290.72</v>
      </c>
      <c r="AO21" s="3470">
        <f t="shared" si="25"/>
        <v>664110.19999999995</v>
      </c>
      <c r="AP21" s="3470">
        <f t="shared" si="25"/>
        <v>662290.72</v>
      </c>
      <c r="AQ21" s="3470">
        <f t="shared" si="25"/>
        <v>662290.72</v>
      </c>
      <c r="AR21" s="3470">
        <f t="shared" si="25"/>
        <v>662290.72</v>
      </c>
      <c r="AS21" s="3470">
        <f t="shared" si="25"/>
        <v>664110.19999999995</v>
      </c>
      <c r="AT21" s="3470">
        <f t="shared" si="25"/>
        <v>662290.72</v>
      </c>
      <c r="AU21" s="3470">
        <f t="shared" si="25"/>
        <v>662290.72</v>
      </c>
      <c r="AV21" s="3470">
        <f t="shared" si="25"/>
        <v>662290.72</v>
      </c>
      <c r="AW21" s="3470">
        <f t="shared" si="25"/>
        <v>664110.19999999995</v>
      </c>
      <c r="AX21" s="3470">
        <f t="shared" si="25"/>
        <v>662290.72</v>
      </c>
      <c r="AY21" s="3470">
        <f t="shared" si="25"/>
        <v>662290.72</v>
      </c>
      <c r="AZ21" s="3470">
        <f t="shared" si="25"/>
        <v>662290.72</v>
      </c>
      <c r="BA21" s="3470">
        <f t="shared" si="25"/>
        <v>664110.19999999995</v>
      </c>
      <c r="BB21" s="3470">
        <f t="shared" si="25"/>
        <v>662290.72</v>
      </c>
      <c r="BC21" s="3470">
        <f t="shared" si="25"/>
        <v>662290.72</v>
      </c>
      <c r="BD21" s="3470">
        <f t="shared" si="25"/>
        <v>662290.72</v>
      </c>
      <c r="BE21" s="3470">
        <f t="shared" si="25"/>
        <v>664110.19999999995</v>
      </c>
      <c r="BF21" s="3470">
        <f t="shared" ref="BF21:BW21" si="26">$C21*$Y45*(BF$2-BF$1)</f>
        <v>662290.72</v>
      </c>
      <c r="BG21" s="3470">
        <f t="shared" si="26"/>
        <v>662290.72</v>
      </c>
      <c r="BH21" s="3470">
        <f t="shared" si="26"/>
        <v>662290.72</v>
      </c>
      <c r="BI21" s="3470">
        <f t="shared" si="26"/>
        <v>664110.19999999995</v>
      </c>
      <c r="BJ21" s="3470">
        <f t="shared" si="26"/>
        <v>662290.72</v>
      </c>
      <c r="BK21" s="3470">
        <f t="shared" si="26"/>
        <v>662290.72</v>
      </c>
      <c r="BL21" s="3470">
        <f t="shared" si="26"/>
        <v>662290.72</v>
      </c>
      <c r="BM21" s="3470">
        <f t="shared" si="26"/>
        <v>664110.19999999995</v>
      </c>
      <c r="BN21" s="3470">
        <f t="shared" si="26"/>
        <v>662290.72</v>
      </c>
      <c r="BO21" s="3470">
        <f t="shared" si="26"/>
        <v>662290.72</v>
      </c>
      <c r="BP21" s="3470">
        <f t="shared" si="26"/>
        <v>662290.72</v>
      </c>
      <c r="BQ21" s="3470">
        <f t="shared" si="26"/>
        <v>664110.19999999995</v>
      </c>
      <c r="BR21" s="3470">
        <f t="shared" si="26"/>
        <v>662290.72</v>
      </c>
      <c r="BS21" s="3470">
        <f t="shared" si="26"/>
        <v>662290.72</v>
      </c>
      <c r="BT21" s="3470">
        <f t="shared" si="26"/>
        <v>662290.72</v>
      </c>
      <c r="BU21" s="3470">
        <f t="shared" si="26"/>
        <v>664110.19999999995</v>
      </c>
      <c r="BV21" s="3470">
        <f t="shared" si="26"/>
        <v>662290.72</v>
      </c>
      <c r="BW21" s="3470">
        <f t="shared" si="26"/>
        <v>662290.72</v>
      </c>
      <c r="BX21" s="3397"/>
      <c r="BY21" s="3397"/>
    </row>
    <row r="22" spans="1:77" s="3409" customFormat="1">
      <c r="A22" s="3435"/>
      <c r="B22" s="3436" t="s">
        <v>3530</v>
      </c>
      <c r="C22" s="3493">
        <v>528.4</v>
      </c>
      <c r="D22" s="3493">
        <v>386.83</v>
      </c>
      <c r="E22" s="3494"/>
      <c r="F22" s="3437"/>
      <c r="G22" s="3500"/>
      <c r="H22" s="3494"/>
      <c r="I22" s="3674"/>
      <c r="J22" s="3494"/>
      <c r="K22" s="3494"/>
      <c r="L22" s="3494"/>
      <c r="M22" s="3494"/>
      <c r="N22" s="3496"/>
      <c r="O22" s="3496"/>
      <c r="P22" s="3496"/>
      <c r="Q22" s="3497"/>
      <c r="R22" s="3438"/>
      <c r="S22" s="3439"/>
      <c r="T22" s="3462"/>
      <c r="U22" s="3462"/>
      <c r="V22" s="3470"/>
      <c r="W22" s="3470"/>
      <c r="X22" s="3505">
        <f t="shared" si="12"/>
        <v>0</v>
      </c>
      <c r="Y22" s="3505">
        <f t="shared" si="20"/>
        <v>0</v>
      </c>
      <c r="Z22" s="3505">
        <f t="shared" ref="Z22:AE31" si="27">$C22*$J22*(Z$2-Z$1)</f>
        <v>0</v>
      </c>
      <c r="AA22" s="3505">
        <f t="shared" si="27"/>
        <v>0</v>
      </c>
      <c r="AB22" s="3470">
        <f t="shared" si="27"/>
        <v>0</v>
      </c>
      <c r="AC22" s="3470">
        <f t="shared" si="27"/>
        <v>0</v>
      </c>
      <c r="AD22" s="3470">
        <f t="shared" si="27"/>
        <v>0</v>
      </c>
      <c r="AE22" s="3470">
        <f t="shared" si="27"/>
        <v>0</v>
      </c>
      <c r="AF22" s="3470">
        <f t="shared" si="18"/>
        <v>0</v>
      </c>
      <c r="AG22" s="3470">
        <f t="shared" si="18"/>
        <v>0</v>
      </c>
      <c r="AH22" s="3470">
        <f t="shared" si="18"/>
        <v>0</v>
      </c>
      <c r="AI22" s="3470">
        <f t="shared" si="18"/>
        <v>0</v>
      </c>
      <c r="AJ22" s="3470">
        <f t="shared" si="18"/>
        <v>0</v>
      </c>
      <c r="AK22" s="3470">
        <f t="shared" si="18"/>
        <v>0</v>
      </c>
      <c r="AL22" s="3470">
        <f t="shared" si="18"/>
        <v>0</v>
      </c>
      <c r="AM22" s="3470">
        <f t="shared" si="18"/>
        <v>0</v>
      </c>
      <c r="AN22" s="3470">
        <f t="shared" si="18"/>
        <v>0</v>
      </c>
      <c r="AO22" s="3470">
        <f t="shared" si="18"/>
        <v>0</v>
      </c>
      <c r="AP22" s="3470">
        <f t="shared" si="18"/>
        <v>0</v>
      </c>
      <c r="AQ22" s="3470">
        <f t="shared" si="18"/>
        <v>0</v>
      </c>
      <c r="AR22" s="3470">
        <f t="shared" si="18"/>
        <v>0</v>
      </c>
      <c r="AS22" s="3470">
        <f t="shared" si="18"/>
        <v>0</v>
      </c>
      <c r="AT22" s="3470">
        <f t="shared" si="18"/>
        <v>0</v>
      </c>
      <c r="AU22" s="3470">
        <f t="shared" si="18"/>
        <v>0</v>
      </c>
      <c r="AV22" s="3470">
        <f t="shared" si="18"/>
        <v>0</v>
      </c>
      <c r="AW22" s="3470">
        <f t="shared" si="18"/>
        <v>0</v>
      </c>
      <c r="AX22" s="3470">
        <f t="shared" si="18"/>
        <v>0</v>
      </c>
      <c r="AY22" s="3470">
        <f t="shared" si="18"/>
        <v>0</v>
      </c>
      <c r="AZ22" s="3470">
        <f t="shared" si="18"/>
        <v>0</v>
      </c>
      <c r="BA22" s="3470">
        <f t="shared" si="18"/>
        <v>0</v>
      </c>
      <c r="BB22" s="3470">
        <f t="shared" si="18"/>
        <v>0</v>
      </c>
      <c r="BC22" s="3470">
        <f t="shared" si="18"/>
        <v>0</v>
      </c>
      <c r="BD22" s="3470">
        <f t="shared" si="18"/>
        <v>0</v>
      </c>
      <c r="BE22" s="3470">
        <f t="shared" si="18"/>
        <v>0</v>
      </c>
      <c r="BF22" s="3470">
        <f t="shared" si="18"/>
        <v>0</v>
      </c>
      <c r="BG22" s="3470">
        <f t="shared" si="18"/>
        <v>0</v>
      </c>
      <c r="BH22" s="3470">
        <f t="shared" si="18"/>
        <v>0</v>
      </c>
      <c r="BI22" s="3470">
        <f t="shared" si="18"/>
        <v>0</v>
      </c>
      <c r="BJ22" s="3470">
        <f t="shared" si="18"/>
        <v>0</v>
      </c>
      <c r="BK22" s="3470">
        <f t="shared" si="18"/>
        <v>0</v>
      </c>
      <c r="BL22" s="3470">
        <f t="shared" si="18"/>
        <v>0</v>
      </c>
      <c r="BM22" s="3470">
        <f t="shared" si="18"/>
        <v>0</v>
      </c>
      <c r="BN22" s="3470">
        <f t="shared" si="18"/>
        <v>0</v>
      </c>
      <c r="BO22" s="3470">
        <f t="shared" si="18"/>
        <v>0</v>
      </c>
      <c r="BP22" s="3470">
        <f t="shared" si="18"/>
        <v>0</v>
      </c>
      <c r="BQ22" s="3470">
        <f t="shared" si="18"/>
        <v>0</v>
      </c>
      <c r="BR22" s="3470">
        <f t="shared" si="18"/>
        <v>0</v>
      </c>
      <c r="BS22" s="3470">
        <f t="shared" si="18"/>
        <v>0</v>
      </c>
      <c r="BT22" s="3470">
        <f t="shared" si="18"/>
        <v>0</v>
      </c>
      <c r="BU22" s="3470">
        <f t="shared" si="18"/>
        <v>0</v>
      </c>
      <c r="BV22" s="3470">
        <f t="shared" si="18"/>
        <v>0</v>
      </c>
      <c r="BW22" s="3470">
        <f t="shared" si="18"/>
        <v>0</v>
      </c>
      <c r="BX22" s="3397"/>
      <c r="BY22" s="3397"/>
    </row>
    <row r="23" spans="1:77" s="3409" customFormat="1">
      <c r="A23" s="3435"/>
      <c r="B23" s="3436" t="s">
        <v>3531</v>
      </c>
      <c r="C23" s="3493">
        <v>303</v>
      </c>
      <c r="D23" s="3493">
        <v>221.82</v>
      </c>
      <c r="E23" s="3494"/>
      <c r="F23" s="3437"/>
      <c r="G23" s="3500"/>
      <c r="H23" s="3494"/>
      <c r="I23" s="3674"/>
      <c r="J23" s="3494"/>
      <c r="K23" s="3494"/>
      <c r="L23" s="3494"/>
      <c r="M23" s="3494"/>
      <c r="N23" s="3496"/>
      <c r="O23" s="3496"/>
      <c r="P23" s="3496"/>
      <c r="Q23" s="3497"/>
      <c r="R23" s="3438"/>
      <c r="S23" s="3439"/>
      <c r="T23" s="3462"/>
      <c r="U23" s="3462"/>
      <c r="V23" s="3470"/>
      <c r="W23" s="3470"/>
      <c r="X23" s="3505">
        <f t="shared" si="12"/>
        <v>0</v>
      </c>
      <c r="Y23" s="3505">
        <f t="shared" si="20"/>
        <v>0</v>
      </c>
      <c r="Z23" s="3505">
        <f t="shared" si="27"/>
        <v>0</v>
      </c>
      <c r="AA23" s="3505">
        <f t="shared" si="27"/>
        <v>0</v>
      </c>
      <c r="AB23" s="3470">
        <f t="shared" si="27"/>
        <v>0</v>
      </c>
      <c r="AC23" s="3470">
        <f t="shared" si="27"/>
        <v>0</v>
      </c>
      <c r="AD23" s="3470">
        <f t="shared" si="27"/>
        <v>0</v>
      </c>
      <c r="AE23" s="3470">
        <f t="shared" si="27"/>
        <v>0</v>
      </c>
      <c r="AF23" s="3470">
        <f t="shared" si="18"/>
        <v>0</v>
      </c>
      <c r="AG23" s="3470">
        <f t="shared" si="18"/>
        <v>0</v>
      </c>
      <c r="AH23" s="3470">
        <f t="shared" si="18"/>
        <v>0</v>
      </c>
      <c r="AI23" s="3470">
        <f t="shared" si="18"/>
        <v>0</v>
      </c>
      <c r="AJ23" s="3470">
        <f t="shared" si="18"/>
        <v>0</v>
      </c>
      <c r="AK23" s="3470">
        <f t="shared" si="18"/>
        <v>0</v>
      </c>
      <c r="AL23" s="3470">
        <f t="shared" si="18"/>
        <v>0</v>
      </c>
      <c r="AM23" s="3470">
        <f t="shared" si="18"/>
        <v>0</v>
      </c>
      <c r="AN23" s="3470">
        <f t="shared" si="18"/>
        <v>0</v>
      </c>
      <c r="AO23" s="3470">
        <f t="shared" si="18"/>
        <v>0</v>
      </c>
      <c r="AP23" s="3470">
        <f t="shared" si="18"/>
        <v>0</v>
      </c>
      <c r="AQ23" s="3470">
        <f t="shared" si="18"/>
        <v>0</v>
      </c>
      <c r="AR23" s="3470">
        <f t="shared" si="18"/>
        <v>0</v>
      </c>
      <c r="AS23" s="3470">
        <f t="shared" si="18"/>
        <v>0</v>
      </c>
      <c r="AT23" s="3470">
        <f t="shared" si="18"/>
        <v>0</v>
      </c>
      <c r="AU23" s="3470">
        <f t="shared" si="18"/>
        <v>0</v>
      </c>
      <c r="AV23" s="3470">
        <f t="shared" si="18"/>
        <v>0</v>
      </c>
      <c r="AW23" s="3470">
        <f t="shared" si="18"/>
        <v>0</v>
      </c>
      <c r="AX23" s="3470">
        <f t="shared" si="18"/>
        <v>0</v>
      </c>
      <c r="AY23" s="3470">
        <f t="shared" si="18"/>
        <v>0</v>
      </c>
      <c r="AZ23" s="3470">
        <f t="shared" si="18"/>
        <v>0</v>
      </c>
      <c r="BA23" s="3470">
        <f t="shared" si="18"/>
        <v>0</v>
      </c>
      <c r="BB23" s="3470">
        <f t="shared" si="18"/>
        <v>0</v>
      </c>
      <c r="BC23" s="3470">
        <f t="shared" si="18"/>
        <v>0</v>
      </c>
      <c r="BD23" s="3470">
        <f t="shared" si="18"/>
        <v>0</v>
      </c>
      <c r="BE23" s="3470">
        <f t="shared" si="18"/>
        <v>0</v>
      </c>
      <c r="BF23" s="3470">
        <f t="shared" si="18"/>
        <v>0</v>
      </c>
      <c r="BG23" s="3470">
        <f t="shared" si="18"/>
        <v>0</v>
      </c>
      <c r="BH23" s="3470">
        <f t="shared" si="18"/>
        <v>0</v>
      </c>
      <c r="BI23" s="3470">
        <f t="shared" si="18"/>
        <v>0</v>
      </c>
      <c r="BJ23" s="3470">
        <f t="shared" si="18"/>
        <v>0</v>
      </c>
      <c r="BK23" s="3470">
        <f t="shared" si="18"/>
        <v>0</v>
      </c>
      <c r="BL23" s="3470">
        <f t="shared" si="18"/>
        <v>0</v>
      </c>
      <c r="BM23" s="3470">
        <f t="shared" si="18"/>
        <v>0</v>
      </c>
      <c r="BN23" s="3470">
        <f t="shared" si="18"/>
        <v>0</v>
      </c>
      <c r="BO23" s="3470">
        <f t="shared" si="18"/>
        <v>0</v>
      </c>
      <c r="BP23" s="3470">
        <f t="shared" si="18"/>
        <v>0</v>
      </c>
      <c r="BQ23" s="3470">
        <f t="shared" si="18"/>
        <v>0</v>
      </c>
      <c r="BR23" s="3470">
        <f t="shared" si="18"/>
        <v>0</v>
      </c>
      <c r="BS23" s="3470">
        <f t="shared" si="18"/>
        <v>0</v>
      </c>
      <c r="BT23" s="3470">
        <f t="shared" si="18"/>
        <v>0</v>
      </c>
      <c r="BU23" s="3470">
        <f t="shared" si="18"/>
        <v>0</v>
      </c>
      <c r="BV23" s="3470">
        <f t="shared" si="18"/>
        <v>0</v>
      </c>
      <c r="BW23" s="3470">
        <f t="shared" si="18"/>
        <v>0</v>
      </c>
      <c r="BX23" s="3397"/>
      <c r="BY23" s="3397"/>
    </row>
    <row r="24" spans="1:77" s="3409" customFormat="1">
      <c r="A24" s="3435"/>
      <c r="B24" s="3436" t="s">
        <v>3532</v>
      </c>
      <c r="C24" s="3493">
        <v>295.60000000000002</v>
      </c>
      <c r="D24" s="3493">
        <v>216.4</v>
      </c>
      <c r="E24" s="3494"/>
      <c r="F24" s="3437"/>
      <c r="G24" s="3500"/>
      <c r="H24" s="3494"/>
      <c r="I24" s="3674"/>
      <c r="J24" s="3494"/>
      <c r="K24" s="3494"/>
      <c r="L24" s="3494"/>
      <c r="M24" s="3494"/>
      <c r="N24" s="3496"/>
      <c r="O24" s="3496"/>
      <c r="P24" s="3496"/>
      <c r="Q24" s="3497"/>
      <c r="R24" s="3438"/>
      <c r="S24" s="3439"/>
      <c r="T24" s="3462"/>
      <c r="U24" s="3462"/>
      <c r="V24" s="3470"/>
      <c r="W24" s="3470"/>
      <c r="X24" s="3505">
        <f t="shared" si="12"/>
        <v>0</v>
      </c>
      <c r="Y24" s="3505">
        <f t="shared" si="20"/>
        <v>0</v>
      </c>
      <c r="Z24" s="3505">
        <f t="shared" si="27"/>
        <v>0</v>
      </c>
      <c r="AA24" s="3505">
        <f t="shared" si="27"/>
        <v>0</v>
      </c>
      <c r="AB24" s="3470">
        <f t="shared" si="27"/>
        <v>0</v>
      </c>
      <c r="AC24" s="3470">
        <f t="shared" si="27"/>
        <v>0</v>
      </c>
      <c r="AD24" s="3470">
        <f t="shared" si="27"/>
        <v>0</v>
      </c>
      <c r="AE24" s="3470">
        <f t="shared" si="27"/>
        <v>0</v>
      </c>
      <c r="AF24" s="3470">
        <f t="shared" si="18"/>
        <v>0</v>
      </c>
      <c r="AG24" s="3470">
        <f t="shared" si="18"/>
        <v>0</v>
      </c>
      <c r="AH24" s="3470">
        <f t="shared" si="18"/>
        <v>0</v>
      </c>
      <c r="AI24" s="3470">
        <f t="shared" si="18"/>
        <v>0</v>
      </c>
      <c r="AJ24" s="3470">
        <f t="shared" si="18"/>
        <v>0</v>
      </c>
      <c r="AK24" s="3470">
        <f t="shared" si="18"/>
        <v>0</v>
      </c>
      <c r="AL24" s="3470">
        <f t="shared" si="18"/>
        <v>0</v>
      </c>
      <c r="AM24" s="3470">
        <f t="shared" si="18"/>
        <v>0</v>
      </c>
      <c r="AN24" s="3470">
        <f t="shared" si="18"/>
        <v>0</v>
      </c>
      <c r="AO24" s="3470">
        <f t="shared" si="18"/>
        <v>0</v>
      </c>
      <c r="AP24" s="3470">
        <f t="shared" si="18"/>
        <v>0</v>
      </c>
      <c r="AQ24" s="3470">
        <f t="shared" si="18"/>
        <v>0</v>
      </c>
      <c r="AR24" s="3470">
        <f t="shared" si="18"/>
        <v>0</v>
      </c>
      <c r="AS24" s="3470">
        <f t="shared" si="18"/>
        <v>0</v>
      </c>
      <c r="AT24" s="3470">
        <f t="shared" si="18"/>
        <v>0</v>
      </c>
      <c r="AU24" s="3470">
        <f t="shared" si="18"/>
        <v>0</v>
      </c>
      <c r="AV24" s="3470">
        <f t="shared" si="18"/>
        <v>0</v>
      </c>
      <c r="AW24" s="3470">
        <f t="shared" si="18"/>
        <v>0</v>
      </c>
      <c r="AX24" s="3470">
        <f t="shared" si="18"/>
        <v>0</v>
      </c>
      <c r="AY24" s="3470">
        <f t="shared" si="18"/>
        <v>0</v>
      </c>
      <c r="AZ24" s="3470">
        <f t="shared" si="18"/>
        <v>0</v>
      </c>
      <c r="BA24" s="3470">
        <f t="shared" si="18"/>
        <v>0</v>
      </c>
      <c r="BB24" s="3470">
        <f t="shared" si="18"/>
        <v>0</v>
      </c>
      <c r="BC24" s="3470">
        <f t="shared" si="18"/>
        <v>0</v>
      </c>
      <c r="BD24" s="3470">
        <f t="shared" si="18"/>
        <v>0</v>
      </c>
      <c r="BE24" s="3470">
        <f t="shared" si="18"/>
        <v>0</v>
      </c>
      <c r="BF24" s="3470">
        <f t="shared" si="18"/>
        <v>0</v>
      </c>
      <c r="BG24" s="3470">
        <f t="shared" si="18"/>
        <v>0</v>
      </c>
      <c r="BH24" s="3470">
        <f t="shared" si="18"/>
        <v>0</v>
      </c>
      <c r="BI24" s="3470">
        <f t="shared" si="18"/>
        <v>0</v>
      </c>
      <c r="BJ24" s="3470">
        <f t="shared" si="18"/>
        <v>0</v>
      </c>
      <c r="BK24" s="3470">
        <f t="shared" si="18"/>
        <v>0</v>
      </c>
      <c r="BL24" s="3470">
        <f t="shared" si="18"/>
        <v>0</v>
      </c>
      <c r="BM24" s="3470">
        <f t="shared" si="18"/>
        <v>0</v>
      </c>
      <c r="BN24" s="3470">
        <f t="shared" si="18"/>
        <v>0</v>
      </c>
      <c r="BO24" s="3470">
        <f t="shared" si="18"/>
        <v>0</v>
      </c>
      <c r="BP24" s="3470">
        <f t="shared" si="18"/>
        <v>0</v>
      </c>
      <c r="BQ24" s="3470">
        <f t="shared" si="18"/>
        <v>0</v>
      </c>
      <c r="BR24" s="3470">
        <f t="shared" si="18"/>
        <v>0</v>
      </c>
      <c r="BS24" s="3470">
        <f t="shared" si="18"/>
        <v>0</v>
      </c>
      <c r="BT24" s="3470">
        <f t="shared" si="18"/>
        <v>0</v>
      </c>
      <c r="BU24" s="3470">
        <f t="shared" si="18"/>
        <v>0</v>
      </c>
      <c r="BV24" s="3470">
        <f t="shared" si="18"/>
        <v>0</v>
      </c>
      <c r="BW24" s="3470">
        <f t="shared" ref="AF24:BW30" si="28">$C24*$J24*(BW$2-BW$1)</f>
        <v>0</v>
      </c>
      <c r="BX24" s="3397"/>
      <c r="BY24" s="3397"/>
    </row>
    <row r="25" spans="1:77" s="3409" customFormat="1">
      <c r="A25" s="3435"/>
      <c r="B25" s="3436" t="s">
        <v>3533</v>
      </c>
      <c r="C25" s="3493">
        <v>361.33</v>
      </c>
      <c r="D25" s="3493">
        <v>264.52</v>
      </c>
      <c r="E25" s="3494"/>
      <c r="F25" s="3437"/>
      <c r="G25" s="3500"/>
      <c r="H25" s="3494"/>
      <c r="I25" s="3674"/>
      <c r="J25" s="3494"/>
      <c r="K25" s="3494"/>
      <c r="L25" s="3494"/>
      <c r="M25" s="3494"/>
      <c r="N25" s="3496"/>
      <c r="O25" s="3496"/>
      <c r="P25" s="3496"/>
      <c r="Q25" s="3497"/>
      <c r="R25" s="3438"/>
      <c r="S25" s="3439"/>
      <c r="T25" s="3462"/>
      <c r="U25" s="3462"/>
      <c r="V25" s="3470"/>
      <c r="W25" s="3470"/>
      <c r="X25" s="3505">
        <f t="shared" si="12"/>
        <v>0</v>
      </c>
      <c r="Y25" s="3505">
        <f t="shared" si="20"/>
        <v>0</v>
      </c>
      <c r="Z25" s="3505">
        <f t="shared" si="27"/>
        <v>0</v>
      </c>
      <c r="AA25" s="3505">
        <f t="shared" si="27"/>
        <v>0</v>
      </c>
      <c r="AB25" s="3470">
        <f t="shared" si="27"/>
        <v>0</v>
      </c>
      <c r="AC25" s="3470">
        <f t="shared" si="27"/>
        <v>0</v>
      </c>
      <c r="AD25" s="3470">
        <f t="shared" si="27"/>
        <v>0</v>
      </c>
      <c r="AE25" s="3470">
        <f t="shared" si="27"/>
        <v>0</v>
      </c>
      <c r="AF25" s="3470">
        <f t="shared" si="28"/>
        <v>0</v>
      </c>
      <c r="AG25" s="3470">
        <f t="shared" si="28"/>
        <v>0</v>
      </c>
      <c r="AH25" s="3470">
        <f t="shared" si="28"/>
        <v>0</v>
      </c>
      <c r="AI25" s="3470">
        <f t="shared" si="28"/>
        <v>0</v>
      </c>
      <c r="AJ25" s="3470">
        <f t="shared" si="28"/>
        <v>0</v>
      </c>
      <c r="AK25" s="3470">
        <f t="shared" si="28"/>
        <v>0</v>
      </c>
      <c r="AL25" s="3470">
        <f t="shared" si="28"/>
        <v>0</v>
      </c>
      <c r="AM25" s="3470">
        <f t="shared" si="28"/>
        <v>0</v>
      </c>
      <c r="AN25" s="3470">
        <f t="shared" si="28"/>
        <v>0</v>
      </c>
      <c r="AO25" s="3470">
        <f t="shared" si="28"/>
        <v>0</v>
      </c>
      <c r="AP25" s="3470">
        <f t="shared" si="28"/>
        <v>0</v>
      </c>
      <c r="AQ25" s="3470">
        <f t="shared" si="28"/>
        <v>0</v>
      </c>
      <c r="AR25" s="3470">
        <f t="shared" si="28"/>
        <v>0</v>
      </c>
      <c r="AS25" s="3470">
        <f t="shared" si="28"/>
        <v>0</v>
      </c>
      <c r="AT25" s="3470">
        <f t="shared" si="28"/>
        <v>0</v>
      </c>
      <c r="AU25" s="3470">
        <f t="shared" si="28"/>
        <v>0</v>
      </c>
      <c r="AV25" s="3470">
        <f t="shared" si="28"/>
        <v>0</v>
      </c>
      <c r="AW25" s="3470">
        <f t="shared" si="28"/>
        <v>0</v>
      </c>
      <c r="AX25" s="3470">
        <f t="shared" si="28"/>
        <v>0</v>
      </c>
      <c r="AY25" s="3470">
        <f t="shared" si="28"/>
        <v>0</v>
      </c>
      <c r="AZ25" s="3470">
        <f t="shared" si="28"/>
        <v>0</v>
      </c>
      <c r="BA25" s="3470">
        <f t="shared" si="28"/>
        <v>0</v>
      </c>
      <c r="BB25" s="3470">
        <f t="shared" si="28"/>
        <v>0</v>
      </c>
      <c r="BC25" s="3470">
        <f t="shared" si="28"/>
        <v>0</v>
      </c>
      <c r="BD25" s="3470">
        <f t="shared" si="28"/>
        <v>0</v>
      </c>
      <c r="BE25" s="3470">
        <f t="shared" si="28"/>
        <v>0</v>
      </c>
      <c r="BF25" s="3470">
        <f t="shared" si="28"/>
        <v>0</v>
      </c>
      <c r="BG25" s="3470">
        <f t="shared" si="28"/>
        <v>0</v>
      </c>
      <c r="BH25" s="3470">
        <f t="shared" si="28"/>
        <v>0</v>
      </c>
      <c r="BI25" s="3470">
        <f t="shared" si="28"/>
        <v>0</v>
      </c>
      <c r="BJ25" s="3470">
        <f t="shared" si="28"/>
        <v>0</v>
      </c>
      <c r="BK25" s="3470">
        <f t="shared" si="28"/>
        <v>0</v>
      </c>
      <c r="BL25" s="3470">
        <f t="shared" si="28"/>
        <v>0</v>
      </c>
      <c r="BM25" s="3470">
        <f t="shared" si="28"/>
        <v>0</v>
      </c>
      <c r="BN25" s="3470">
        <f t="shared" si="28"/>
        <v>0</v>
      </c>
      <c r="BO25" s="3470">
        <f t="shared" si="28"/>
        <v>0</v>
      </c>
      <c r="BP25" s="3470">
        <f t="shared" si="28"/>
        <v>0</v>
      </c>
      <c r="BQ25" s="3470">
        <f t="shared" si="28"/>
        <v>0</v>
      </c>
      <c r="BR25" s="3470">
        <f t="shared" si="28"/>
        <v>0</v>
      </c>
      <c r="BS25" s="3470">
        <f t="shared" si="28"/>
        <v>0</v>
      </c>
      <c r="BT25" s="3470">
        <f t="shared" si="28"/>
        <v>0</v>
      </c>
      <c r="BU25" s="3470">
        <f t="shared" si="28"/>
        <v>0</v>
      </c>
      <c r="BV25" s="3470">
        <f t="shared" si="28"/>
        <v>0</v>
      </c>
      <c r="BW25" s="3470">
        <f t="shared" si="28"/>
        <v>0</v>
      </c>
      <c r="BX25" s="3397"/>
      <c r="BY25" s="3397"/>
    </row>
    <row r="26" spans="1:77" s="3409" customFormat="1">
      <c r="A26" s="3435"/>
      <c r="B26" s="3436" t="s">
        <v>3534</v>
      </c>
      <c r="C26" s="3493">
        <v>225.51</v>
      </c>
      <c r="D26" s="3493">
        <v>165.09</v>
      </c>
      <c r="E26" s="3494"/>
      <c r="F26" s="3437"/>
      <c r="G26" s="3500"/>
      <c r="H26" s="3494"/>
      <c r="I26" s="3674"/>
      <c r="J26" s="3494"/>
      <c r="K26" s="3494"/>
      <c r="L26" s="3494"/>
      <c r="M26" s="3494"/>
      <c r="N26" s="3496"/>
      <c r="O26" s="3496"/>
      <c r="P26" s="3496"/>
      <c r="Q26" s="3497"/>
      <c r="R26" s="3438"/>
      <c r="S26" s="3439"/>
      <c r="T26" s="3462"/>
      <c r="U26" s="3462"/>
      <c r="V26" s="3470"/>
      <c r="W26" s="3470"/>
      <c r="X26" s="3505">
        <f t="shared" si="12"/>
        <v>0</v>
      </c>
      <c r="Y26" s="3505">
        <f t="shared" si="20"/>
        <v>0</v>
      </c>
      <c r="Z26" s="3505">
        <f t="shared" si="27"/>
        <v>0</v>
      </c>
      <c r="AA26" s="3505">
        <f t="shared" si="27"/>
        <v>0</v>
      </c>
      <c r="AB26" s="3470">
        <f t="shared" si="27"/>
        <v>0</v>
      </c>
      <c r="AC26" s="3470">
        <f t="shared" si="27"/>
        <v>0</v>
      </c>
      <c r="AD26" s="3470">
        <f t="shared" si="27"/>
        <v>0</v>
      </c>
      <c r="AE26" s="3470">
        <f t="shared" si="27"/>
        <v>0</v>
      </c>
      <c r="AF26" s="3470">
        <f t="shared" si="28"/>
        <v>0</v>
      </c>
      <c r="AG26" s="3470">
        <f t="shared" si="28"/>
        <v>0</v>
      </c>
      <c r="AH26" s="3470">
        <f t="shared" si="28"/>
        <v>0</v>
      </c>
      <c r="AI26" s="3470">
        <f t="shared" si="28"/>
        <v>0</v>
      </c>
      <c r="AJ26" s="3470">
        <f t="shared" si="28"/>
        <v>0</v>
      </c>
      <c r="AK26" s="3470">
        <f t="shared" si="28"/>
        <v>0</v>
      </c>
      <c r="AL26" s="3470">
        <f t="shared" si="28"/>
        <v>0</v>
      </c>
      <c r="AM26" s="3470">
        <f t="shared" si="28"/>
        <v>0</v>
      </c>
      <c r="AN26" s="3470">
        <f t="shared" si="28"/>
        <v>0</v>
      </c>
      <c r="AO26" s="3470">
        <f t="shared" si="28"/>
        <v>0</v>
      </c>
      <c r="AP26" s="3470">
        <f t="shared" si="28"/>
        <v>0</v>
      </c>
      <c r="AQ26" s="3470">
        <f t="shared" si="28"/>
        <v>0</v>
      </c>
      <c r="AR26" s="3470">
        <f t="shared" si="28"/>
        <v>0</v>
      </c>
      <c r="AS26" s="3470">
        <f t="shared" si="28"/>
        <v>0</v>
      </c>
      <c r="AT26" s="3470">
        <f t="shared" si="28"/>
        <v>0</v>
      </c>
      <c r="AU26" s="3470">
        <f t="shared" si="28"/>
        <v>0</v>
      </c>
      <c r="AV26" s="3470">
        <f t="shared" si="28"/>
        <v>0</v>
      </c>
      <c r="AW26" s="3470">
        <f t="shared" si="28"/>
        <v>0</v>
      </c>
      <c r="AX26" s="3470">
        <f t="shared" si="28"/>
        <v>0</v>
      </c>
      <c r="AY26" s="3470">
        <f t="shared" si="28"/>
        <v>0</v>
      </c>
      <c r="AZ26" s="3470">
        <f t="shared" si="28"/>
        <v>0</v>
      </c>
      <c r="BA26" s="3470">
        <f t="shared" si="28"/>
        <v>0</v>
      </c>
      <c r="BB26" s="3470">
        <f t="shared" si="28"/>
        <v>0</v>
      </c>
      <c r="BC26" s="3470">
        <f t="shared" si="28"/>
        <v>0</v>
      </c>
      <c r="BD26" s="3470">
        <f t="shared" si="28"/>
        <v>0</v>
      </c>
      <c r="BE26" s="3470">
        <f t="shared" si="28"/>
        <v>0</v>
      </c>
      <c r="BF26" s="3470">
        <f t="shared" si="28"/>
        <v>0</v>
      </c>
      <c r="BG26" s="3470">
        <f t="shared" si="28"/>
        <v>0</v>
      </c>
      <c r="BH26" s="3470">
        <f t="shared" si="28"/>
        <v>0</v>
      </c>
      <c r="BI26" s="3470">
        <f t="shared" si="28"/>
        <v>0</v>
      </c>
      <c r="BJ26" s="3470">
        <f t="shared" si="28"/>
        <v>0</v>
      </c>
      <c r="BK26" s="3470">
        <f t="shared" si="28"/>
        <v>0</v>
      </c>
      <c r="BL26" s="3470">
        <f t="shared" si="28"/>
        <v>0</v>
      </c>
      <c r="BM26" s="3470">
        <f t="shared" si="28"/>
        <v>0</v>
      </c>
      <c r="BN26" s="3470">
        <f t="shared" si="28"/>
        <v>0</v>
      </c>
      <c r="BO26" s="3470">
        <f t="shared" si="28"/>
        <v>0</v>
      </c>
      <c r="BP26" s="3470">
        <f t="shared" si="28"/>
        <v>0</v>
      </c>
      <c r="BQ26" s="3470">
        <f t="shared" si="28"/>
        <v>0</v>
      </c>
      <c r="BR26" s="3470">
        <f t="shared" si="28"/>
        <v>0</v>
      </c>
      <c r="BS26" s="3470">
        <f t="shared" si="28"/>
        <v>0</v>
      </c>
      <c r="BT26" s="3470">
        <f t="shared" si="28"/>
        <v>0</v>
      </c>
      <c r="BU26" s="3470">
        <f t="shared" si="28"/>
        <v>0</v>
      </c>
      <c r="BV26" s="3470">
        <f t="shared" si="28"/>
        <v>0</v>
      </c>
      <c r="BW26" s="3470">
        <f t="shared" si="28"/>
        <v>0</v>
      </c>
      <c r="BX26" s="3397"/>
      <c r="BY26" s="3397"/>
    </row>
    <row r="27" spans="1:77" s="3409" customFormat="1">
      <c r="A27" s="3435"/>
      <c r="B27" s="3436" t="s">
        <v>3535</v>
      </c>
      <c r="C27" s="3493">
        <v>141.43</v>
      </c>
      <c r="D27" s="3493">
        <v>103.54</v>
      </c>
      <c r="E27" s="3494"/>
      <c r="F27" s="3437"/>
      <c r="G27" s="3500"/>
      <c r="H27" s="3494"/>
      <c r="I27" s="3674"/>
      <c r="J27" s="3494"/>
      <c r="K27" s="3494"/>
      <c r="L27" s="3494"/>
      <c r="M27" s="3494"/>
      <c r="N27" s="3496"/>
      <c r="O27" s="3496"/>
      <c r="P27" s="3496"/>
      <c r="Q27" s="3497"/>
      <c r="R27" s="3438"/>
      <c r="S27" s="3439"/>
      <c r="T27" s="3462"/>
      <c r="U27" s="3462"/>
      <c r="V27" s="3470"/>
      <c r="W27" s="3470"/>
      <c r="X27" s="3505">
        <f t="shared" si="12"/>
        <v>0</v>
      </c>
      <c r="Y27" s="3505">
        <f t="shared" si="20"/>
        <v>0</v>
      </c>
      <c r="Z27" s="3505">
        <f t="shared" si="27"/>
        <v>0</v>
      </c>
      <c r="AA27" s="3505">
        <f t="shared" si="27"/>
        <v>0</v>
      </c>
      <c r="AB27" s="3470">
        <f t="shared" si="27"/>
        <v>0</v>
      </c>
      <c r="AC27" s="3470">
        <f t="shared" si="27"/>
        <v>0</v>
      </c>
      <c r="AD27" s="3470">
        <f t="shared" si="27"/>
        <v>0</v>
      </c>
      <c r="AE27" s="3470">
        <f t="shared" si="27"/>
        <v>0</v>
      </c>
      <c r="AF27" s="3470">
        <f t="shared" si="28"/>
        <v>0</v>
      </c>
      <c r="AG27" s="3470">
        <f t="shared" si="28"/>
        <v>0</v>
      </c>
      <c r="AH27" s="3470">
        <f t="shared" si="28"/>
        <v>0</v>
      </c>
      <c r="AI27" s="3470">
        <f t="shared" si="28"/>
        <v>0</v>
      </c>
      <c r="AJ27" s="3470">
        <f t="shared" si="28"/>
        <v>0</v>
      </c>
      <c r="AK27" s="3470">
        <f t="shared" si="28"/>
        <v>0</v>
      </c>
      <c r="AL27" s="3470">
        <f t="shared" si="28"/>
        <v>0</v>
      </c>
      <c r="AM27" s="3470">
        <f t="shared" si="28"/>
        <v>0</v>
      </c>
      <c r="AN27" s="3470">
        <f t="shared" si="28"/>
        <v>0</v>
      </c>
      <c r="AO27" s="3470">
        <f t="shared" si="28"/>
        <v>0</v>
      </c>
      <c r="AP27" s="3470">
        <f t="shared" si="28"/>
        <v>0</v>
      </c>
      <c r="AQ27" s="3470">
        <f t="shared" si="28"/>
        <v>0</v>
      </c>
      <c r="AR27" s="3470">
        <f t="shared" si="28"/>
        <v>0</v>
      </c>
      <c r="AS27" s="3470">
        <f t="shared" si="28"/>
        <v>0</v>
      </c>
      <c r="AT27" s="3470">
        <f t="shared" si="28"/>
        <v>0</v>
      </c>
      <c r="AU27" s="3470">
        <f t="shared" si="28"/>
        <v>0</v>
      </c>
      <c r="AV27" s="3470">
        <f t="shared" si="28"/>
        <v>0</v>
      </c>
      <c r="AW27" s="3470">
        <f t="shared" si="28"/>
        <v>0</v>
      </c>
      <c r="AX27" s="3470">
        <f t="shared" si="28"/>
        <v>0</v>
      </c>
      <c r="AY27" s="3470">
        <f t="shared" si="28"/>
        <v>0</v>
      </c>
      <c r="AZ27" s="3470">
        <f t="shared" si="28"/>
        <v>0</v>
      </c>
      <c r="BA27" s="3470">
        <f t="shared" si="28"/>
        <v>0</v>
      </c>
      <c r="BB27" s="3470">
        <f t="shared" si="28"/>
        <v>0</v>
      </c>
      <c r="BC27" s="3470">
        <f t="shared" si="28"/>
        <v>0</v>
      </c>
      <c r="BD27" s="3470">
        <f t="shared" si="28"/>
        <v>0</v>
      </c>
      <c r="BE27" s="3470">
        <f t="shared" si="28"/>
        <v>0</v>
      </c>
      <c r="BF27" s="3470">
        <f t="shared" si="28"/>
        <v>0</v>
      </c>
      <c r="BG27" s="3470">
        <f t="shared" si="28"/>
        <v>0</v>
      </c>
      <c r="BH27" s="3470">
        <f t="shared" si="28"/>
        <v>0</v>
      </c>
      <c r="BI27" s="3470">
        <f t="shared" si="28"/>
        <v>0</v>
      </c>
      <c r="BJ27" s="3470">
        <f t="shared" si="28"/>
        <v>0</v>
      </c>
      <c r="BK27" s="3470">
        <f t="shared" si="28"/>
        <v>0</v>
      </c>
      <c r="BL27" s="3470">
        <f t="shared" si="28"/>
        <v>0</v>
      </c>
      <c r="BM27" s="3470">
        <f t="shared" si="28"/>
        <v>0</v>
      </c>
      <c r="BN27" s="3470">
        <f t="shared" si="28"/>
        <v>0</v>
      </c>
      <c r="BO27" s="3470">
        <f t="shared" si="28"/>
        <v>0</v>
      </c>
      <c r="BP27" s="3470">
        <f t="shared" si="28"/>
        <v>0</v>
      </c>
      <c r="BQ27" s="3470">
        <f t="shared" si="28"/>
        <v>0</v>
      </c>
      <c r="BR27" s="3470">
        <f t="shared" si="28"/>
        <v>0</v>
      </c>
      <c r="BS27" s="3470">
        <f t="shared" si="28"/>
        <v>0</v>
      </c>
      <c r="BT27" s="3470">
        <f t="shared" si="28"/>
        <v>0</v>
      </c>
      <c r="BU27" s="3470">
        <f t="shared" si="28"/>
        <v>0</v>
      </c>
      <c r="BV27" s="3470">
        <f t="shared" si="28"/>
        <v>0</v>
      </c>
      <c r="BW27" s="3470">
        <f t="shared" si="28"/>
        <v>0</v>
      </c>
      <c r="BX27" s="3397"/>
      <c r="BY27" s="3397"/>
    </row>
    <row r="28" spans="1:77" s="3409" customFormat="1">
      <c r="A28" s="3496"/>
      <c r="B28" s="3499" t="s">
        <v>3536</v>
      </c>
      <c r="C28" s="3408">
        <v>361.33</v>
      </c>
      <c r="D28" s="3408">
        <v>264.52</v>
      </c>
      <c r="E28" s="3496"/>
      <c r="F28" s="3496"/>
      <c r="G28" s="3496"/>
      <c r="H28" s="3496"/>
      <c r="I28" s="3678"/>
      <c r="J28" s="3496"/>
      <c r="K28" s="3496"/>
      <c r="L28" s="3496"/>
      <c r="M28" s="3496"/>
      <c r="N28" s="3496"/>
      <c r="O28" s="3496"/>
      <c r="P28" s="3496"/>
      <c r="Q28" s="3496"/>
      <c r="R28" s="3496"/>
      <c r="S28" s="3496"/>
      <c r="T28" s="3462"/>
      <c r="U28" s="3462"/>
      <c r="V28" s="3470"/>
      <c r="W28" s="3470"/>
      <c r="X28" s="3505">
        <f t="shared" si="12"/>
        <v>0</v>
      </c>
      <c r="Y28" s="3505">
        <f t="shared" si="20"/>
        <v>0</v>
      </c>
      <c r="Z28" s="3505">
        <f t="shared" si="27"/>
        <v>0</v>
      </c>
      <c r="AA28" s="3505">
        <f t="shared" si="27"/>
        <v>0</v>
      </c>
      <c r="AB28" s="3470">
        <f t="shared" si="27"/>
        <v>0</v>
      </c>
      <c r="AC28" s="3470">
        <f t="shared" si="27"/>
        <v>0</v>
      </c>
      <c r="AD28" s="3470">
        <f t="shared" si="27"/>
        <v>0</v>
      </c>
      <c r="AE28" s="3470">
        <f t="shared" si="27"/>
        <v>0</v>
      </c>
      <c r="AF28" s="3470">
        <f t="shared" si="28"/>
        <v>0</v>
      </c>
      <c r="AG28" s="3470">
        <f t="shared" si="28"/>
        <v>0</v>
      </c>
      <c r="AH28" s="3470">
        <f t="shared" si="28"/>
        <v>0</v>
      </c>
      <c r="AI28" s="3470">
        <f t="shared" si="28"/>
        <v>0</v>
      </c>
      <c r="AJ28" s="3470">
        <f t="shared" si="28"/>
        <v>0</v>
      </c>
      <c r="AK28" s="3470">
        <f t="shared" si="28"/>
        <v>0</v>
      </c>
      <c r="AL28" s="3470">
        <f t="shared" si="28"/>
        <v>0</v>
      </c>
      <c r="AM28" s="3470">
        <f t="shared" si="28"/>
        <v>0</v>
      </c>
      <c r="AN28" s="3470">
        <f t="shared" si="28"/>
        <v>0</v>
      </c>
      <c r="AO28" s="3470">
        <f t="shared" si="28"/>
        <v>0</v>
      </c>
      <c r="AP28" s="3470">
        <f t="shared" si="28"/>
        <v>0</v>
      </c>
      <c r="AQ28" s="3470">
        <f t="shared" si="28"/>
        <v>0</v>
      </c>
      <c r="AR28" s="3470">
        <f t="shared" si="28"/>
        <v>0</v>
      </c>
      <c r="AS28" s="3470">
        <f t="shared" si="28"/>
        <v>0</v>
      </c>
      <c r="AT28" s="3470">
        <f t="shared" si="28"/>
        <v>0</v>
      </c>
      <c r="AU28" s="3470">
        <f t="shared" si="28"/>
        <v>0</v>
      </c>
      <c r="AV28" s="3470">
        <f t="shared" si="28"/>
        <v>0</v>
      </c>
      <c r="AW28" s="3470">
        <f t="shared" si="28"/>
        <v>0</v>
      </c>
      <c r="AX28" s="3470">
        <f t="shared" si="28"/>
        <v>0</v>
      </c>
      <c r="AY28" s="3470">
        <f t="shared" si="28"/>
        <v>0</v>
      </c>
      <c r="AZ28" s="3470">
        <f t="shared" si="28"/>
        <v>0</v>
      </c>
      <c r="BA28" s="3470">
        <f t="shared" si="28"/>
        <v>0</v>
      </c>
      <c r="BB28" s="3470">
        <f t="shared" si="28"/>
        <v>0</v>
      </c>
      <c r="BC28" s="3470">
        <f t="shared" si="28"/>
        <v>0</v>
      </c>
      <c r="BD28" s="3470">
        <f t="shared" si="28"/>
        <v>0</v>
      </c>
      <c r="BE28" s="3470">
        <f t="shared" si="28"/>
        <v>0</v>
      </c>
      <c r="BF28" s="3470">
        <f t="shared" si="28"/>
        <v>0</v>
      </c>
      <c r="BG28" s="3470">
        <f t="shared" si="28"/>
        <v>0</v>
      </c>
      <c r="BH28" s="3470">
        <f t="shared" si="28"/>
        <v>0</v>
      </c>
      <c r="BI28" s="3470">
        <f t="shared" si="28"/>
        <v>0</v>
      </c>
      <c r="BJ28" s="3470">
        <f t="shared" si="28"/>
        <v>0</v>
      </c>
      <c r="BK28" s="3470">
        <f t="shared" si="28"/>
        <v>0</v>
      </c>
      <c r="BL28" s="3470">
        <f t="shared" si="28"/>
        <v>0</v>
      </c>
      <c r="BM28" s="3470">
        <f t="shared" si="28"/>
        <v>0</v>
      </c>
      <c r="BN28" s="3470">
        <f t="shared" si="28"/>
        <v>0</v>
      </c>
      <c r="BO28" s="3470">
        <f t="shared" si="28"/>
        <v>0</v>
      </c>
      <c r="BP28" s="3470">
        <f t="shared" si="28"/>
        <v>0</v>
      </c>
      <c r="BQ28" s="3470">
        <f t="shared" si="28"/>
        <v>0</v>
      </c>
      <c r="BR28" s="3470">
        <f t="shared" si="28"/>
        <v>0</v>
      </c>
      <c r="BS28" s="3470">
        <f t="shared" si="28"/>
        <v>0</v>
      </c>
      <c r="BT28" s="3470">
        <f t="shared" si="28"/>
        <v>0</v>
      </c>
      <c r="BU28" s="3470">
        <f t="shared" si="28"/>
        <v>0</v>
      </c>
      <c r="BV28" s="3470">
        <f t="shared" si="28"/>
        <v>0</v>
      </c>
      <c r="BW28" s="3470">
        <f t="shared" si="28"/>
        <v>0</v>
      </c>
      <c r="BX28" s="3397"/>
      <c r="BY28" s="3397"/>
    </row>
    <row r="29" spans="1:77" s="3417" customFormat="1">
      <c r="A29" s="3489" t="s">
        <v>3537</v>
      </c>
      <c r="B29" s="3489" t="s">
        <v>3538</v>
      </c>
      <c r="C29" s="3415">
        <v>141.43</v>
      </c>
      <c r="D29" s="3415">
        <v>103.54</v>
      </c>
      <c r="E29" s="3415">
        <v>141.43</v>
      </c>
      <c r="F29" s="3421" t="s">
        <v>3539</v>
      </c>
      <c r="G29" s="3537" t="s">
        <v>3540</v>
      </c>
      <c r="H29" s="3522">
        <v>31188.26</v>
      </c>
      <c r="I29" s="3672"/>
      <c r="J29" s="3522">
        <v>7.25</v>
      </c>
      <c r="K29" s="3416">
        <v>35</v>
      </c>
      <c r="L29" s="3416">
        <v>4950.05</v>
      </c>
      <c r="M29" s="3416"/>
      <c r="N29" s="3416">
        <f>L29*3</f>
        <v>14850.150000000001</v>
      </c>
      <c r="O29" s="3416">
        <f>H29*3</f>
        <v>93564.78</v>
      </c>
      <c r="P29" s="3416">
        <f>N29+O29</f>
        <v>108414.93</v>
      </c>
      <c r="Q29" s="3522"/>
      <c r="R29" s="3522"/>
      <c r="S29" s="3416">
        <v>108414.93</v>
      </c>
      <c r="T29" s="3732">
        <f>H29/E29/30</f>
        <v>7.3506941007329889</v>
      </c>
      <c r="U29" s="3732"/>
      <c r="V29" s="3680">
        <f>W29-H29</f>
        <v>-31188.26</v>
      </c>
      <c r="W29" s="3470"/>
      <c r="X29" s="3505">
        <f t="shared" si="12"/>
        <v>373233.77</v>
      </c>
      <c r="Y29" s="3505">
        <f t="shared" si="20"/>
        <v>374259.13750000001</v>
      </c>
      <c r="Z29" s="3505">
        <f t="shared" si="27"/>
        <v>373233.77</v>
      </c>
      <c r="AA29" s="3505">
        <f t="shared" si="27"/>
        <v>373233.77</v>
      </c>
      <c r="AB29" s="3470">
        <f t="shared" si="27"/>
        <v>373233.77</v>
      </c>
      <c r="AC29" s="3470">
        <f t="shared" si="27"/>
        <v>374259.13750000001</v>
      </c>
      <c r="AD29" s="3470">
        <f t="shared" si="27"/>
        <v>373233.77</v>
      </c>
      <c r="AE29" s="3470">
        <f t="shared" si="27"/>
        <v>373233.77</v>
      </c>
      <c r="AF29" s="3470">
        <f t="shared" si="28"/>
        <v>373233.77</v>
      </c>
      <c r="AG29" s="3470">
        <f t="shared" si="28"/>
        <v>374259.13750000001</v>
      </c>
      <c r="AH29" s="3470">
        <f t="shared" si="28"/>
        <v>373233.77</v>
      </c>
      <c r="AI29" s="3470">
        <f t="shared" si="28"/>
        <v>373233.77</v>
      </c>
      <c r="AJ29" s="3470">
        <f t="shared" si="28"/>
        <v>373233.77</v>
      </c>
      <c r="AK29" s="3470">
        <f t="shared" si="28"/>
        <v>374259.13750000001</v>
      </c>
      <c r="AL29" s="3470">
        <f t="shared" si="28"/>
        <v>373233.77</v>
      </c>
      <c r="AM29" s="3470">
        <f t="shared" si="28"/>
        <v>373233.77</v>
      </c>
      <c r="AN29" s="3470">
        <f t="shared" si="28"/>
        <v>373233.77</v>
      </c>
      <c r="AO29" s="3470">
        <f t="shared" si="28"/>
        <v>374259.13750000001</v>
      </c>
      <c r="AP29" s="3470">
        <f t="shared" si="28"/>
        <v>373233.77</v>
      </c>
      <c r="AQ29" s="3470">
        <f t="shared" si="28"/>
        <v>373233.77</v>
      </c>
      <c r="AR29" s="3470">
        <f t="shared" si="28"/>
        <v>373233.77</v>
      </c>
      <c r="AS29" s="3470">
        <f t="shared" si="28"/>
        <v>374259.13750000001</v>
      </c>
      <c r="AT29" s="3470">
        <f t="shared" si="28"/>
        <v>373233.77</v>
      </c>
      <c r="AU29" s="3470">
        <f t="shared" si="28"/>
        <v>373233.77</v>
      </c>
      <c r="AV29" s="3470">
        <f t="shared" si="28"/>
        <v>373233.77</v>
      </c>
      <c r="AW29" s="3470">
        <f t="shared" si="28"/>
        <v>374259.13750000001</v>
      </c>
      <c r="AX29" s="3470">
        <f t="shared" si="28"/>
        <v>373233.77</v>
      </c>
      <c r="AY29" s="3470">
        <f t="shared" si="28"/>
        <v>373233.77</v>
      </c>
      <c r="AZ29" s="3470">
        <f t="shared" si="28"/>
        <v>373233.77</v>
      </c>
      <c r="BA29" s="3470">
        <f t="shared" si="28"/>
        <v>374259.13750000001</v>
      </c>
      <c r="BB29" s="3470">
        <f t="shared" si="28"/>
        <v>373233.77</v>
      </c>
      <c r="BC29" s="3470">
        <f t="shared" si="28"/>
        <v>373233.77</v>
      </c>
      <c r="BD29" s="3470">
        <f t="shared" si="28"/>
        <v>373233.77</v>
      </c>
      <c r="BE29" s="3470">
        <f t="shared" si="28"/>
        <v>374259.13750000001</v>
      </c>
      <c r="BF29" s="3470">
        <f t="shared" si="28"/>
        <v>373233.77</v>
      </c>
      <c r="BG29" s="3470">
        <f t="shared" si="28"/>
        <v>373233.77</v>
      </c>
      <c r="BH29" s="3470">
        <f t="shared" si="28"/>
        <v>373233.77</v>
      </c>
      <c r="BI29" s="3470">
        <f t="shared" si="28"/>
        <v>374259.13750000001</v>
      </c>
      <c r="BJ29" s="3470">
        <f t="shared" si="28"/>
        <v>373233.77</v>
      </c>
      <c r="BK29" s="3470">
        <f t="shared" si="28"/>
        <v>373233.77</v>
      </c>
      <c r="BL29" s="3470">
        <f t="shared" si="28"/>
        <v>373233.77</v>
      </c>
      <c r="BM29" s="3470">
        <f t="shared" si="28"/>
        <v>374259.13750000001</v>
      </c>
      <c r="BN29" s="3470">
        <f t="shared" si="28"/>
        <v>373233.77</v>
      </c>
      <c r="BO29" s="3470">
        <f t="shared" si="28"/>
        <v>373233.77</v>
      </c>
      <c r="BP29" s="3470">
        <f t="shared" si="28"/>
        <v>373233.77</v>
      </c>
      <c r="BQ29" s="3470">
        <f t="shared" si="28"/>
        <v>374259.13750000001</v>
      </c>
      <c r="BR29" s="3470">
        <f t="shared" si="28"/>
        <v>373233.77</v>
      </c>
      <c r="BS29" s="3470">
        <f t="shared" si="28"/>
        <v>373233.77</v>
      </c>
      <c r="BT29" s="3470">
        <f t="shared" si="28"/>
        <v>373233.77</v>
      </c>
      <c r="BU29" s="3470">
        <f t="shared" si="28"/>
        <v>374259.13750000001</v>
      </c>
      <c r="BV29" s="3470">
        <f t="shared" si="28"/>
        <v>373233.77</v>
      </c>
      <c r="BW29" s="3470">
        <f t="shared" si="28"/>
        <v>373233.77</v>
      </c>
      <c r="BX29" s="3397"/>
      <c r="BY29" s="3397"/>
    </row>
    <row r="30" spans="1:77" s="3409" customFormat="1">
      <c r="A30" s="3499"/>
      <c r="B30" s="3499" t="s">
        <v>3541</v>
      </c>
      <c r="C30" s="4298">
        <v>225.51</v>
      </c>
      <c r="D30" s="4298">
        <v>165.09</v>
      </c>
      <c r="E30" s="3495"/>
      <c r="F30" s="3440"/>
      <c r="G30" s="3497"/>
      <c r="H30" s="3497"/>
      <c r="I30" s="3679"/>
      <c r="J30" s="3497"/>
      <c r="K30" s="3496"/>
      <c r="L30" s="3496"/>
      <c r="M30" s="3496"/>
      <c r="N30" s="3496"/>
      <c r="O30" s="3496"/>
      <c r="P30" s="3496"/>
      <c r="Q30" s="3497"/>
      <c r="R30" s="3496"/>
      <c r="S30" s="3496"/>
      <c r="T30" s="3462"/>
      <c r="U30" s="3462"/>
      <c r="V30" s="3470"/>
      <c r="W30" s="3470"/>
      <c r="X30" s="3505">
        <f t="shared" si="12"/>
        <v>0</v>
      </c>
      <c r="Y30" s="3505">
        <f t="shared" si="20"/>
        <v>0</v>
      </c>
      <c r="Z30" s="3505">
        <f t="shared" si="27"/>
        <v>0</v>
      </c>
      <c r="AA30" s="3505">
        <f t="shared" si="27"/>
        <v>0</v>
      </c>
      <c r="AB30" s="3470">
        <f t="shared" si="27"/>
        <v>0</v>
      </c>
      <c r="AC30" s="3470">
        <f t="shared" si="27"/>
        <v>0</v>
      </c>
      <c r="AD30" s="3470">
        <f t="shared" si="27"/>
        <v>0</v>
      </c>
      <c r="AE30" s="3470">
        <f t="shared" si="27"/>
        <v>0</v>
      </c>
      <c r="AF30" s="3470">
        <f t="shared" si="28"/>
        <v>0</v>
      </c>
      <c r="AG30" s="3470">
        <f t="shared" si="28"/>
        <v>0</v>
      </c>
      <c r="AH30" s="3470">
        <f t="shared" si="28"/>
        <v>0</v>
      </c>
      <c r="AI30" s="3470">
        <f t="shared" si="28"/>
        <v>0</v>
      </c>
      <c r="AJ30" s="3470">
        <f t="shared" si="28"/>
        <v>0</v>
      </c>
      <c r="AK30" s="3470">
        <f t="shared" si="28"/>
        <v>0</v>
      </c>
      <c r="AL30" s="3470">
        <f t="shared" si="28"/>
        <v>0</v>
      </c>
      <c r="AM30" s="3470">
        <f t="shared" si="28"/>
        <v>0</v>
      </c>
      <c r="AN30" s="3470">
        <f t="shared" si="28"/>
        <v>0</v>
      </c>
      <c r="AO30" s="3470">
        <f t="shared" si="28"/>
        <v>0</v>
      </c>
      <c r="AP30" s="3470">
        <f t="shared" si="28"/>
        <v>0</v>
      </c>
      <c r="AQ30" s="3470">
        <f t="shared" si="28"/>
        <v>0</v>
      </c>
      <c r="AR30" s="3470">
        <f t="shared" si="28"/>
        <v>0</v>
      </c>
      <c r="AS30" s="3470">
        <f t="shared" si="28"/>
        <v>0</v>
      </c>
      <c r="AT30" s="3470">
        <f t="shared" si="28"/>
        <v>0</v>
      </c>
      <c r="AU30" s="3470">
        <f t="shared" si="28"/>
        <v>0</v>
      </c>
      <c r="AV30" s="3470">
        <f t="shared" si="28"/>
        <v>0</v>
      </c>
      <c r="AW30" s="3470">
        <f t="shared" si="28"/>
        <v>0</v>
      </c>
      <c r="AX30" s="3470">
        <f t="shared" si="28"/>
        <v>0</v>
      </c>
      <c r="AY30" s="3470">
        <f t="shared" si="28"/>
        <v>0</v>
      </c>
      <c r="AZ30" s="3470">
        <f t="shared" si="28"/>
        <v>0</v>
      </c>
      <c r="BA30" s="3470">
        <f t="shared" si="28"/>
        <v>0</v>
      </c>
      <c r="BB30" s="3470">
        <f t="shared" si="28"/>
        <v>0</v>
      </c>
      <c r="BC30" s="3470">
        <f t="shared" si="28"/>
        <v>0</v>
      </c>
      <c r="BD30" s="3470">
        <f t="shared" si="28"/>
        <v>0</v>
      </c>
      <c r="BE30" s="3470">
        <f t="shared" si="28"/>
        <v>0</v>
      </c>
      <c r="BF30" s="3470">
        <f t="shared" si="28"/>
        <v>0</v>
      </c>
      <c r="BG30" s="3470">
        <f t="shared" si="28"/>
        <v>0</v>
      </c>
      <c r="BH30" s="3470">
        <f t="shared" si="28"/>
        <v>0</v>
      </c>
      <c r="BI30" s="3470">
        <f t="shared" si="28"/>
        <v>0</v>
      </c>
      <c r="BJ30" s="3470">
        <f t="shared" si="28"/>
        <v>0</v>
      </c>
      <c r="BK30" s="3470">
        <f t="shared" si="28"/>
        <v>0</v>
      </c>
      <c r="BL30" s="3470">
        <f t="shared" si="28"/>
        <v>0</v>
      </c>
      <c r="BM30" s="3470">
        <f t="shared" si="28"/>
        <v>0</v>
      </c>
      <c r="BN30" s="3470">
        <f t="shared" ref="AF30:BW37" si="29">$C30*$J30*(BN$2-BN$1)</f>
        <v>0</v>
      </c>
      <c r="BO30" s="3470">
        <f t="shared" si="29"/>
        <v>0</v>
      </c>
      <c r="BP30" s="3470">
        <f t="shared" si="29"/>
        <v>0</v>
      </c>
      <c r="BQ30" s="3470">
        <f t="shared" si="29"/>
        <v>0</v>
      </c>
      <c r="BR30" s="3470">
        <f t="shared" si="29"/>
        <v>0</v>
      </c>
      <c r="BS30" s="3470">
        <f t="shared" si="29"/>
        <v>0</v>
      </c>
      <c r="BT30" s="3470">
        <f t="shared" si="29"/>
        <v>0</v>
      </c>
      <c r="BU30" s="3470">
        <f t="shared" si="29"/>
        <v>0</v>
      </c>
      <c r="BV30" s="3470">
        <f t="shared" si="29"/>
        <v>0</v>
      </c>
      <c r="BW30" s="3470">
        <f t="shared" si="29"/>
        <v>0</v>
      </c>
      <c r="BX30" s="3397"/>
      <c r="BY30" s="3397"/>
    </row>
    <row r="31" spans="1:77" s="3409" customFormat="1">
      <c r="A31" s="3499"/>
      <c r="B31" s="3499" t="s">
        <v>3542</v>
      </c>
      <c r="C31" s="4299"/>
      <c r="D31" s="4299"/>
      <c r="E31" s="3495"/>
      <c r="F31" s="3440"/>
      <c r="G31" s="3497"/>
      <c r="H31" s="3497"/>
      <c r="I31" s="3679"/>
      <c r="J31" s="3497"/>
      <c r="K31" s="3496"/>
      <c r="L31" s="3496"/>
      <c r="M31" s="3496"/>
      <c r="N31" s="3496"/>
      <c r="O31" s="3496"/>
      <c r="P31" s="3496"/>
      <c r="Q31" s="3497"/>
      <c r="R31" s="3496"/>
      <c r="S31" s="3496"/>
      <c r="T31" s="3462"/>
      <c r="U31" s="3462"/>
      <c r="V31" s="3470"/>
      <c r="W31" s="3470"/>
      <c r="X31" s="3505">
        <f t="shared" si="12"/>
        <v>0</v>
      </c>
      <c r="Y31" s="3505">
        <f t="shared" si="20"/>
        <v>0</v>
      </c>
      <c r="Z31" s="3505">
        <f t="shared" si="27"/>
        <v>0</v>
      </c>
      <c r="AA31" s="3505">
        <f t="shared" si="27"/>
        <v>0</v>
      </c>
      <c r="AB31" s="3470">
        <f t="shared" si="27"/>
        <v>0</v>
      </c>
      <c r="AC31" s="3470">
        <f t="shared" si="27"/>
        <v>0</v>
      </c>
      <c r="AD31" s="3470">
        <f t="shared" si="27"/>
        <v>0</v>
      </c>
      <c r="AE31" s="3470">
        <f t="shared" si="27"/>
        <v>0</v>
      </c>
      <c r="AF31" s="3470">
        <f t="shared" si="29"/>
        <v>0</v>
      </c>
      <c r="AG31" s="3470">
        <f t="shared" si="29"/>
        <v>0</v>
      </c>
      <c r="AH31" s="3470">
        <f t="shared" si="29"/>
        <v>0</v>
      </c>
      <c r="AI31" s="3470">
        <f t="shared" si="29"/>
        <v>0</v>
      </c>
      <c r="AJ31" s="3470">
        <f t="shared" si="29"/>
        <v>0</v>
      </c>
      <c r="AK31" s="3470">
        <f t="shared" si="29"/>
        <v>0</v>
      </c>
      <c r="AL31" s="3470">
        <f t="shared" si="29"/>
        <v>0</v>
      </c>
      <c r="AM31" s="3470">
        <f t="shared" si="29"/>
        <v>0</v>
      </c>
      <c r="AN31" s="3470">
        <f t="shared" si="29"/>
        <v>0</v>
      </c>
      <c r="AO31" s="3470">
        <f t="shared" si="29"/>
        <v>0</v>
      </c>
      <c r="AP31" s="3470">
        <f t="shared" si="29"/>
        <v>0</v>
      </c>
      <c r="AQ31" s="3470">
        <f t="shared" si="29"/>
        <v>0</v>
      </c>
      <c r="AR31" s="3470">
        <f t="shared" si="29"/>
        <v>0</v>
      </c>
      <c r="AS31" s="3470">
        <f t="shared" si="29"/>
        <v>0</v>
      </c>
      <c r="AT31" s="3470">
        <f t="shared" si="29"/>
        <v>0</v>
      </c>
      <c r="AU31" s="3470">
        <f t="shared" si="29"/>
        <v>0</v>
      </c>
      <c r="AV31" s="3470">
        <f t="shared" si="29"/>
        <v>0</v>
      </c>
      <c r="AW31" s="3470">
        <f t="shared" si="29"/>
        <v>0</v>
      </c>
      <c r="AX31" s="3470">
        <f t="shared" si="29"/>
        <v>0</v>
      </c>
      <c r="AY31" s="3470">
        <f t="shared" si="29"/>
        <v>0</v>
      </c>
      <c r="AZ31" s="3470">
        <f t="shared" si="29"/>
        <v>0</v>
      </c>
      <c r="BA31" s="3470">
        <f t="shared" si="29"/>
        <v>0</v>
      </c>
      <c r="BB31" s="3470">
        <f t="shared" si="29"/>
        <v>0</v>
      </c>
      <c r="BC31" s="3470">
        <f t="shared" si="29"/>
        <v>0</v>
      </c>
      <c r="BD31" s="3470">
        <f t="shared" si="29"/>
        <v>0</v>
      </c>
      <c r="BE31" s="3470">
        <f t="shared" si="29"/>
        <v>0</v>
      </c>
      <c r="BF31" s="3470">
        <f t="shared" si="29"/>
        <v>0</v>
      </c>
      <c r="BG31" s="3470">
        <f t="shared" si="29"/>
        <v>0</v>
      </c>
      <c r="BH31" s="3470">
        <f t="shared" si="29"/>
        <v>0</v>
      </c>
      <c r="BI31" s="3470">
        <f t="shared" si="29"/>
        <v>0</v>
      </c>
      <c r="BJ31" s="3470">
        <f t="shared" si="29"/>
        <v>0</v>
      </c>
      <c r="BK31" s="3470">
        <f t="shared" si="29"/>
        <v>0</v>
      </c>
      <c r="BL31" s="3470">
        <f t="shared" si="29"/>
        <v>0</v>
      </c>
      <c r="BM31" s="3470">
        <f t="shared" si="29"/>
        <v>0</v>
      </c>
      <c r="BN31" s="3470">
        <f t="shared" si="29"/>
        <v>0</v>
      </c>
      <c r="BO31" s="3470">
        <f t="shared" si="29"/>
        <v>0</v>
      </c>
      <c r="BP31" s="3470">
        <f t="shared" si="29"/>
        <v>0</v>
      </c>
      <c r="BQ31" s="3470">
        <f t="shared" si="29"/>
        <v>0</v>
      </c>
      <c r="BR31" s="3470">
        <f t="shared" si="29"/>
        <v>0</v>
      </c>
      <c r="BS31" s="3470">
        <f t="shared" si="29"/>
        <v>0</v>
      </c>
      <c r="BT31" s="3470">
        <f t="shared" si="29"/>
        <v>0</v>
      </c>
      <c r="BU31" s="3470">
        <f t="shared" si="29"/>
        <v>0</v>
      </c>
      <c r="BV31" s="3470">
        <f t="shared" si="29"/>
        <v>0</v>
      </c>
      <c r="BW31" s="3470">
        <f t="shared" si="29"/>
        <v>0</v>
      </c>
      <c r="BX31" s="3397"/>
      <c r="BY31" s="3397"/>
    </row>
    <row r="32" spans="1:77" s="3417" customFormat="1" ht="28.5">
      <c r="A32" s="3489" t="s">
        <v>3543</v>
      </c>
      <c r="B32" s="3489" t="s">
        <v>3544</v>
      </c>
      <c r="C32" s="3415"/>
      <c r="D32" s="3415"/>
      <c r="E32" s="3416"/>
      <c r="F32" s="3518" t="s">
        <v>3545</v>
      </c>
      <c r="G32" s="3522" t="s">
        <v>3546</v>
      </c>
      <c r="H32" s="3416">
        <v>109597.09</v>
      </c>
      <c r="I32" s="3673">
        <f>J32*30*C32</f>
        <v>0</v>
      </c>
      <c r="J32" s="3416">
        <v>8.35</v>
      </c>
      <c r="K32" s="3416">
        <v>35</v>
      </c>
      <c r="L32" s="3416">
        <v>15103.2</v>
      </c>
      <c r="M32" s="3416"/>
      <c r="N32" s="3416">
        <f>L32*3</f>
        <v>45309.600000000006</v>
      </c>
      <c r="O32" s="3416">
        <f>H32*3</f>
        <v>328791.27</v>
      </c>
      <c r="P32" s="3416">
        <f>N32+O32</f>
        <v>374100.87</v>
      </c>
      <c r="Q32" s="3416"/>
      <c r="R32" s="3441"/>
      <c r="S32" s="3416">
        <f>354412.77+19688.1</f>
        <v>374100.87</v>
      </c>
      <c r="T32" s="3732"/>
      <c r="U32" s="3732"/>
      <c r="V32" s="3470"/>
      <c r="W32" s="3470"/>
      <c r="X32" s="3505">
        <f t="shared" ref="X32:AM38" si="30">$C32*$J32*(X$2-X$1)</f>
        <v>0</v>
      </c>
      <c r="Y32" s="3505">
        <f t="shared" si="30"/>
        <v>0</v>
      </c>
      <c r="Z32" s="3505">
        <f t="shared" si="30"/>
        <v>0</v>
      </c>
      <c r="AA32" s="3505">
        <f t="shared" si="30"/>
        <v>0</v>
      </c>
      <c r="AB32" s="3470">
        <f t="shared" si="30"/>
        <v>0</v>
      </c>
      <c r="AC32" s="3470">
        <f t="shared" si="30"/>
        <v>0</v>
      </c>
      <c r="AD32" s="3470">
        <f t="shared" si="30"/>
        <v>0</v>
      </c>
      <c r="AE32" s="3470">
        <f t="shared" si="30"/>
        <v>0</v>
      </c>
      <c r="AF32" s="3470">
        <f t="shared" si="30"/>
        <v>0</v>
      </c>
      <c r="AG32" s="3470">
        <f t="shared" si="30"/>
        <v>0</v>
      </c>
      <c r="AH32" s="3470">
        <f t="shared" si="30"/>
        <v>0</v>
      </c>
      <c r="AI32" s="3470">
        <f t="shared" si="30"/>
        <v>0</v>
      </c>
      <c r="AJ32" s="3470">
        <f t="shared" si="30"/>
        <v>0</v>
      </c>
      <c r="AK32" s="3470">
        <f t="shared" si="30"/>
        <v>0</v>
      </c>
      <c r="AL32" s="3470">
        <f t="shared" si="30"/>
        <v>0</v>
      </c>
      <c r="AM32" s="3470">
        <f t="shared" si="30"/>
        <v>0</v>
      </c>
      <c r="AN32" s="3470">
        <f t="shared" si="29"/>
        <v>0</v>
      </c>
      <c r="AO32" s="3470">
        <f t="shared" si="29"/>
        <v>0</v>
      </c>
      <c r="AP32" s="3470">
        <f t="shared" si="29"/>
        <v>0</v>
      </c>
      <c r="AQ32" s="3470">
        <f t="shared" si="29"/>
        <v>0</v>
      </c>
      <c r="AR32" s="3470">
        <f t="shared" si="29"/>
        <v>0</v>
      </c>
      <c r="AS32" s="3470">
        <f t="shared" si="29"/>
        <v>0</v>
      </c>
      <c r="AT32" s="3470">
        <f t="shared" si="29"/>
        <v>0</v>
      </c>
      <c r="AU32" s="3470">
        <f t="shared" si="29"/>
        <v>0</v>
      </c>
      <c r="AV32" s="3470">
        <f t="shared" si="29"/>
        <v>0</v>
      </c>
      <c r="AW32" s="3470">
        <f t="shared" si="29"/>
        <v>0</v>
      </c>
      <c r="AX32" s="3470">
        <f t="shared" si="29"/>
        <v>0</v>
      </c>
      <c r="AY32" s="3470">
        <f t="shared" si="29"/>
        <v>0</v>
      </c>
      <c r="AZ32" s="3470">
        <f t="shared" si="29"/>
        <v>0</v>
      </c>
      <c r="BA32" s="3470">
        <f t="shared" si="29"/>
        <v>0</v>
      </c>
      <c r="BB32" s="3470">
        <f t="shared" si="29"/>
        <v>0</v>
      </c>
      <c r="BC32" s="3470">
        <f t="shared" si="29"/>
        <v>0</v>
      </c>
      <c r="BD32" s="3470">
        <f t="shared" si="29"/>
        <v>0</v>
      </c>
      <c r="BE32" s="3470">
        <f t="shared" si="29"/>
        <v>0</v>
      </c>
      <c r="BF32" s="3470">
        <f t="shared" si="29"/>
        <v>0</v>
      </c>
      <c r="BG32" s="3470">
        <f t="shared" si="29"/>
        <v>0</v>
      </c>
      <c r="BH32" s="3470">
        <f t="shared" si="29"/>
        <v>0</v>
      </c>
      <c r="BI32" s="3470">
        <f t="shared" si="29"/>
        <v>0</v>
      </c>
      <c r="BJ32" s="3470">
        <f t="shared" si="29"/>
        <v>0</v>
      </c>
      <c r="BK32" s="3470">
        <f t="shared" si="29"/>
        <v>0</v>
      </c>
      <c r="BL32" s="3470">
        <f t="shared" si="29"/>
        <v>0</v>
      </c>
      <c r="BM32" s="3470">
        <f t="shared" si="29"/>
        <v>0</v>
      </c>
      <c r="BN32" s="3470">
        <f t="shared" si="29"/>
        <v>0</v>
      </c>
      <c r="BO32" s="3470">
        <f t="shared" si="29"/>
        <v>0</v>
      </c>
      <c r="BP32" s="3470">
        <f t="shared" si="29"/>
        <v>0</v>
      </c>
      <c r="BQ32" s="3470">
        <f t="shared" si="29"/>
        <v>0</v>
      </c>
      <c r="BR32" s="3470">
        <f t="shared" si="29"/>
        <v>0</v>
      </c>
      <c r="BS32" s="3470">
        <f t="shared" si="29"/>
        <v>0</v>
      </c>
      <c r="BT32" s="3470">
        <f t="shared" si="29"/>
        <v>0</v>
      </c>
      <c r="BU32" s="3470">
        <f t="shared" si="29"/>
        <v>0</v>
      </c>
      <c r="BV32" s="3470">
        <f t="shared" si="29"/>
        <v>0</v>
      </c>
      <c r="BW32" s="3470">
        <f t="shared" si="29"/>
        <v>0</v>
      </c>
      <c r="BX32" s="3397"/>
      <c r="BY32" s="3397"/>
    </row>
    <row r="33" spans="1:77" s="3417" customFormat="1" ht="28.5">
      <c r="A33" s="3414" t="s">
        <v>3547</v>
      </c>
      <c r="B33" s="3414" t="s">
        <v>3548</v>
      </c>
      <c r="C33" s="3415">
        <v>280</v>
      </c>
      <c r="D33" s="4306">
        <v>204.92</v>
      </c>
      <c r="E33" s="3415">
        <v>280</v>
      </c>
      <c r="F33" s="3518" t="s">
        <v>3545</v>
      </c>
      <c r="G33" s="3442" t="s">
        <v>3549</v>
      </c>
      <c r="H33" s="3490">
        <v>45564.17</v>
      </c>
      <c r="I33" s="3673"/>
      <c r="J33" s="3490">
        <f>H33*12/365/280</f>
        <v>5.3500003913894325</v>
      </c>
      <c r="K33" s="3416">
        <v>35</v>
      </c>
      <c r="L33" s="3490">
        <v>9800</v>
      </c>
      <c r="M33" s="3490"/>
      <c r="N33" s="3490">
        <v>29400</v>
      </c>
      <c r="O33" s="3490">
        <v>136692.51</v>
      </c>
      <c r="P33" s="3490">
        <f>N33+O33</f>
        <v>166092.51</v>
      </c>
      <c r="Q33" s="3490"/>
      <c r="R33" s="3443"/>
      <c r="S33" s="3490">
        <v>166092.51</v>
      </c>
      <c r="T33" s="3732">
        <f>H33/E33/30</f>
        <v>5.4243059523809523</v>
      </c>
      <c r="U33" s="3732"/>
      <c r="V33" s="3470"/>
      <c r="W33" s="3470"/>
      <c r="X33" s="3505">
        <f t="shared" si="30"/>
        <v>545272.03989041096</v>
      </c>
      <c r="Y33" s="3505">
        <f t="shared" ref="Y33:BD33" si="31">$C33*$Y45*(Y$2-Y$1)</f>
        <v>664300</v>
      </c>
      <c r="Z33" s="3505">
        <f t="shared" si="31"/>
        <v>662480</v>
      </c>
      <c r="AA33" s="3505">
        <f t="shared" si="31"/>
        <v>662480</v>
      </c>
      <c r="AB33" s="3470">
        <f t="shared" si="31"/>
        <v>662480</v>
      </c>
      <c r="AC33" s="3470">
        <f t="shared" si="31"/>
        <v>664300</v>
      </c>
      <c r="AD33" s="3470">
        <f t="shared" si="31"/>
        <v>662480</v>
      </c>
      <c r="AE33" s="3470">
        <f t="shared" si="31"/>
        <v>662480</v>
      </c>
      <c r="AF33" s="3470">
        <f t="shared" si="31"/>
        <v>662480</v>
      </c>
      <c r="AG33" s="3470">
        <f t="shared" si="31"/>
        <v>664300</v>
      </c>
      <c r="AH33" s="3470">
        <f t="shared" si="31"/>
        <v>662480</v>
      </c>
      <c r="AI33" s="3470">
        <f t="shared" si="31"/>
        <v>662480</v>
      </c>
      <c r="AJ33" s="3470">
        <f t="shared" si="31"/>
        <v>662480</v>
      </c>
      <c r="AK33" s="3470">
        <f t="shared" si="31"/>
        <v>664300</v>
      </c>
      <c r="AL33" s="3470">
        <f t="shared" si="31"/>
        <v>662480</v>
      </c>
      <c r="AM33" s="3470">
        <f t="shared" si="31"/>
        <v>662480</v>
      </c>
      <c r="AN33" s="3470">
        <f t="shared" si="31"/>
        <v>662480</v>
      </c>
      <c r="AO33" s="3470">
        <f t="shared" si="31"/>
        <v>664300</v>
      </c>
      <c r="AP33" s="3470">
        <f t="shared" si="31"/>
        <v>662480</v>
      </c>
      <c r="AQ33" s="3470">
        <f t="shared" si="31"/>
        <v>662480</v>
      </c>
      <c r="AR33" s="3470">
        <f t="shared" si="31"/>
        <v>662480</v>
      </c>
      <c r="AS33" s="3470">
        <f t="shared" si="31"/>
        <v>664300</v>
      </c>
      <c r="AT33" s="3470">
        <f t="shared" si="31"/>
        <v>662480</v>
      </c>
      <c r="AU33" s="3470">
        <f t="shared" si="31"/>
        <v>662480</v>
      </c>
      <c r="AV33" s="3470">
        <f t="shared" si="31"/>
        <v>662480</v>
      </c>
      <c r="AW33" s="3470">
        <f t="shared" si="31"/>
        <v>664300</v>
      </c>
      <c r="AX33" s="3470">
        <f t="shared" si="31"/>
        <v>662480</v>
      </c>
      <c r="AY33" s="3470">
        <f t="shared" si="31"/>
        <v>662480</v>
      </c>
      <c r="AZ33" s="3470">
        <f t="shared" si="31"/>
        <v>662480</v>
      </c>
      <c r="BA33" s="3470">
        <f t="shared" si="31"/>
        <v>664300</v>
      </c>
      <c r="BB33" s="3470">
        <f t="shared" si="31"/>
        <v>662480</v>
      </c>
      <c r="BC33" s="3470">
        <f t="shared" si="31"/>
        <v>662480</v>
      </c>
      <c r="BD33" s="3470">
        <f t="shared" si="31"/>
        <v>662480</v>
      </c>
      <c r="BE33" s="3470">
        <f t="shared" ref="BE33:BW33" si="32">$C33*$Y45*(BE$2-BE$1)</f>
        <v>664300</v>
      </c>
      <c r="BF33" s="3470">
        <f t="shared" si="32"/>
        <v>662480</v>
      </c>
      <c r="BG33" s="3470">
        <f t="shared" si="32"/>
        <v>662480</v>
      </c>
      <c r="BH33" s="3470">
        <f t="shared" si="32"/>
        <v>662480</v>
      </c>
      <c r="BI33" s="3470">
        <f t="shared" si="32"/>
        <v>664300</v>
      </c>
      <c r="BJ33" s="3470">
        <f t="shared" si="32"/>
        <v>662480</v>
      </c>
      <c r="BK33" s="3470">
        <f t="shared" si="32"/>
        <v>662480</v>
      </c>
      <c r="BL33" s="3470">
        <f t="shared" si="32"/>
        <v>662480</v>
      </c>
      <c r="BM33" s="3470">
        <f t="shared" si="32"/>
        <v>664300</v>
      </c>
      <c r="BN33" s="3470">
        <f t="shared" si="32"/>
        <v>662480</v>
      </c>
      <c r="BO33" s="3470">
        <f t="shared" si="32"/>
        <v>662480</v>
      </c>
      <c r="BP33" s="3470">
        <f t="shared" si="32"/>
        <v>662480</v>
      </c>
      <c r="BQ33" s="3470">
        <f t="shared" si="32"/>
        <v>664300</v>
      </c>
      <c r="BR33" s="3470">
        <f t="shared" si="32"/>
        <v>662480</v>
      </c>
      <c r="BS33" s="3470">
        <f t="shared" si="32"/>
        <v>662480</v>
      </c>
      <c r="BT33" s="3470">
        <f t="shared" si="32"/>
        <v>662480</v>
      </c>
      <c r="BU33" s="3470">
        <f t="shared" si="32"/>
        <v>664300</v>
      </c>
      <c r="BV33" s="3470">
        <f t="shared" si="32"/>
        <v>662480</v>
      </c>
      <c r="BW33" s="3470">
        <f t="shared" si="32"/>
        <v>662480</v>
      </c>
      <c r="BX33" s="3397"/>
      <c r="BY33" s="3397"/>
    </row>
    <row r="34" spans="1:77" s="3417" customFormat="1">
      <c r="A34" s="3414" t="s">
        <v>3550</v>
      </c>
      <c r="B34" s="3414" t="s">
        <v>3551</v>
      </c>
      <c r="C34" s="3415">
        <v>151.52000000000001</v>
      </c>
      <c r="D34" s="4307"/>
      <c r="E34" s="3415">
        <v>151.52000000000001</v>
      </c>
      <c r="F34" s="3518" t="s">
        <v>3552</v>
      </c>
      <c r="G34" s="3442" t="s">
        <v>3549</v>
      </c>
      <c r="H34" s="3490">
        <v>24656.720000000001</v>
      </c>
      <c r="I34" s="3673"/>
      <c r="J34" s="3490">
        <f>H34*12/365/151.52</f>
        <v>5.3499992767354732</v>
      </c>
      <c r="K34" s="3416">
        <v>35</v>
      </c>
      <c r="L34" s="3490">
        <v>5303.2</v>
      </c>
      <c r="M34" s="3490"/>
      <c r="N34" s="3490">
        <v>15909.6</v>
      </c>
      <c r="O34" s="3490">
        <v>73970.16</v>
      </c>
      <c r="P34" s="3490">
        <f>N34+O34</f>
        <v>89879.760000000009</v>
      </c>
      <c r="Q34" s="3490"/>
      <c r="R34" s="3443"/>
      <c r="S34" s="3490">
        <v>89879.76</v>
      </c>
      <c r="T34" s="3732">
        <f>H34/E34/30</f>
        <v>5.4243048222456878</v>
      </c>
      <c r="U34" s="3732"/>
      <c r="V34" s="3470"/>
      <c r="W34" s="3470"/>
      <c r="X34" s="3505">
        <f t="shared" si="30"/>
        <v>295070.00810958905</v>
      </c>
      <c r="Y34" s="3505">
        <f t="shared" si="30"/>
        <v>295880.64</v>
      </c>
      <c r="Z34" s="3505">
        <f t="shared" si="30"/>
        <v>295070.00810958905</v>
      </c>
      <c r="AA34" s="3505">
        <f t="shared" ref="AA34:BF34" si="33">$C34*$Y45*(AA$2-AA$1)</f>
        <v>358496.32000000007</v>
      </c>
      <c r="AB34" s="3470">
        <f t="shared" si="33"/>
        <v>358496.32000000007</v>
      </c>
      <c r="AC34" s="3470">
        <f t="shared" si="33"/>
        <v>359481.2</v>
      </c>
      <c r="AD34" s="3470">
        <f t="shared" si="33"/>
        <v>358496.32000000007</v>
      </c>
      <c r="AE34" s="3470">
        <f t="shared" si="33"/>
        <v>358496.32000000007</v>
      </c>
      <c r="AF34" s="3470">
        <f t="shared" si="33"/>
        <v>358496.32000000007</v>
      </c>
      <c r="AG34" s="3470">
        <f t="shared" si="33"/>
        <v>359481.2</v>
      </c>
      <c r="AH34" s="3470">
        <f t="shared" si="33"/>
        <v>358496.32000000007</v>
      </c>
      <c r="AI34" s="3470">
        <f t="shared" si="33"/>
        <v>358496.32000000007</v>
      </c>
      <c r="AJ34" s="3470">
        <f t="shared" si="33"/>
        <v>358496.32000000007</v>
      </c>
      <c r="AK34" s="3470">
        <f t="shared" si="33"/>
        <v>359481.2</v>
      </c>
      <c r="AL34" s="3470">
        <f t="shared" si="33"/>
        <v>358496.32000000007</v>
      </c>
      <c r="AM34" s="3470">
        <f t="shared" si="33"/>
        <v>358496.32000000007</v>
      </c>
      <c r="AN34" s="3470">
        <f t="shared" si="33"/>
        <v>358496.32000000007</v>
      </c>
      <c r="AO34" s="3470">
        <f t="shared" si="33"/>
        <v>359481.2</v>
      </c>
      <c r="AP34" s="3470">
        <f t="shared" si="33"/>
        <v>358496.32000000007</v>
      </c>
      <c r="AQ34" s="3470">
        <f t="shared" si="33"/>
        <v>358496.32000000007</v>
      </c>
      <c r="AR34" s="3470">
        <f t="shared" si="33"/>
        <v>358496.32000000007</v>
      </c>
      <c r="AS34" s="3470">
        <f t="shared" si="33"/>
        <v>359481.2</v>
      </c>
      <c r="AT34" s="3470">
        <f t="shared" si="33"/>
        <v>358496.32000000007</v>
      </c>
      <c r="AU34" s="3470">
        <f t="shared" si="33"/>
        <v>358496.32000000007</v>
      </c>
      <c r="AV34" s="3470">
        <f t="shared" si="33"/>
        <v>358496.32000000007</v>
      </c>
      <c r="AW34" s="3470">
        <f t="shared" si="33"/>
        <v>359481.2</v>
      </c>
      <c r="AX34" s="3470">
        <f t="shared" si="33"/>
        <v>358496.32000000007</v>
      </c>
      <c r="AY34" s="3470">
        <f t="shared" si="33"/>
        <v>358496.32000000007</v>
      </c>
      <c r="AZ34" s="3470">
        <f t="shared" si="33"/>
        <v>358496.32000000007</v>
      </c>
      <c r="BA34" s="3470">
        <f t="shared" si="33"/>
        <v>359481.2</v>
      </c>
      <c r="BB34" s="3470">
        <f t="shared" si="33"/>
        <v>358496.32000000007</v>
      </c>
      <c r="BC34" s="3470">
        <f t="shared" si="33"/>
        <v>358496.32000000007</v>
      </c>
      <c r="BD34" s="3470">
        <f t="shared" si="33"/>
        <v>358496.32000000007</v>
      </c>
      <c r="BE34" s="3470">
        <f t="shared" si="33"/>
        <v>359481.2</v>
      </c>
      <c r="BF34" s="3470">
        <f t="shared" si="33"/>
        <v>358496.32000000007</v>
      </c>
      <c r="BG34" s="3470">
        <f t="shared" ref="BG34:BW34" si="34">$C34*$Y45*(BG$2-BG$1)</f>
        <v>358496.32000000007</v>
      </c>
      <c r="BH34" s="3470">
        <f t="shared" si="34"/>
        <v>358496.32000000007</v>
      </c>
      <c r="BI34" s="3470">
        <f t="shared" si="34"/>
        <v>359481.2</v>
      </c>
      <c r="BJ34" s="3470">
        <f t="shared" si="34"/>
        <v>358496.32000000007</v>
      </c>
      <c r="BK34" s="3470">
        <f t="shared" si="34"/>
        <v>358496.32000000007</v>
      </c>
      <c r="BL34" s="3470">
        <f t="shared" si="34"/>
        <v>358496.32000000007</v>
      </c>
      <c r="BM34" s="3470">
        <f t="shared" si="34"/>
        <v>359481.2</v>
      </c>
      <c r="BN34" s="3470">
        <f t="shared" si="34"/>
        <v>358496.32000000007</v>
      </c>
      <c r="BO34" s="3470">
        <f t="shared" si="34"/>
        <v>358496.32000000007</v>
      </c>
      <c r="BP34" s="3470">
        <f t="shared" si="34"/>
        <v>358496.32000000007</v>
      </c>
      <c r="BQ34" s="3470">
        <f t="shared" si="34"/>
        <v>359481.2</v>
      </c>
      <c r="BR34" s="3470">
        <f t="shared" si="34"/>
        <v>358496.32000000007</v>
      </c>
      <c r="BS34" s="3470">
        <f t="shared" si="34"/>
        <v>358496.32000000007</v>
      </c>
      <c r="BT34" s="3470">
        <f t="shared" si="34"/>
        <v>358496.32000000007</v>
      </c>
      <c r="BU34" s="3470">
        <f t="shared" si="34"/>
        <v>359481.2</v>
      </c>
      <c r="BV34" s="3470">
        <f t="shared" si="34"/>
        <v>358496.32000000007</v>
      </c>
      <c r="BW34" s="3470">
        <f t="shared" si="34"/>
        <v>358496.32000000007</v>
      </c>
      <c r="BX34" s="3397"/>
      <c r="BY34" s="3397"/>
    </row>
    <row r="35" spans="1:77" s="3417" customFormat="1">
      <c r="A35" s="4290" t="s">
        <v>3553</v>
      </c>
      <c r="B35" s="3489" t="s">
        <v>3554</v>
      </c>
      <c r="C35" s="3415">
        <v>376.8</v>
      </c>
      <c r="D35" s="3415">
        <v>386.83</v>
      </c>
      <c r="E35" s="4291">
        <v>679.8</v>
      </c>
      <c r="F35" s="4293" t="s">
        <v>3555</v>
      </c>
      <c r="G35" s="4288" t="s">
        <v>3556</v>
      </c>
      <c r="H35" s="4295">
        <v>100284.66</v>
      </c>
      <c r="I35" s="4296">
        <f>J35*30*(C36+C35)</f>
        <v>98910.9</v>
      </c>
      <c r="J35" s="4288">
        <v>4.8499999999999996</v>
      </c>
      <c r="K35" s="4288">
        <v>35</v>
      </c>
      <c r="L35" s="4284">
        <v>23793</v>
      </c>
      <c r="M35" s="4288"/>
      <c r="N35" s="4284">
        <f>L35*3</f>
        <v>71379</v>
      </c>
      <c r="O35" s="4284">
        <f>H35*3</f>
        <v>300853.98</v>
      </c>
      <c r="P35" s="4284">
        <f>N35+O35</f>
        <v>372232.98</v>
      </c>
      <c r="Q35" s="4284"/>
      <c r="R35" s="4284"/>
      <c r="S35" s="4284">
        <v>372232.98</v>
      </c>
      <c r="T35" s="3732">
        <f>H35/E35/30</f>
        <v>4.9173609885260374</v>
      </c>
      <c r="U35" s="3734"/>
      <c r="V35" s="3470"/>
      <c r="W35" s="3470"/>
      <c r="X35" s="3505">
        <f t="shared" si="30"/>
        <v>665202.72</v>
      </c>
      <c r="Y35" s="3505">
        <f t="shared" ref="Y35:BD35" si="35">$C35*$Y45*(Y$2-Y$1)</f>
        <v>893958.00000000012</v>
      </c>
      <c r="Z35" s="3505">
        <f t="shared" si="35"/>
        <v>891508.8</v>
      </c>
      <c r="AA35" s="3505">
        <f t="shared" si="35"/>
        <v>891508.8</v>
      </c>
      <c r="AB35" s="3470">
        <f t="shared" si="35"/>
        <v>891508.8</v>
      </c>
      <c r="AC35" s="3470">
        <f t="shared" si="35"/>
        <v>893958.00000000012</v>
      </c>
      <c r="AD35" s="3470">
        <f t="shared" si="35"/>
        <v>891508.8</v>
      </c>
      <c r="AE35" s="3470">
        <f t="shared" si="35"/>
        <v>891508.8</v>
      </c>
      <c r="AF35" s="3470">
        <f t="shared" si="35"/>
        <v>891508.8</v>
      </c>
      <c r="AG35" s="3470">
        <f t="shared" si="35"/>
        <v>893958.00000000012</v>
      </c>
      <c r="AH35" s="3470">
        <f t="shared" si="35"/>
        <v>891508.8</v>
      </c>
      <c r="AI35" s="3470">
        <f t="shared" si="35"/>
        <v>891508.8</v>
      </c>
      <c r="AJ35" s="3470">
        <f t="shared" si="35"/>
        <v>891508.8</v>
      </c>
      <c r="AK35" s="3470">
        <f t="shared" si="35"/>
        <v>893958.00000000012</v>
      </c>
      <c r="AL35" s="3470">
        <f t="shared" si="35"/>
        <v>891508.8</v>
      </c>
      <c r="AM35" s="3470">
        <f t="shared" si="35"/>
        <v>891508.8</v>
      </c>
      <c r="AN35" s="3470">
        <f t="shared" si="35"/>
        <v>891508.8</v>
      </c>
      <c r="AO35" s="3470">
        <f t="shared" si="35"/>
        <v>893958.00000000012</v>
      </c>
      <c r="AP35" s="3470">
        <f t="shared" si="35"/>
        <v>891508.8</v>
      </c>
      <c r="AQ35" s="3470">
        <f t="shared" si="35"/>
        <v>891508.8</v>
      </c>
      <c r="AR35" s="3470">
        <f t="shared" si="35"/>
        <v>891508.8</v>
      </c>
      <c r="AS35" s="3470">
        <f t="shared" si="35"/>
        <v>893958.00000000012</v>
      </c>
      <c r="AT35" s="3470">
        <f t="shared" si="35"/>
        <v>891508.8</v>
      </c>
      <c r="AU35" s="3470">
        <f t="shared" si="35"/>
        <v>891508.8</v>
      </c>
      <c r="AV35" s="3470">
        <f t="shared" si="35"/>
        <v>891508.8</v>
      </c>
      <c r="AW35" s="3470">
        <f t="shared" si="35"/>
        <v>893958.00000000012</v>
      </c>
      <c r="AX35" s="3470">
        <f t="shared" si="35"/>
        <v>891508.8</v>
      </c>
      <c r="AY35" s="3470">
        <f t="shared" si="35"/>
        <v>891508.8</v>
      </c>
      <c r="AZ35" s="3470">
        <f t="shared" si="35"/>
        <v>891508.8</v>
      </c>
      <c r="BA35" s="3470">
        <f t="shared" si="35"/>
        <v>893958.00000000012</v>
      </c>
      <c r="BB35" s="3470">
        <f t="shared" si="35"/>
        <v>891508.8</v>
      </c>
      <c r="BC35" s="3470">
        <f t="shared" si="35"/>
        <v>891508.8</v>
      </c>
      <c r="BD35" s="3470">
        <f t="shared" si="35"/>
        <v>891508.8</v>
      </c>
      <c r="BE35" s="3470">
        <f t="shared" ref="BE35:BW35" si="36">$C35*$Y45*(BE$2-BE$1)</f>
        <v>893958.00000000012</v>
      </c>
      <c r="BF35" s="3470">
        <f t="shared" si="36"/>
        <v>891508.8</v>
      </c>
      <c r="BG35" s="3470">
        <f t="shared" si="36"/>
        <v>891508.8</v>
      </c>
      <c r="BH35" s="3470">
        <f t="shared" si="36"/>
        <v>891508.8</v>
      </c>
      <c r="BI35" s="3470">
        <f t="shared" si="36"/>
        <v>893958.00000000012</v>
      </c>
      <c r="BJ35" s="3470">
        <f t="shared" si="36"/>
        <v>891508.8</v>
      </c>
      <c r="BK35" s="3470">
        <f t="shared" si="36"/>
        <v>891508.8</v>
      </c>
      <c r="BL35" s="3470">
        <f t="shared" si="36"/>
        <v>891508.8</v>
      </c>
      <c r="BM35" s="3470">
        <f t="shared" si="36"/>
        <v>893958.00000000012</v>
      </c>
      <c r="BN35" s="3470">
        <f t="shared" si="36"/>
        <v>891508.8</v>
      </c>
      <c r="BO35" s="3470">
        <f t="shared" si="36"/>
        <v>891508.8</v>
      </c>
      <c r="BP35" s="3470">
        <f t="shared" si="36"/>
        <v>891508.8</v>
      </c>
      <c r="BQ35" s="3470">
        <f t="shared" si="36"/>
        <v>893958.00000000012</v>
      </c>
      <c r="BR35" s="3470">
        <f t="shared" si="36"/>
        <v>891508.8</v>
      </c>
      <c r="BS35" s="3470">
        <f t="shared" si="36"/>
        <v>891508.8</v>
      </c>
      <c r="BT35" s="3470">
        <f t="shared" si="36"/>
        <v>891508.8</v>
      </c>
      <c r="BU35" s="3470">
        <f t="shared" si="36"/>
        <v>893958.00000000012</v>
      </c>
      <c r="BV35" s="3470">
        <f t="shared" si="36"/>
        <v>891508.8</v>
      </c>
      <c r="BW35" s="3470">
        <f t="shared" si="36"/>
        <v>891508.8</v>
      </c>
      <c r="BX35" s="3397"/>
      <c r="BY35" s="3397"/>
    </row>
    <row r="36" spans="1:77" s="3417" customFormat="1">
      <c r="A36" s="4290"/>
      <c r="B36" s="3489" t="s">
        <v>3557</v>
      </c>
      <c r="C36" s="3415">
        <v>303</v>
      </c>
      <c r="D36" s="3415">
        <v>221.82</v>
      </c>
      <c r="E36" s="4292"/>
      <c r="F36" s="4294"/>
      <c r="G36" s="4289"/>
      <c r="H36" s="4289"/>
      <c r="I36" s="4297"/>
      <c r="J36" s="4289"/>
      <c r="K36" s="4289"/>
      <c r="L36" s="4285"/>
      <c r="M36" s="4289"/>
      <c r="N36" s="4285"/>
      <c r="O36" s="4285"/>
      <c r="P36" s="4285"/>
      <c r="Q36" s="4285"/>
      <c r="R36" s="4285"/>
      <c r="S36" s="4285"/>
      <c r="T36" s="3734"/>
      <c r="U36" s="3734"/>
      <c r="V36" s="3470"/>
      <c r="W36" s="3470"/>
      <c r="X36" s="3505">
        <f t="shared" si="30"/>
        <v>0</v>
      </c>
      <c r="Y36" s="3505">
        <f t="shared" si="30"/>
        <v>0</v>
      </c>
      <c r="Z36" s="3505">
        <f t="shared" si="30"/>
        <v>0</v>
      </c>
      <c r="AA36" s="3505">
        <f t="shared" si="30"/>
        <v>0</v>
      </c>
      <c r="AB36" s="3470">
        <f t="shared" si="30"/>
        <v>0</v>
      </c>
      <c r="AC36" s="3470">
        <f t="shared" si="30"/>
        <v>0</v>
      </c>
      <c r="AD36" s="3470">
        <f t="shared" si="30"/>
        <v>0</v>
      </c>
      <c r="AE36" s="3470">
        <f t="shared" si="30"/>
        <v>0</v>
      </c>
      <c r="AF36" s="3470">
        <f t="shared" si="29"/>
        <v>0</v>
      </c>
      <c r="AG36" s="3470">
        <f t="shared" si="29"/>
        <v>0</v>
      </c>
      <c r="AH36" s="3470">
        <f t="shared" si="29"/>
        <v>0</v>
      </c>
      <c r="AI36" s="3470">
        <f t="shared" si="29"/>
        <v>0</v>
      </c>
      <c r="AJ36" s="3470">
        <f t="shared" si="29"/>
        <v>0</v>
      </c>
      <c r="AK36" s="3470">
        <f t="shared" si="29"/>
        <v>0</v>
      </c>
      <c r="AL36" s="3470">
        <f t="shared" si="29"/>
        <v>0</v>
      </c>
      <c r="AM36" s="3470">
        <f t="shared" si="29"/>
        <v>0</v>
      </c>
      <c r="AN36" s="3470">
        <f t="shared" si="29"/>
        <v>0</v>
      </c>
      <c r="AO36" s="3470">
        <f t="shared" si="29"/>
        <v>0</v>
      </c>
      <c r="AP36" s="3470">
        <f t="shared" si="29"/>
        <v>0</v>
      </c>
      <c r="AQ36" s="3470">
        <f t="shared" si="29"/>
        <v>0</v>
      </c>
      <c r="AR36" s="3470">
        <f t="shared" si="29"/>
        <v>0</v>
      </c>
      <c r="AS36" s="3470">
        <f t="shared" si="29"/>
        <v>0</v>
      </c>
      <c r="AT36" s="3470">
        <f t="shared" si="29"/>
        <v>0</v>
      </c>
      <c r="AU36" s="3470">
        <f t="shared" si="29"/>
        <v>0</v>
      </c>
      <c r="AV36" s="3470">
        <f t="shared" si="29"/>
        <v>0</v>
      </c>
      <c r="AW36" s="3470">
        <f t="shared" si="29"/>
        <v>0</v>
      </c>
      <c r="AX36" s="3470">
        <f t="shared" si="29"/>
        <v>0</v>
      </c>
      <c r="AY36" s="3470">
        <f t="shared" si="29"/>
        <v>0</v>
      </c>
      <c r="AZ36" s="3470">
        <f t="shared" si="29"/>
        <v>0</v>
      </c>
      <c r="BA36" s="3470">
        <f t="shared" si="29"/>
        <v>0</v>
      </c>
      <c r="BB36" s="3470">
        <f t="shared" si="29"/>
        <v>0</v>
      </c>
      <c r="BC36" s="3470">
        <f t="shared" si="29"/>
        <v>0</v>
      </c>
      <c r="BD36" s="3470">
        <f t="shared" si="29"/>
        <v>0</v>
      </c>
      <c r="BE36" s="3470">
        <f t="shared" si="29"/>
        <v>0</v>
      </c>
      <c r="BF36" s="3470">
        <f t="shared" si="29"/>
        <v>0</v>
      </c>
      <c r="BG36" s="3470">
        <f t="shared" si="29"/>
        <v>0</v>
      </c>
      <c r="BH36" s="3470">
        <f t="shared" si="29"/>
        <v>0</v>
      </c>
      <c r="BI36" s="3470">
        <f t="shared" si="29"/>
        <v>0</v>
      </c>
      <c r="BJ36" s="3470">
        <f t="shared" si="29"/>
        <v>0</v>
      </c>
      <c r="BK36" s="3470">
        <f t="shared" si="29"/>
        <v>0</v>
      </c>
      <c r="BL36" s="3470">
        <f t="shared" si="29"/>
        <v>0</v>
      </c>
      <c r="BM36" s="3470">
        <f t="shared" si="29"/>
        <v>0</v>
      </c>
      <c r="BN36" s="3470">
        <f t="shared" si="29"/>
        <v>0</v>
      </c>
      <c r="BO36" s="3470">
        <f t="shared" si="29"/>
        <v>0</v>
      </c>
      <c r="BP36" s="3470">
        <f t="shared" si="29"/>
        <v>0</v>
      </c>
      <c r="BQ36" s="3470">
        <f t="shared" si="29"/>
        <v>0</v>
      </c>
      <c r="BR36" s="3470">
        <f t="shared" si="29"/>
        <v>0</v>
      </c>
      <c r="BS36" s="3470">
        <f t="shared" si="29"/>
        <v>0</v>
      </c>
      <c r="BT36" s="3470">
        <f t="shared" si="29"/>
        <v>0</v>
      </c>
      <c r="BU36" s="3470">
        <f t="shared" si="29"/>
        <v>0</v>
      </c>
      <c r="BV36" s="3470">
        <f t="shared" si="29"/>
        <v>0</v>
      </c>
      <c r="BW36" s="3470">
        <f t="shared" si="29"/>
        <v>0</v>
      </c>
      <c r="BX36" s="3397"/>
      <c r="BY36" s="3397"/>
    </row>
    <row r="37" spans="1:77" s="3417" customFormat="1" ht="71.25">
      <c r="A37" s="3414" t="s">
        <v>3558</v>
      </c>
      <c r="B37" s="3489" t="s">
        <v>3559</v>
      </c>
      <c r="C37" s="3415">
        <v>295.60000000000002</v>
      </c>
      <c r="D37" s="3415">
        <v>216.4</v>
      </c>
      <c r="E37" s="3416">
        <f>295.6*0</f>
        <v>0</v>
      </c>
      <c r="F37" s="3444" t="s">
        <v>3560</v>
      </c>
      <c r="G37" s="3522" t="s">
        <v>3561</v>
      </c>
      <c r="H37" s="3416">
        <v>70580.66</v>
      </c>
      <c r="I37" s="3673">
        <f>J37*30*C37</f>
        <v>69613.8</v>
      </c>
      <c r="J37" s="3416">
        <v>7.85</v>
      </c>
      <c r="K37" s="3416">
        <v>35</v>
      </c>
      <c r="L37" s="3416">
        <v>10346</v>
      </c>
      <c r="M37" s="3445"/>
      <c r="N37" s="3416">
        <f>L37*3</f>
        <v>31038</v>
      </c>
      <c r="O37" s="3416">
        <f>H37*3</f>
        <v>211741.98</v>
      </c>
      <c r="P37" s="3416">
        <f>N37+O37</f>
        <v>242779.98</v>
      </c>
      <c r="Q37" s="3416"/>
      <c r="R37" s="3446" t="s">
        <v>3562</v>
      </c>
      <c r="S37" s="3416">
        <v>242779.98</v>
      </c>
      <c r="T37" s="3732"/>
      <c r="U37" s="3732"/>
      <c r="V37" s="3470"/>
      <c r="W37" s="3470"/>
      <c r="X37" s="3505">
        <f t="shared" si="30"/>
        <v>844647.44000000006</v>
      </c>
      <c r="Y37" s="3505">
        <f t="shared" si="30"/>
        <v>846967.9</v>
      </c>
      <c r="Z37" s="3505">
        <f t="shared" si="30"/>
        <v>844647.44000000006</v>
      </c>
      <c r="AA37" s="3505">
        <f t="shared" si="30"/>
        <v>844647.44000000006</v>
      </c>
      <c r="AB37" s="3470">
        <f t="shared" si="30"/>
        <v>844647.44000000006</v>
      </c>
      <c r="AC37" s="3470">
        <f t="shared" si="30"/>
        <v>846967.9</v>
      </c>
      <c r="AD37" s="3470">
        <f t="shared" si="30"/>
        <v>844647.44000000006</v>
      </c>
      <c r="AE37" s="3470">
        <f t="shared" si="30"/>
        <v>844647.44000000006</v>
      </c>
      <c r="AF37" s="3470">
        <f t="shared" si="29"/>
        <v>844647.44000000006</v>
      </c>
      <c r="AG37" s="3470">
        <f t="shared" si="29"/>
        <v>846967.9</v>
      </c>
      <c r="AH37" s="3470">
        <f t="shared" si="29"/>
        <v>844647.44000000006</v>
      </c>
      <c r="AI37" s="3470">
        <f t="shared" si="29"/>
        <v>844647.44000000006</v>
      </c>
      <c r="AJ37" s="3470">
        <f t="shared" si="29"/>
        <v>844647.44000000006</v>
      </c>
      <c r="AK37" s="3470">
        <f t="shared" si="29"/>
        <v>846967.9</v>
      </c>
      <c r="AL37" s="3470">
        <f t="shared" si="29"/>
        <v>844647.44000000006</v>
      </c>
      <c r="AM37" s="3470">
        <f t="shared" si="29"/>
        <v>844647.44000000006</v>
      </c>
      <c r="AN37" s="3470">
        <f t="shared" si="29"/>
        <v>844647.44000000006</v>
      </c>
      <c r="AO37" s="3470">
        <f t="shared" si="29"/>
        <v>846967.9</v>
      </c>
      <c r="AP37" s="3470">
        <f t="shared" si="29"/>
        <v>844647.44000000006</v>
      </c>
      <c r="AQ37" s="3470">
        <f t="shared" si="29"/>
        <v>844647.44000000006</v>
      </c>
      <c r="AR37" s="3470">
        <f t="shared" si="29"/>
        <v>844647.44000000006</v>
      </c>
      <c r="AS37" s="3470">
        <f t="shared" si="29"/>
        <v>846967.9</v>
      </c>
      <c r="AT37" s="3470">
        <f t="shared" si="29"/>
        <v>844647.44000000006</v>
      </c>
      <c r="AU37" s="3470">
        <f t="shared" si="29"/>
        <v>844647.44000000006</v>
      </c>
      <c r="AV37" s="3470">
        <f t="shared" si="29"/>
        <v>844647.44000000006</v>
      </c>
      <c r="AW37" s="3470">
        <f t="shared" si="29"/>
        <v>846967.9</v>
      </c>
      <c r="AX37" s="3470">
        <f t="shared" si="29"/>
        <v>844647.44000000006</v>
      </c>
      <c r="AY37" s="3470">
        <f t="shared" si="29"/>
        <v>844647.44000000006</v>
      </c>
      <c r="AZ37" s="3470">
        <f t="shared" si="29"/>
        <v>844647.44000000006</v>
      </c>
      <c r="BA37" s="3470">
        <f t="shared" si="29"/>
        <v>846967.9</v>
      </c>
      <c r="BB37" s="3470">
        <f t="shared" si="29"/>
        <v>844647.44000000006</v>
      </c>
      <c r="BC37" s="3470">
        <f t="shared" si="29"/>
        <v>844647.44000000006</v>
      </c>
      <c r="BD37" s="3470">
        <f t="shared" si="29"/>
        <v>844647.44000000006</v>
      </c>
      <c r="BE37" s="3470">
        <f t="shared" si="29"/>
        <v>846967.9</v>
      </c>
      <c r="BF37" s="3470">
        <f t="shared" si="29"/>
        <v>844647.44000000006</v>
      </c>
      <c r="BG37" s="3470">
        <f t="shared" si="29"/>
        <v>844647.44000000006</v>
      </c>
      <c r="BH37" s="3470">
        <f t="shared" si="29"/>
        <v>844647.44000000006</v>
      </c>
      <c r="BI37" s="3470">
        <f t="shared" si="29"/>
        <v>846967.9</v>
      </c>
      <c r="BJ37" s="3470">
        <f t="shared" si="29"/>
        <v>844647.44000000006</v>
      </c>
      <c r="BK37" s="3470">
        <f t="shared" si="29"/>
        <v>844647.44000000006</v>
      </c>
      <c r="BL37" s="3470">
        <f t="shared" si="29"/>
        <v>844647.44000000006</v>
      </c>
      <c r="BM37" s="3470">
        <f t="shared" si="29"/>
        <v>846967.9</v>
      </c>
      <c r="BN37" s="3470">
        <f t="shared" si="29"/>
        <v>844647.44000000006</v>
      </c>
      <c r="BO37" s="3470">
        <f t="shared" si="29"/>
        <v>844647.44000000006</v>
      </c>
      <c r="BP37" s="3470">
        <f t="shared" si="29"/>
        <v>844647.44000000006</v>
      </c>
      <c r="BQ37" s="3470">
        <f t="shared" si="29"/>
        <v>846967.9</v>
      </c>
      <c r="BR37" s="3470">
        <f t="shared" si="29"/>
        <v>844647.44000000006</v>
      </c>
      <c r="BS37" s="3470">
        <f t="shared" si="29"/>
        <v>844647.44000000006</v>
      </c>
      <c r="BT37" s="3470">
        <f t="shared" si="29"/>
        <v>844647.44000000006</v>
      </c>
      <c r="BU37" s="3470">
        <f t="shared" si="29"/>
        <v>846967.9</v>
      </c>
      <c r="BV37" s="3470">
        <f t="shared" si="29"/>
        <v>844647.44000000006</v>
      </c>
      <c r="BW37" s="3470">
        <f t="shared" si="29"/>
        <v>844647.44000000006</v>
      </c>
      <c r="BX37" s="3397"/>
      <c r="BY37" s="3397"/>
    </row>
    <row r="38" spans="1:77" s="3397" customFormat="1" ht="28.5">
      <c r="A38" s="3447" t="s">
        <v>3563</v>
      </c>
      <c r="B38" s="3489" t="s">
        <v>3564</v>
      </c>
      <c r="C38" s="3415">
        <v>2378.15</v>
      </c>
      <c r="D38" s="3415">
        <v>2000.5</v>
      </c>
      <c r="E38" s="3416">
        <v>2378.15</v>
      </c>
      <c r="F38" s="3521" t="s">
        <v>3565</v>
      </c>
      <c r="G38" s="3448" t="s">
        <v>3566</v>
      </c>
      <c r="H38" s="3416">
        <v>651018.56000000006</v>
      </c>
      <c r="I38" s="3673">
        <f>J38*30*C38</f>
        <v>535083.75</v>
      </c>
      <c r="J38" s="3416">
        <v>7.5</v>
      </c>
      <c r="K38" s="3522">
        <v>35</v>
      </c>
      <c r="L38" s="3416">
        <v>83235.25</v>
      </c>
      <c r="M38" s="3416"/>
      <c r="N38" s="3416">
        <f>L38*3</f>
        <v>249705.75</v>
      </c>
      <c r="O38" s="3449">
        <f>H38*3</f>
        <v>1953055.6800000002</v>
      </c>
      <c r="P38" s="3416">
        <f>N38+O38</f>
        <v>2202761.4300000002</v>
      </c>
      <c r="Q38" s="3416" t="s">
        <v>3567</v>
      </c>
      <c r="R38" s="3427"/>
      <c r="S38" s="3450">
        <f>1435134+192412.41+325509.27</f>
        <v>1953055.68</v>
      </c>
      <c r="T38" s="3732">
        <f>H38/E38/30</f>
        <v>9.1249999649587572</v>
      </c>
      <c r="U38" s="3732"/>
      <c r="V38" s="3470"/>
      <c r="W38" s="3470"/>
      <c r="X38" s="3505">
        <f t="shared" si="30"/>
        <v>6492349.5</v>
      </c>
      <c r="Y38" s="3505">
        <f t="shared" si="30"/>
        <v>6510185.625</v>
      </c>
      <c r="Z38" s="3505">
        <f t="shared" si="30"/>
        <v>6492349.5</v>
      </c>
      <c r="AA38" s="3505">
        <f t="shared" si="30"/>
        <v>6492349.5</v>
      </c>
      <c r="AB38" s="3470">
        <f t="shared" ref="AB38:BW38" si="37">$C38*$Y45*(AB$2-AB$1)</f>
        <v>5626702.9000000004</v>
      </c>
      <c r="AC38" s="3470">
        <f t="shared" si="37"/>
        <v>5642160.875</v>
      </c>
      <c r="AD38" s="3470">
        <f t="shared" si="37"/>
        <v>5626702.9000000004</v>
      </c>
      <c r="AE38" s="3470">
        <f t="shared" si="37"/>
        <v>5626702.9000000004</v>
      </c>
      <c r="AF38" s="3470">
        <f t="shared" si="37"/>
        <v>5626702.9000000004</v>
      </c>
      <c r="AG38" s="3470">
        <f t="shared" si="37"/>
        <v>5642160.875</v>
      </c>
      <c r="AH38" s="3470">
        <f t="shared" si="37"/>
        <v>5626702.9000000004</v>
      </c>
      <c r="AI38" s="3470">
        <f t="shared" si="37"/>
        <v>5626702.9000000004</v>
      </c>
      <c r="AJ38" s="3470">
        <f t="shared" si="37"/>
        <v>5626702.9000000004</v>
      </c>
      <c r="AK38" s="3470">
        <f t="shared" si="37"/>
        <v>5642160.875</v>
      </c>
      <c r="AL38" s="3470">
        <f t="shared" si="37"/>
        <v>5626702.9000000004</v>
      </c>
      <c r="AM38" s="3470">
        <f t="shared" si="37"/>
        <v>5626702.9000000004</v>
      </c>
      <c r="AN38" s="3470">
        <f t="shared" si="37"/>
        <v>5626702.9000000004</v>
      </c>
      <c r="AO38" s="3470">
        <f t="shared" si="37"/>
        <v>5642160.875</v>
      </c>
      <c r="AP38" s="3470">
        <f t="shared" si="37"/>
        <v>5626702.9000000004</v>
      </c>
      <c r="AQ38" s="3470">
        <f t="shared" si="37"/>
        <v>5626702.9000000004</v>
      </c>
      <c r="AR38" s="3470">
        <f t="shared" si="37"/>
        <v>5626702.9000000004</v>
      </c>
      <c r="AS38" s="3470">
        <f t="shared" si="37"/>
        <v>5642160.875</v>
      </c>
      <c r="AT38" s="3470">
        <f t="shared" si="37"/>
        <v>5626702.9000000004</v>
      </c>
      <c r="AU38" s="3470">
        <f t="shared" si="37"/>
        <v>5626702.9000000004</v>
      </c>
      <c r="AV38" s="3470">
        <f t="shared" si="37"/>
        <v>5626702.9000000004</v>
      </c>
      <c r="AW38" s="3470">
        <f t="shared" si="37"/>
        <v>5642160.875</v>
      </c>
      <c r="AX38" s="3470">
        <f t="shared" si="37"/>
        <v>5626702.9000000004</v>
      </c>
      <c r="AY38" s="3470">
        <f t="shared" si="37"/>
        <v>5626702.9000000004</v>
      </c>
      <c r="AZ38" s="3470">
        <f t="shared" si="37"/>
        <v>5626702.9000000004</v>
      </c>
      <c r="BA38" s="3470">
        <f t="shared" si="37"/>
        <v>5642160.875</v>
      </c>
      <c r="BB38" s="3470">
        <f t="shared" si="37"/>
        <v>5626702.9000000004</v>
      </c>
      <c r="BC38" s="3470">
        <f t="shared" si="37"/>
        <v>5626702.9000000004</v>
      </c>
      <c r="BD38" s="3470">
        <f t="shared" si="37"/>
        <v>5626702.9000000004</v>
      </c>
      <c r="BE38" s="3470">
        <f t="shared" si="37"/>
        <v>5642160.875</v>
      </c>
      <c r="BF38" s="3470">
        <f t="shared" si="37"/>
        <v>5626702.9000000004</v>
      </c>
      <c r="BG38" s="3470">
        <f t="shared" si="37"/>
        <v>5626702.9000000004</v>
      </c>
      <c r="BH38" s="3470">
        <f t="shared" si="37"/>
        <v>5626702.9000000004</v>
      </c>
      <c r="BI38" s="3470">
        <f t="shared" si="37"/>
        <v>5642160.875</v>
      </c>
      <c r="BJ38" s="3470">
        <f t="shared" si="37"/>
        <v>5626702.9000000004</v>
      </c>
      <c r="BK38" s="3470">
        <f t="shared" si="37"/>
        <v>5626702.9000000004</v>
      </c>
      <c r="BL38" s="3470">
        <f t="shared" si="37"/>
        <v>5626702.9000000004</v>
      </c>
      <c r="BM38" s="3470">
        <f t="shared" si="37"/>
        <v>5642160.875</v>
      </c>
      <c r="BN38" s="3470">
        <f t="shared" si="37"/>
        <v>5626702.9000000004</v>
      </c>
      <c r="BO38" s="3470">
        <f t="shared" si="37"/>
        <v>5626702.9000000004</v>
      </c>
      <c r="BP38" s="3470">
        <f t="shared" si="37"/>
        <v>5626702.9000000004</v>
      </c>
      <c r="BQ38" s="3470">
        <f t="shared" si="37"/>
        <v>5642160.875</v>
      </c>
      <c r="BR38" s="3470">
        <f t="shared" si="37"/>
        <v>5626702.9000000004</v>
      </c>
      <c r="BS38" s="3470">
        <f t="shared" si="37"/>
        <v>5626702.9000000004</v>
      </c>
      <c r="BT38" s="3470">
        <f t="shared" si="37"/>
        <v>5626702.9000000004</v>
      </c>
      <c r="BU38" s="3470">
        <f t="shared" si="37"/>
        <v>5642160.875</v>
      </c>
      <c r="BV38" s="3470">
        <f t="shared" si="37"/>
        <v>5626702.9000000004</v>
      </c>
      <c r="BW38" s="3470">
        <f t="shared" si="37"/>
        <v>5626702.9000000004</v>
      </c>
    </row>
    <row r="39" spans="1:77" ht="15" thickBot="1">
      <c r="A39" s="4286" t="s">
        <v>3568</v>
      </c>
      <c r="B39" s="4287"/>
      <c r="C39" s="3451">
        <f>SUM(C3:C38)</f>
        <v>11480.050000000001</v>
      </c>
      <c r="D39" s="3451">
        <f>SUM(D3:D38)</f>
        <v>8353.32</v>
      </c>
      <c r="E39" s="3452">
        <f>SUM(E3:E38)</f>
        <v>7044.5499999999993</v>
      </c>
      <c r="F39" s="3453"/>
      <c r="G39" s="3452"/>
      <c r="H39" s="3452">
        <f>SUM(H3:H38)</f>
        <v>1703188.93</v>
      </c>
      <c r="I39" s="3452"/>
      <c r="J39" s="3452"/>
      <c r="K39" s="3452"/>
      <c r="L39" s="3452">
        <f>SUM(L3:L38)</f>
        <v>272008.40000000002</v>
      </c>
      <c r="M39" s="3452"/>
      <c r="N39" s="3452">
        <f>SUM(N3:N38)</f>
        <v>816025.35</v>
      </c>
      <c r="O39" s="3452">
        <f>SUM(O3:O38)</f>
        <v>5109566.790000001</v>
      </c>
      <c r="P39" s="3452">
        <f>SUM(P3:P38)</f>
        <v>5925592.1400000006</v>
      </c>
      <c r="Q39" s="3452"/>
      <c r="R39" s="3454"/>
      <c r="S39" s="3455">
        <f>SUM(S3:S38)</f>
        <v>5675886.3899999997</v>
      </c>
      <c r="T39" s="3467"/>
      <c r="U39" s="3467"/>
      <c r="V39" s="3470"/>
      <c r="W39" s="3470"/>
      <c r="X39" s="3506">
        <f>SUM(X8:X38)</f>
        <v>14264935.718657535</v>
      </c>
      <c r="Y39" s="3506">
        <f t="shared" ref="Y39:BW39" si="38">SUM(Y8:Y38)</f>
        <v>14774698.190000001</v>
      </c>
      <c r="Z39" s="3506">
        <f t="shared" si="38"/>
        <v>14560185.418109588</v>
      </c>
      <c r="AA39" s="3506">
        <f t="shared" si="38"/>
        <v>14623611.73</v>
      </c>
      <c r="AB39" s="3399">
        <f t="shared" si="38"/>
        <v>13757965.130000001</v>
      </c>
      <c r="AC39" s="3399">
        <f t="shared" si="38"/>
        <v>13795761.737500001</v>
      </c>
      <c r="AD39" s="3399">
        <f t="shared" si="38"/>
        <v>13757965.130000001</v>
      </c>
      <c r="AE39" s="3399">
        <f t="shared" si="38"/>
        <v>13757965.130000001</v>
      </c>
      <c r="AF39" s="3399">
        <f t="shared" si="38"/>
        <v>13757965.130000001</v>
      </c>
      <c r="AG39" s="3399">
        <f t="shared" si="38"/>
        <v>13795761.737500001</v>
      </c>
      <c r="AH39" s="3399">
        <f t="shared" si="38"/>
        <v>13757965.130000001</v>
      </c>
      <c r="AI39" s="3399">
        <f t="shared" si="38"/>
        <v>13757965.130000001</v>
      </c>
      <c r="AJ39" s="3399">
        <f t="shared" si="38"/>
        <v>13757965.130000001</v>
      </c>
      <c r="AK39" s="3399">
        <f t="shared" si="38"/>
        <v>13795761.737500001</v>
      </c>
      <c r="AL39" s="3399">
        <f t="shared" si="38"/>
        <v>13757965.130000001</v>
      </c>
      <c r="AM39" s="3399">
        <f t="shared" si="38"/>
        <v>13757965.130000001</v>
      </c>
      <c r="AN39" s="3399">
        <f t="shared" si="38"/>
        <v>13757965.130000001</v>
      </c>
      <c r="AO39" s="3399">
        <f t="shared" si="38"/>
        <v>13795761.737500001</v>
      </c>
      <c r="AP39" s="3399">
        <f t="shared" si="38"/>
        <v>13757965.130000001</v>
      </c>
      <c r="AQ39" s="3399">
        <f t="shared" si="38"/>
        <v>13757965.130000001</v>
      </c>
      <c r="AR39" s="3399">
        <f t="shared" si="38"/>
        <v>13757965.130000001</v>
      </c>
      <c r="AS39" s="3399">
        <f t="shared" si="38"/>
        <v>13795761.737500001</v>
      </c>
      <c r="AT39" s="3399">
        <f t="shared" si="38"/>
        <v>13757965.130000001</v>
      </c>
      <c r="AU39" s="3399">
        <f t="shared" si="38"/>
        <v>13757965.130000001</v>
      </c>
      <c r="AV39" s="3399">
        <f t="shared" si="38"/>
        <v>13757965.130000001</v>
      </c>
      <c r="AW39" s="3399">
        <f t="shared" si="38"/>
        <v>13795761.737500001</v>
      </c>
      <c r="AX39" s="3399">
        <f t="shared" si="38"/>
        <v>13757965.130000001</v>
      </c>
      <c r="AY39" s="3399">
        <f t="shared" si="38"/>
        <v>13757965.130000001</v>
      </c>
      <c r="AZ39" s="3399">
        <f t="shared" si="38"/>
        <v>13757965.130000001</v>
      </c>
      <c r="BA39" s="3399">
        <f t="shared" si="38"/>
        <v>13795761.737500001</v>
      </c>
      <c r="BB39" s="3399">
        <f t="shared" si="38"/>
        <v>13757965.130000001</v>
      </c>
      <c r="BC39" s="3399">
        <f t="shared" si="38"/>
        <v>13757965.130000001</v>
      </c>
      <c r="BD39" s="3399">
        <f t="shared" si="38"/>
        <v>13757965.130000001</v>
      </c>
      <c r="BE39" s="3399">
        <f t="shared" si="38"/>
        <v>13795761.737500001</v>
      </c>
      <c r="BF39" s="3399">
        <f t="shared" si="38"/>
        <v>13757965.130000001</v>
      </c>
      <c r="BG39" s="3399">
        <f t="shared" si="38"/>
        <v>13757965.130000001</v>
      </c>
      <c r="BH39" s="3399">
        <f t="shared" si="38"/>
        <v>13757965.130000001</v>
      </c>
      <c r="BI39" s="3399">
        <f t="shared" si="38"/>
        <v>13795761.737500001</v>
      </c>
      <c r="BJ39" s="3399">
        <f t="shared" si="38"/>
        <v>13757965.130000001</v>
      </c>
      <c r="BK39" s="3399">
        <f t="shared" si="38"/>
        <v>13757965.130000001</v>
      </c>
      <c r="BL39" s="3399">
        <f t="shared" si="38"/>
        <v>13757965.130000001</v>
      </c>
      <c r="BM39" s="3399">
        <f t="shared" si="38"/>
        <v>13795761.737500001</v>
      </c>
      <c r="BN39" s="3399">
        <f t="shared" si="38"/>
        <v>13757965.130000001</v>
      </c>
      <c r="BO39" s="3399">
        <f t="shared" si="38"/>
        <v>13757965.130000001</v>
      </c>
      <c r="BP39" s="3399">
        <f t="shared" si="38"/>
        <v>13757965.130000001</v>
      </c>
      <c r="BQ39" s="3399">
        <f t="shared" si="38"/>
        <v>13795761.737500001</v>
      </c>
      <c r="BR39" s="3399">
        <f t="shared" si="38"/>
        <v>13757965.130000001</v>
      </c>
      <c r="BS39" s="3399">
        <f t="shared" si="38"/>
        <v>13757965.130000001</v>
      </c>
      <c r="BT39" s="3399">
        <f t="shared" si="38"/>
        <v>13757965.130000001</v>
      </c>
      <c r="BU39" s="3399">
        <f t="shared" si="38"/>
        <v>13795761.737500001</v>
      </c>
      <c r="BV39" s="3399">
        <f t="shared" si="38"/>
        <v>13757965.130000001</v>
      </c>
      <c r="BW39" s="3399">
        <f t="shared" si="38"/>
        <v>13757965.130000001</v>
      </c>
    </row>
    <row r="40" spans="1:77">
      <c r="A40" s="3456" t="s">
        <v>3569</v>
      </c>
      <c r="B40" s="3457">
        <f>E39/C39*100%</f>
        <v>0.61363408695955146</v>
      </c>
      <c r="V40" s="3470"/>
      <c r="W40" s="3470"/>
      <c r="AA40" s="3505"/>
      <c r="AB40" s="3470"/>
      <c r="AC40" s="3470"/>
      <c r="AD40" s="3470"/>
      <c r="AE40" s="3470"/>
    </row>
    <row r="41" spans="1:77" ht="13.5" customHeight="1">
      <c r="A41" s="3417">
        <v>12531.93</v>
      </c>
      <c r="B41" s="3399" t="s">
        <v>3570</v>
      </c>
      <c r="C41" s="3459"/>
      <c r="D41" s="3458" t="s">
        <v>3571</v>
      </c>
      <c r="E41" s="3460"/>
      <c r="F41" s="3622" t="s">
        <v>3572</v>
      </c>
      <c r="H41" s="3398">
        <f>H39/C39/30</f>
        <v>4.9453586293904062</v>
      </c>
      <c r="P41" s="3398" t="s">
        <v>3573</v>
      </c>
      <c r="Q41" s="3461"/>
      <c r="R41" s="3461"/>
      <c r="S41" s="3398">
        <f>P39-S39</f>
        <v>249705.75000000093</v>
      </c>
    </row>
    <row r="42" spans="1:77" ht="13.5" customHeight="1">
      <c r="F42" s="3462">
        <f>C39-E39</f>
        <v>4435.5000000000018</v>
      </c>
      <c r="H42" s="3398">
        <f>H39*12/10000</f>
        <v>2043.826716</v>
      </c>
      <c r="T42" s="3398">
        <f>E8*T8+E10*T10+E11*T11+E12*T12+E13*T13+E14*T14+SUM(E15:E18)*T15+E19*T19+E20*T20+E21*T21+E29*T29+E33*T33+E34*T34+E35*T35+E38*T38</f>
        <v>50767.039333333334</v>
      </c>
      <c r="X42" s="3507" t="s">
        <v>3579</v>
      </c>
      <c r="Y42" s="3508">
        <f>ROUND((AA2-W2)/365,2)</f>
        <v>3.18</v>
      </c>
      <c r="Z42" s="3508" t="s">
        <v>3580</v>
      </c>
    </row>
    <row r="43" spans="1:77" ht="13.5" customHeight="1">
      <c r="B43" s="3399" t="s">
        <v>3574</v>
      </c>
      <c r="C43" s="3463"/>
      <c r="D43" s="3458" t="s">
        <v>3575</v>
      </c>
      <c r="E43" s="3464"/>
      <c r="F43" s="3458">
        <f>C30+C28+C9+C7+C26</f>
        <v>1351.57</v>
      </c>
      <c r="O43" s="3465"/>
      <c r="P43" s="3466" t="s">
        <v>3576</v>
      </c>
      <c r="T43" s="3398">
        <f>T42/(E8+E10+E11+E12+E13+E14+E15+E16+E17+E18+E19+E20+E21+E29+E33+E34+E35+E38)</f>
        <v>7.20656952301188</v>
      </c>
      <c r="X43" s="3507" t="s">
        <v>3581</v>
      </c>
      <c r="Y43" s="3509">
        <f>SUM(X39:AA39)</f>
        <v>58223431.056767121</v>
      </c>
      <c r="Z43" s="3508">
        <f>ROUND(Y43/Y44/Y42/365,2)</f>
        <v>3.87</v>
      </c>
    </row>
    <row r="44" spans="1:77" ht="13.5" customHeight="1">
      <c r="F44" s="3467"/>
      <c r="X44" s="3507" t="s">
        <v>3582</v>
      </c>
      <c r="Y44" s="3509">
        <f>'数据-汇总表'!F20</f>
        <v>12975.39</v>
      </c>
      <c r="Z44" s="3508"/>
    </row>
    <row r="45" spans="1:77" ht="13.5" customHeight="1">
      <c r="C45" s="3399"/>
      <c r="D45" s="3399"/>
      <c r="E45" s="3399"/>
      <c r="F45" s="3467"/>
      <c r="X45" s="3507" t="s">
        <v>3583</v>
      </c>
      <c r="Y45" s="3508">
        <v>6.5</v>
      </c>
      <c r="Z45" s="3508"/>
    </row>
    <row r="46" spans="1:77" ht="13.5" customHeight="1">
      <c r="D46" s="3458" t="s">
        <v>3577</v>
      </c>
      <c r="E46" s="3468">
        <f>E39/C39</f>
        <v>0.61363408695955146</v>
      </c>
      <c r="F46" s="3469"/>
      <c r="X46" s="3507" t="s">
        <v>3584</v>
      </c>
      <c r="Y46" s="3510">
        <v>0.03</v>
      </c>
      <c r="Z46" s="3508"/>
    </row>
    <row r="47" spans="1:77">
      <c r="F47" s="3469"/>
      <c r="X47" s="3507" t="s">
        <v>3585</v>
      </c>
      <c r="Y47" s="3508">
        <f>ROUND(Y45*(1+Y46)^Y42,2)</f>
        <v>7.14</v>
      </c>
      <c r="Z47" s="3508"/>
    </row>
    <row r="49" spans="4:6" ht="13.5">
      <c r="D49" s="3458" t="s">
        <v>3578</v>
      </c>
      <c r="E49" s="3398">
        <v>8360.23</v>
      </c>
      <c r="F49" s="3398"/>
    </row>
    <row r="50" spans="4:6" ht="13.5" customHeight="1">
      <c r="D50" s="3458" t="s">
        <v>3573</v>
      </c>
      <c r="E50" s="3398">
        <f>E49-E39</f>
        <v>1315.6800000000003</v>
      </c>
      <c r="F50" s="3399"/>
    </row>
    <row r="51" spans="4:6" ht="13.5" customHeight="1">
      <c r="E51" s="3399"/>
      <c r="F51" s="3399"/>
    </row>
    <row r="52" spans="4:6" ht="13.5">
      <c r="F52" s="3399"/>
    </row>
    <row r="53" spans="4:6" ht="13.5">
      <c r="F53" s="3399"/>
    </row>
    <row r="54" spans="4:6" ht="13.5">
      <c r="F54" s="3399"/>
    </row>
  </sheetData>
  <autoFilter ref="A1:WVQ1">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49">
    <mergeCell ref="B1:Q1"/>
    <mergeCell ref="A3:A6"/>
    <mergeCell ref="F3:F6"/>
    <mergeCell ref="G3:G6"/>
    <mergeCell ref="H3:H6"/>
    <mergeCell ref="J3:J6"/>
    <mergeCell ref="K3:K6"/>
    <mergeCell ref="L3:L6"/>
    <mergeCell ref="M3:M6"/>
    <mergeCell ref="N3:N6"/>
    <mergeCell ref="O3:O6"/>
    <mergeCell ref="P3:P6"/>
    <mergeCell ref="Q3:Q6"/>
    <mergeCell ref="A15:A18"/>
    <mergeCell ref="F15:F18"/>
    <mergeCell ref="G15:G18"/>
    <mergeCell ref="H15:H18"/>
    <mergeCell ref="J15:J18"/>
    <mergeCell ref="R3:R6"/>
    <mergeCell ref="S3:S6"/>
    <mergeCell ref="D33:D34"/>
    <mergeCell ref="K15:K18"/>
    <mergeCell ref="L15:L18"/>
    <mergeCell ref="M15:M18"/>
    <mergeCell ref="N15:N18"/>
    <mergeCell ref="Q15:Q18"/>
    <mergeCell ref="R15:R18"/>
    <mergeCell ref="S15:S18"/>
    <mergeCell ref="C30:C31"/>
    <mergeCell ref="D30:D31"/>
    <mergeCell ref="O15:O18"/>
    <mergeCell ref="P15:P18"/>
    <mergeCell ref="Q35:Q36"/>
    <mergeCell ref="R35:R36"/>
    <mergeCell ref="S35:S36"/>
    <mergeCell ref="A39:B39"/>
    <mergeCell ref="K35:K36"/>
    <mergeCell ref="L35:L36"/>
    <mergeCell ref="M35:M36"/>
    <mergeCell ref="N35:N36"/>
    <mergeCell ref="O35:O36"/>
    <mergeCell ref="P35:P36"/>
    <mergeCell ref="A35:A36"/>
    <mergeCell ref="E35:E36"/>
    <mergeCell ref="F35:F36"/>
    <mergeCell ref="G35:G36"/>
    <mergeCell ref="H35:H36"/>
    <mergeCell ref="J35:J36"/>
    <mergeCell ref="I35:I36"/>
  </mergeCells>
  <phoneticPr fontId="134" type="noConversion"/>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 workbookViewId="0">
      <selection activeCell="J55" sqref="J55"/>
    </sheetView>
  </sheetViews>
  <sheetFormatPr defaultColWidth="9" defaultRowHeight="12"/>
  <cols>
    <col min="1" max="1" width="15" style="3714" bestFit="1" customWidth="1"/>
    <col min="2" max="2" width="9.625" style="3714" bestFit="1" customWidth="1"/>
    <col min="3" max="3" width="13.125" style="3714" bestFit="1" customWidth="1"/>
    <col min="4" max="4" width="12.625" style="3714" bestFit="1" customWidth="1"/>
    <col min="5" max="16384" width="9" style="3714"/>
  </cols>
  <sheetData>
    <row r="1" spans="1:2">
      <c r="A1" s="3714" t="s">
        <v>3930</v>
      </c>
      <c r="B1" s="3714" t="s">
        <v>3931</v>
      </c>
    </row>
    <row r="2" spans="1:2">
      <c r="A2" s="3714" t="s">
        <v>3929</v>
      </c>
      <c r="B2" s="3714" t="s">
        <v>3932</v>
      </c>
    </row>
    <row r="3" spans="1:2">
      <c r="A3" s="3714" t="s">
        <v>3933</v>
      </c>
      <c r="B3" s="3714" t="s">
        <v>3934</v>
      </c>
    </row>
    <row r="4" spans="1:2">
      <c r="A4" s="3714" t="s">
        <v>3935</v>
      </c>
      <c r="B4" s="3714" t="s">
        <v>3936</v>
      </c>
    </row>
    <row r="5" spans="1:2">
      <c r="A5" s="3714" t="s">
        <v>3937</v>
      </c>
      <c r="B5" s="3714" t="s">
        <v>3938</v>
      </c>
    </row>
    <row r="6" spans="1:2">
      <c r="A6" s="3714" t="s">
        <v>3939</v>
      </c>
      <c r="B6" s="3714">
        <v>5</v>
      </c>
    </row>
    <row r="37" spans="1:10">
      <c r="A37" s="3714" t="s">
        <v>3955</v>
      </c>
    </row>
    <row r="38" spans="1:10">
      <c r="A38" s="3714" t="s">
        <v>3956</v>
      </c>
    </row>
    <row r="40" spans="1:10">
      <c r="B40" s="3714" t="s">
        <v>3959</v>
      </c>
      <c r="C40" s="3714" t="s">
        <v>3958</v>
      </c>
      <c r="D40" s="3714" t="s">
        <v>3965</v>
      </c>
      <c r="E40" s="3714" t="s">
        <v>3960</v>
      </c>
      <c r="F40" s="3714" t="s">
        <v>3966</v>
      </c>
      <c r="G40" s="3714" t="s">
        <v>3960</v>
      </c>
      <c r="H40" s="3714" t="s">
        <v>3961</v>
      </c>
    </row>
    <row r="41" spans="1:10" s="3739" customFormat="1">
      <c r="A41" s="3739" t="s">
        <v>3957</v>
      </c>
      <c r="B41" s="3739">
        <v>197</v>
      </c>
      <c r="C41" s="3739">
        <v>197</v>
      </c>
      <c r="D41" s="3739">
        <v>6.81</v>
      </c>
      <c r="E41" s="3740">
        <v>-0.13250000000000001</v>
      </c>
      <c r="F41" s="3739">
        <v>47868</v>
      </c>
      <c r="G41" s="3740">
        <v>-0.03</v>
      </c>
      <c r="H41" s="3739" t="s">
        <v>3962</v>
      </c>
      <c r="J41" s="3739" t="s">
        <v>3963</v>
      </c>
    </row>
    <row r="42" spans="1:10">
      <c r="A42" s="3714" t="s">
        <v>3964</v>
      </c>
      <c r="B42" s="3714">
        <v>32</v>
      </c>
      <c r="C42" s="3714">
        <v>332</v>
      </c>
      <c r="D42" s="3714">
        <v>9.27</v>
      </c>
      <c r="E42" s="3714">
        <v>-11.8</v>
      </c>
      <c r="F42" s="3714">
        <v>61719</v>
      </c>
      <c r="G42" s="3728">
        <v>0.03</v>
      </c>
      <c r="H42" s="3714" t="s">
        <v>3967</v>
      </c>
      <c r="J42" s="3714" t="s">
        <v>3968</v>
      </c>
    </row>
    <row r="43" spans="1:10" s="3739" customFormat="1">
      <c r="A43" s="3739" t="s">
        <v>3969</v>
      </c>
      <c r="B43" s="3739">
        <v>8</v>
      </c>
      <c r="C43" s="3739">
        <v>7</v>
      </c>
      <c r="D43" s="3739">
        <v>7.85</v>
      </c>
      <c r="E43" s="3740">
        <v>-9.2499999999999999E-2</v>
      </c>
      <c r="F43" s="3739" t="s">
        <v>3970</v>
      </c>
      <c r="G43" s="3739" t="s">
        <v>3970</v>
      </c>
      <c r="H43" s="3739" t="s">
        <v>3971</v>
      </c>
      <c r="J43" s="3739" t="s">
        <v>3972</v>
      </c>
    </row>
    <row r="44" spans="1:10">
      <c r="A44" s="3714" t="s">
        <v>3973</v>
      </c>
      <c r="B44" s="3714" t="s">
        <v>3970</v>
      </c>
      <c r="C44" s="3714" t="s">
        <v>3970</v>
      </c>
      <c r="D44" s="3714" t="s">
        <v>3970</v>
      </c>
      <c r="E44" s="3714" t="s">
        <v>3970</v>
      </c>
      <c r="F44" s="3714">
        <v>48247</v>
      </c>
      <c r="G44" s="3728">
        <v>-0.03</v>
      </c>
      <c r="H44" s="3714" t="s">
        <v>3974</v>
      </c>
      <c r="J44" s="3714" t="s">
        <v>3975</v>
      </c>
    </row>
    <row r="45" spans="1:10">
      <c r="A45" s="3714" t="s">
        <v>3976</v>
      </c>
      <c r="B45" s="3714" t="s">
        <v>3970</v>
      </c>
      <c r="C45" s="3714" t="s">
        <v>3970</v>
      </c>
      <c r="D45" s="3714" t="s">
        <v>3970</v>
      </c>
      <c r="E45" s="3714" t="s">
        <v>3970</v>
      </c>
      <c r="F45" s="3714">
        <v>43679</v>
      </c>
      <c r="G45" s="3728">
        <v>0.03</v>
      </c>
      <c r="H45" s="3714" t="s">
        <v>3977</v>
      </c>
      <c r="J45" s="3714" t="s">
        <v>3978</v>
      </c>
    </row>
  </sheetData>
  <phoneticPr fontId="134"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F32" sqref="F32"/>
    </sheetView>
  </sheetViews>
  <sheetFormatPr defaultRowHeight="12"/>
  <cols>
    <col min="1" max="1" width="4.5" style="3714" customWidth="1"/>
    <col min="2" max="2" width="18.625" style="3714" bestFit="1" customWidth="1"/>
    <col min="3" max="3" width="5.875" style="3714" customWidth="1"/>
    <col min="4" max="4" width="9" style="3714"/>
    <col min="5" max="5" width="12.75" style="3714" bestFit="1" customWidth="1"/>
    <col min="6" max="6" width="14.25" style="3714" customWidth="1"/>
    <col min="7" max="16384" width="9" style="3714"/>
  </cols>
  <sheetData>
    <row r="2" spans="1:7">
      <c r="A2" s="3735" t="s">
        <v>3989</v>
      </c>
      <c r="B2" s="3735" t="s">
        <v>3990</v>
      </c>
      <c r="C2" s="3735" t="s">
        <v>3820</v>
      </c>
      <c r="D2" s="3735" t="s">
        <v>3998</v>
      </c>
      <c r="E2" s="3735" t="s">
        <v>3999</v>
      </c>
      <c r="F2" s="3735" t="s">
        <v>4029</v>
      </c>
      <c r="G2" s="3735" t="s">
        <v>4007</v>
      </c>
    </row>
    <row r="3" spans="1:7">
      <c r="A3" s="3735">
        <v>1</v>
      </c>
      <c r="B3" s="3735" t="s">
        <v>3997</v>
      </c>
      <c r="C3" s="3735" t="s">
        <v>3991</v>
      </c>
      <c r="D3" s="3735" t="s">
        <v>4006</v>
      </c>
      <c r="E3" s="3735">
        <v>14</v>
      </c>
      <c r="F3" s="3735" t="s">
        <v>4005</v>
      </c>
      <c r="G3" s="3735" t="s">
        <v>4008</v>
      </c>
    </row>
    <row r="4" spans="1:7">
      <c r="A4" s="3735">
        <v>2</v>
      </c>
      <c r="B4" s="3735" t="s">
        <v>4000</v>
      </c>
      <c r="C4" s="3735" t="s">
        <v>3996</v>
      </c>
      <c r="D4" s="3735" t="s">
        <v>4010</v>
      </c>
      <c r="E4" s="3735">
        <v>10</v>
      </c>
      <c r="F4" s="3735" t="s">
        <v>4034</v>
      </c>
      <c r="G4" s="3735" t="s">
        <v>4033</v>
      </c>
    </row>
    <row r="5" spans="1:7">
      <c r="A5" s="3735">
        <v>3</v>
      </c>
      <c r="B5" s="3735" t="s">
        <v>4001</v>
      </c>
      <c r="C5" s="3735" t="s">
        <v>3992</v>
      </c>
      <c r="D5" s="3735" t="s">
        <v>4013</v>
      </c>
      <c r="E5" s="3735">
        <v>17</v>
      </c>
      <c r="F5" s="3735" t="s">
        <v>4012</v>
      </c>
      <c r="G5" s="3735" t="s">
        <v>4014</v>
      </c>
    </row>
    <row r="6" spans="1:7">
      <c r="A6" s="3735">
        <v>4</v>
      </c>
      <c r="B6" s="3735" t="s">
        <v>4002</v>
      </c>
      <c r="C6" s="3735" t="s">
        <v>3993</v>
      </c>
      <c r="D6" s="3735" t="s">
        <v>4003</v>
      </c>
      <c r="E6" s="3735">
        <v>19</v>
      </c>
      <c r="F6" s="3735" t="s">
        <v>4009</v>
      </c>
      <c r="G6" s="3735" t="s">
        <v>4011</v>
      </c>
    </row>
    <row r="7" spans="1:7">
      <c r="A7" s="3735">
        <v>5</v>
      </c>
      <c r="B7" s="3735" t="s">
        <v>4004</v>
      </c>
      <c r="C7" s="3735" t="s">
        <v>3994</v>
      </c>
      <c r="D7" s="3735" t="s">
        <v>4031</v>
      </c>
      <c r="E7" s="3735">
        <v>17</v>
      </c>
      <c r="F7" s="3735" t="s">
        <v>4032</v>
      </c>
      <c r="G7" s="3735" t="s">
        <v>4030</v>
      </c>
    </row>
    <row r="8" spans="1:7">
      <c r="A8" s="3735">
        <v>6</v>
      </c>
      <c r="B8" s="3735" t="s">
        <v>4022</v>
      </c>
      <c r="C8" s="3735" t="s">
        <v>3995</v>
      </c>
      <c r="D8" s="3735" t="s">
        <v>4021</v>
      </c>
      <c r="E8" s="3735">
        <v>16</v>
      </c>
      <c r="F8" s="3735" t="s">
        <v>4020</v>
      </c>
      <c r="G8" s="3735" t="s">
        <v>4023</v>
      </c>
    </row>
    <row r="9" spans="1:7">
      <c r="A9" s="3735">
        <v>7</v>
      </c>
      <c r="B9" s="3735" t="s">
        <v>4015</v>
      </c>
      <c r="C9" s="3735" t="s">
        <v>4018</v>
      </c>
      <c r="D9" s="3735" t="s">
        <v>4017</v>
      </c>
      <c r="E9" s="3735">
        <v>10</v>
      </c>
      <c r="F9" s="3735" t="s">
        <v>4016</v>
      </c>
      <c r="G9" s="3735" t="s">
        <v>4019</v>
      </c>
    </row>
    <row r="10" spans="1:7">
      <c r="A10" s="3735">
        <v>8</v>
      </c>
      <c r="B10" s="3735" t="s">
        <v>4024</v>
      </c>
      <c r="C10" s="3735" t="s">
        <v>4025</v>
      </c>
      <c r="D10" s="3735" t="s">
        <v>4026</v>
      </c>
      <c r="E10" s="3735">
        <v>18</v>
      </c>
      <c r="F10" s="3735" t="s">
        <v>4028</v>
      </c>
      <c r="G10" s="3735" t="s">
        <v>4027</v>
      </c>
    </row>
    <row r="17" spans="1:13" ht="24">
      <c r="A17" s="3737" t="s">
        <v>4035</v>
      </c>
      <c r="B17" s="3737" t="s">
        <v>4036</v>
      </c>
      <c r="C17" s="3737" t="s">
        <v>4037</v>
      </c>
      <c r="D17" s="3737" t="s">
        <v>4038</v>
      </c>
      <c r="E17" s="3737" t="s">
        <v>4039</v>
      </c>
      <c r="F17" s="3737" t="s">
        <v>4040</v>
      </c>
      <c r="G17" s="3737" t="s">
        <v>4103</v>
      </c>
      <c r="H17" s="3737" t="s">
        <v>4041</v>
      </c>
      <c r="I17" s="3737" t="s">
        <v>4042</v>
      </c>
      <c r="J17" s="3737" t="s">
        <v>4104</v>
      </c>
      <c r="K17" s="3737" t="s">
        <v>4043</v>
      </c>
    </row>
    <row r="18" spans="1:13" ht="36">
      <c r="A18" s="3737">
        <v>1</v>
      </c>
      <c r="B18" s="3737" t="s">
        <v>4046</v>
      </c>
      <c r="C18" s="3737" t="s">
        <v>4044</v>
      </c>
      <c r="D18" s="3737" t="s">
        <v>4047</v>
      </c>
      <c r="E18" s="3736">
        <v>43891</v>
      </c>
      <c r="F18" s="3737" t="s">
        <v>4045</v>
      </c>
      <c r="G18" s="3737">
        <v>6.88</v>
      </c>
      <c r="H18" s="3737" t="s">
        <v>4048</v>
      </c>
      <c r="I18" s="3737" t="s">
        <v>4049</v>
      </c>
      <c r="J18" s="3737" t="s">
        <v>4099</v>
      </c>
      <c r="K18" s="3737" t="s">
        <v>4110</v>
      </c>
    </row>
    <row r="19" spans="1:13" ht="72">
      <c r="A19" s="3737">
        <v>2</v>
      </c>
      <c r="B19" s="3737" t="s">
        <v>4050</v>
      </c>
      <c r="C19" s="3737" t="s">
        <v>4044</v>
      </c>
      <c r="D19" s="3737" t="s">
        <v>4047</v>
      </c>
      <c r="E19" s="3736">
        <v>43862</v>
      </c>
      <c r="F19" s="3737" t="s">
        <v>4051</v>
      </c>
      <c r="G19" s="3737">
        <v>80.459999999999994</v>
      </c>
      <c r="H19" s="3737" t="s">
        <v>4052</v>
      </c>
      <c r="I19" s="3737" t="s">
        <v>4053</v>
      </c>
      <c r="J19" s="3737" t="s">
        <v>4100</v>
      </c>
      <c r="K19" s="3737" t="s">
        <v>4109</v>
      </c>
    </row>
    <row r="20" spans="1:13" ht="48">
      <c r="A20" s="3737">
        <v>3</v>
      </c>
      <c r="B20" s="3737" t="s">
        <v>4054</v>
      </c>
      <c r="C20" s="3737" t="s">
        <v>4055</v>
      </c>
      <c r="D20" s="3737" t="s">
        <v>4047</v>
      </c>
      <c r="E20" s="3736">
        <v>43922</v>
      </c>
      <c r="F20" s="3737" t="s">
        <v>4051</v>
      </c>
      <c r="G20" s="3737">
        <v>12</v>
      </c>
      <c r="H20" s="3737" t="s">
        <v>4056</v>
      </c>
      <c r="I20" s="3737" t="s">
        <v>4057</v>
      </c>
      <c r="J20" s="3737" t="s">
        <v>4101</v>
      </c>
      <c r="K20" s="3737" t="s">
        <v>4108</v>
      </c>
    </row>
    <row r="21" spans="1:13" ht="48">
      <c r="A21" s="3737">
        <v>4</v>
      </c>
      <c r="B21" s="3737" t="s">
        <v>4058</v>
      </c>
      <c r="C21" s="3737" t="s">
        <v>4055</v>
      </c>
      <c r="D21" s="3737" t="s">
        <v>4047</v>
      </c>
      <c r="E21" s="3736">
        <v>43891</v>
      </c>
      <c r="F21" s="3737" t="s">
        <v>4051</v>
      </c>
      <c r="G21" s="3737">
        <v>4.76</v>
      </c>
      <c r="H21" s="3737" t="s">
        <v>4059</v>
      </c>
      <c r="I21" s="3737" t="s">
        <v>4060</v>
      </c>
      <c r="J21" s="3737" t="s">
        <v>4102</v>
      </c>
      <c r="K21" s="3737" t="s">
        <v>4107</v>
      </c>
    </row>
    <row r="22" spans="1:13">
      <c r="A22" s="3737">
        <v>5</v>
      </c>
      <c r="B22" s="3737" t="s">
        <v>4061</v>
      </c>
      <c r="C22" s="3737" t="s">
        <v>4044</v>
      </c>
      <c r="D22" s="3737" t="s">
        <v>4062</v>
      </c>
      <c r="E22" s="3737" t="s">
        <v>4063</v>
      </c>
      <c r="F22" s="3737" t="s">
        <v>4064</v>
      </c>
      <c r="G22" s="3737">
        <v>20.48</v>
      </c>
      <c r="H22" s="3737">
        <v>54004</v>
      </c>
      <c r="I22" s="3737">
        <v>37923</v>
      </c>
      <c r="J22" s="3737" t="s">
        <v>4065</v>
      </c>
      <c r="K22" s="3737" t="s">
        <v>4066</v>
      </c>
      <c r="M22" s="3738"/>
    </row>
    <row r="23" spans="1:13" ht="24">
      <c r="A23" s="3737">
        <v>6</v>
      </c>
      <c r="B23" s="3737" t="s">
        <v>4067</v>
      </c>
      <c r="C23" s="3737" t="s">
        <v>4044</v>
      </c>
      <c r="D23" s="3737" t="s">
        <v>4068</v>
      </c>
      <c r="E23" s="3737" t="s">
        <v>4069</v>
      </c>
      <c r="F23" s="3737" t="s">
        <v>4064</v>
      </c>
      <c r="G23" s="3737">
        <v>24</v>
      </c>
      <c r="H23" s="3737">
        <v>56777</v>
      </c>
      <c r="I23" s="3737">
        <v>52838</v>
      </c>
      <c r="J23" s="3737" t="s">
        <v>4070</v>
      </c>
      <c r="K23" s="3737" t="s">
        <v>4071</v>
      </c>
      <c r="M23" s="3738"/>
    </row>
    <row r="24" spans="1:13">
      <c r="A24" s="3737">
        <v>7</v>
      </c>
      <c r="B24" s="3737" t="s">
        <v>4072</v>
      </c>
      <c r="C24" s="3737" t="s">
        <v>4055</v>
      </c>
      <c r="D24" s="3737" t="s">
        <v>4068</v>
      </c>
      <c r="E24" s="3737" t="s">
        <v>4073</v>
      </c>
      <c r="F24" s="3737" t="s">
        <v>4074</v>
      </c>
      <c r="G24" s="3737">
        <v>15.05</v>
      </c>
      <c r="H24" s="3737">
        <v>85370</v>
      </c>
      <c r="I24" s="3737">
        <v>17629.080000000002</v>
      </c>
      <c r="J24" s="3737" t="s">
        <v>4075</v>
      </c>
      <c r="K24" s="3737" t="s">
        <v>4076</v>
      </c>
      <c r="M24" s="3738"/>
    </row>
    <row r="25" spans="1:13" ht="21">
      <c r="A25" s="3737">
        <v>8</v>
      </c>
      <c r="B25" s="3737" t="s">
        <v>4077</v>
      </c>
      <c r="C25" s="3737" t="s">
        <v>4044</v>
      </c>
      <c r="D25" s="3737" t="s">
        <v>4068</v>
      </c>
      <c r="E25" s="3737" t="s">
        <v>4078</v>
      </c>
      <c r="F25" s="3737" t="s">
        <v>4064</v>
      </c>
      <c r="G25" s="3737">
        <v>90.6</v>
      </c>
      <c r="H25" s="3737">
        <v>84180</v>
      </c>
      <c r="I25" s="3737">
        <v>107627</v>
      </c>
      <c r="J25" s="3737" t="s">
        <v>4105</v>
      </c>
      <c r="K25" s="3737" t="s">
        <v>4106</v>
      </c>
      <c r="M25" s="3738"/>
    </row>
    <row r="26" spans="1:13">
      <c r="A26" s="3737">
        <v>9</v>
      </c>
      <c r="B26" s="3737" t="s">
        <v>4079</v>
      </c>
      <c r="C26" s="3737" t="s">
        <v>4055</v>
      </c>
      <c r="D26" s="3737" t="s">
        <v>4080</v>
      </c>
      <c r="E26" s="3737" t="s">
        <v>4081</v>
      </c>
      <c r="F26" s="3737" t="s">
        <v>4082</v>
      </c>
      <c r="G26" s="3737">
        <v>43.3</v>
      </c>
      <c r="H26" s="3737">
        <v>55732</v>
      </c>
      <c r="I26" s="3737">
        <v>110996</v>
      </c>
      <c r="J26" s="3737" t="s">
        <v>4083</v>
      </c>
      <c r="K26" s="3737" t="s">
        <v>4084</v>
      </c>
      <c r="M26" s="3738"/>
    </row>
    <row r="27" spans="1:13" ht="36">
      <c r="A27" s="3737">
        <v>10</v>
      </c>
      <c r="B27" s="3737" t="s">
        <v>4085</v>
      </c>
      <c r="C27" s="3737" t="s">
        <v>4044</v>
      </c>
      <c r="D27" s="3737" t="s">
        <v>4086</v>
      </c>
      <c r="E27" s="3737" t="s">
        <v>4087</v>
      </c>
      <c r="F27" s="3737" t="s">
        <v>4074</v>
      </c>
      <c r="G27" s="3737">
        <v>16.45</v>
      </c>
      <c r="H27" s="3737">
        <v>39930</v>
      </c>
      <c r="I27" s="3737">
        <v>41197</v>
      </c>
      <c r="J27" s="3737" t="s">
        <v>4088</v>
      </c>
      <c r="K27" s="3737" t="s">
        <v>4089</v>
      </c>
      <c r="M27" s="3738"/>
    </row>
    <row r="28" spans="1:13">
      <c r="A28" s="3737">
        <v>11</v>
      </c>
      <c r="B28" s="3737" t="s">
        <v>4090</v>
      </c>
      <c r="C28" s="3737" t="s">
        <v>4091</v>
      </c>
      <c r="D28" s="3737" t="s">
        <v>4068</v>
      </c>
      <c r="E28" s="3737" t="s">
        <v>4092</v>
      </c>
      <c r="F28" s="3737" t="s">
        <v>4064</v>
      </c>
      <c r="G28" s="3737">
        <v>15.75</v>
      </c>
      <c r="H28" s="3737">
        <v>56726</v>
      </c>
      <c r="I28" s="3737">
        <v>27765</v>
      </c>
      <c r="J28" s="3737" t="s">
        <v>4093</v>
      </c>
      <c r="K28" s="3737" t="s">
        <v>4094</v>
      </c>
      <c r="M28" s="3738"/>
    </row>
    <row r="29" spans="1:13" ht="36">
      <c r="A29" s="3737">
        <v>12</v>
      </c>
      <c r="B29" s="3737" t="s">
        <v>4095</v>
      </c>
      <c r="C29" s="3737" t="s">
        <v>4044</v>
      </c>
      <c r="D29" s="3737" t="s">
        <v>4068</v>
      </c>
      <c r="E29" s="3736">
        <v>44835</v>
      </c>
      <c r="F29" s="3737" t="s">
        <v>4096</v>
      </c>
      <c r="G29" s="3737">
        <v>20.37</v>
      </c>
      <c r="H29" s="3737">
        <v>45510</v>
      </c>
      <c r="I29" s="3737">
        <v>44759.39</v>
      </c>
      <c r="J29" s="3737" t="s">
        <v>4097</v>
      </c>
      <c r="K29" s="3737" t="s">
        <v>4098</v>
      </c>
      <c r="M29" s="3738"/>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838" t="s">
        <v>949</v>
      </c>
      <c r="B1" s="3838"/>
      <c r="C1" s="3838"/>
      <c r="D1" s="3838"/>
    </row>
    <row r="2" spans="1:4" ht="18">
      <c r="A2" s="3839" t="s">
        <v>933</v>
      </c>
      <c r="B2" s="3839"/>
      <c r="C2" s="3839"/>
      <c r="D2" s="3839"/>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839" t="s">
        <v>939</v>
      </c>
      <c r="B6" s="3839"/>
      <c r="C6" s="3839"/>
      <c r="D6" s="3839"/>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840" t="s">
        <v>942</v>
      </c>
      <c r="B11" s="3832"/>
      <c r="C11" s="3832"/>
      <c r="D11" s="3832"/>
    </row>
    <row r="12" spans="1:4" ht="15.75">
      <c r="A12" s="38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37"/>
      <c r="C12" s="3837"/>
      <c r="D12" s="3837"/>
    </row>
    <row r="13" spans="1:4" ht="30" customHeight="1">
      <c r="A13" s="3832" t="str">
        <f>IF(项目基本情况!B8="抵押","3.抵押双方在办理抵押登记手续时，应使用本公司出具的正式《房地产评估报告》，特提醒报告使用者注意。","——")</f>
        <v>——</v>
      </c>
      <c r="B13" s="3837"/>
      <c r="C13" s="3837"/>
      <c r="D13" s="3837"/>
    </row>
    <row r="14" spans="1:4" ht="15.75" customHeight="1">
      <c r="A14" s="3832" t="str">
        <f>IF(项目基本情况!B8="抵押","4.本次评估估价师所知悉的法定优先受偿款情况说明如下：","——")</f>
        <v>——</v>
      </c>
      <c r="B14" s="3837"/>
      <c r="C14" s="3837"/>
      <c r="D14" s="3837"/>
    </row>
    <row r="15" spans="1:4" ht="42" customHeight="1">
      <c r="A15" s="3832" t="str">
        <f>IF(项目基本情况!B8="抵押","（1）"&amp;CONCATENATE(项目基本情况!L20,项目基本情况!L21,项目基本情况!L22),"——")</f>
        <v>——</v>
      </c>
      <c r="B15" s="3832"/>
      <c r="C15" s="3832"/>
      <c r="D15" s="3832"/>
    </row>
    <row r="16" spans="1:4" ht="30" customHeight="1">
      <c r="A16" s="3834" t="s">
        <v>943</v>
      </c>
      <c r="B16" s="3834"/>
      <c r="C16" s="3834"/>
      <c r="D16" s="3834"/>
    </row>
    <row r="17" spans="1:4" ht="144" customHeight="1">
      <c r="A17" s="3834" t="s">
        <v>944</v>
      </c>
      <c r="B17" s="3834"/>
      <c r="C17" s="3834"/>
      <c r="D17" s="3834"/>
    </row>
    <row r="18" spans="1:4" ht="15.75" customHeight="1">
      <c r="A18" s="3832" t="str">
        <f>IF(项目基本情况!B8="抵押",结果表!K120,"——")</f>
        <v>——</v>
      </c>
      <c r="B18" s="3832"/>
      <c r="C18" s="3832"/>
      <c r="D18" s="3832"/>
    </row>
    <row r="19" spans="1:4" ht="46.5" customHeight="1">
      <c r="A19" s="38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32"/>
      <c r="C19" s="3832"/>
      <c r="D19" s="3832"/>
    </row>
    <row r="20" spans="1:4" ht="57.75" customHeight="1">
      <c r="A20" s="38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32"/>
      <c r="C20" s="3832"/>
      <c r="D20" s="3832"/>
    </row>
    <row r="21" spans="1:4" ht="57.75" customHeight="1">
      <c r="A21" s="38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35"/>
      <c r="C21" s="3835"/>
      <c r="D21" s="3835"/>
    </row>
    <row r="22" spans="1:4" ht="18.75" customHeight="1">
      <c r="A22" s="3836" t="s">
        <v>945</v>
      </c>
      <c r="B22" s="3836"/>
      <c r="C22" s="3836"/>
      <c r="D22" s="3836"/>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833">
        <v>42551</v>
      </c>
      <c r="D31" s="38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846" t="s">
        <v>956</v>
      </c>
      <c r="B15" s="3841" t="s">
        <v>109</v>
      </c>
      <c r="C15" s="3842"/>
    </row>
    <row r="16" spans="1:7" ht="13.5">
      <c r="A16" s="3847"/>
      <c r="B16" s="3841" t="s">
        <v>42</v>
      </c>
      <c r="C16" s="3842"/>
    </row>
    <row r="17" spans="1:3" ht="13.5">
      <c r="A17" s="3847"/>
      <c r="B17" s="3844" t="s">
        <v>957</v>
      </c>
      <c r="C17" s="1527" t="s">
        <v>956</v>
      </c>
    </row>
    <row r="18" spans="1:3" ht="13.5">
      <c r="A18" s="3847"/>
      <c r="B18" s="3844"/>
      <c r="C18" s="1527" t="s">
        <v>958</v>
      </c>
    </row>
    <row r="19" spans="1:3" ht="13.5">
      <c r="A19" s="3847"/>
      <c r="B19" s="3844"/>
      <c r="C19" s="1527" t="s">
        <v>959</v>
      </c>
    </row>
    <row r="20" spans="1:3" ht="13.5">
      <c r="A20" s="3848"/>
      <c r="B20" s="3843" t="s">
        <v>960</v>
      </c>
      <c r="C20" s="3842"/>
    </row>
    <row r="21" spans="1:3" ht="13.5">
      <c r="A21" s="1528" t="s">
        <v>961</v>
      </c>
      <c r="B21" s="1529"/>
      <c r="C21" s="1530"/>
    </row>
    <row r="22" spans="1:3" ht="13.5">
      <c r="A22" s="3845" t="s">
        <v>962</v>
      </c>
      <c r="B22" s="3843" t="s">
        <v>963</v>
      </c>
      <c r="C22" s="3842"/>
    </row>
    <row r="23" spans="1:3" ht="13.5">
      <c r="A23" s="3845"/>
      <c r="B23" s="3843" t="s">
        <v>964</v>
      </c>
      <c r="C23" s="3842"/>
    </row>
    <row r="24" spans="1:3" ht="13.5">
      <c r="A24" s="3845"/>
      <c r="B24" s="3843" t="s">
        <v>965</v>
      </c>
      <c r="C24" s="3842"/>
    </row>
    <row r="25" spans="1:3" ht="13.5">
      <c r="A25" s="3845"/>
      <c r="B25" s="3844" t="s">
        <v>966</v>
      </c>
      <c r="C25" s="1527" t="s">
        <v>967</v>
      </c>
    </row>
    <row r="26" spans="1:3" ht="13.5">
      <c r="A26" s="3845"/>
      <c r="B26" s="3844"/>
      <c r="C26" s="1527" t="s">
        <v>968</v>
      </c>
    </row>
    <row r="27" spans="1:3" ht="13.5">
      <c r="A27" s="3845"/>
      <c r="B27" s="3844"/>
      <c r="C27" s="1527" t="s">
        <v>969</v>
      </c>
    </row>
    <row r="28" spans="1:3" ht="13.5">
      <c r="A28" s="3845"/>
      <c r="B28" s="3844"/>
      <c r="C28" s="1527" t="s">
        <v>970</v>
      </c>
    </row>
    <row r="29" spans="1:3" ht="13.5">
      <c r="A29" s="3845"/>
      <c r="B29" s="3844"/>
      <c r="C29" s="1527" t="s">
        <v>971</v>
      </c>
    </row>
    <row r="30" spans="1:3" ht="13.5">
      <c r="A30" s="3845"/>
      <c r="B30" s="3844"/>
      <c r="C30" s="1527" t="s">
        <v>972</v>
      </c>
    </row>
    <row r="31" spans="1:3" ht="13.5">
      <c r="A31" s="3845"/>
      <c r="B31" s="3844"/>
      <c r="C31" s="1527" t="s">
        <v>973</v>
      </c>
    </row>
    <row r="32" spans="1:3" ht="13.5">
      <c r="A32" s="3845"/>
      <c r="B32" s="3844"/>
      <c r="C32" s="1527" t="s">
        <v>974</v>
      </c>
    </row>
    <row r="33" spans="1:3" ht="13.5">
      <c r="A33" s="3845"/>
      <c r="B33" s="3844"/>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45344</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f ca="1">IF(C6&lt;B2,"已过期",1120050019)</f>
        <v>1120050019</v>
      </c>
      <c r="C6" s="2340">
        <v>45410</v>
      </c>
      <c r="D6" s="2341" t="str">
        <f t="shared" ca="1" si="0"/>
        <v>王鹏（注册号：1120050019）</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f ca="1">IF(C13&lt;B2,"已过期",1120020033)</f>
        <v>1120020033</v>
      </c>
      <c r="C13" s="2340">
        <v>45375</v>
      </c>
      <c r="D13" s="2341" t="str">
        <f t="shared" ca="1" si="0"/>
        <v>刘敬东（注册号：1120020033）</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2424</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849" t="s">
        <v>2160</v>
      </c>
      <c r="B17" s="3849"/>
      <c r="C17" s="3849"/>
      <c r="D17" s="3849"/>
      <c r="E17" s="3849"/>
      <c r="F17" s="3849"/>
      <c r="G17" s="3849"/>
      <c r="H17" s="3849"/>
    </row>
    <row r="18" spans="1:8" ht="24" customHeight="1">
      <c r="A18" s="3850" t="s">
        <v>2161</v>
      </c>
      <c r="B18" s="3850"/>
      <c r="C18" s="3850"/>
      <c r="D18" s="2338"/>
      <c r="E18" s="3851" t="s">
        <v>2162</v>
      </c>
      <c r="F18" s="3850"/>
      <c r="G18" s="3850"/>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2425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159</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区域分配表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酒店收益法</vt:lpstr>
      <vt:lpstr>商业收益法</vt:lpstr>
      <vt:lpstr>收益法 (元)</vt:lpstr>
      <vt:lpstr>办公收益法</vt:lpstr>
      <vt:lpstr>地下车库收益法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基准地价修正-70年公寓</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商业租约</vt:lpstr>
      <vt:lpstr>办公租约</vt:lpstr>
      <vt:lpstr>租金案例</vt:lpstr>
      <vt:lpstr>酒店及大宗</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'基准地价修正-70年公寓'!Print_Area</vt:lpstr>
      <vt:lpstr>'基准地价修正-酒店'!Print_Area</vt:lpstr>
      <vt:lpstr>'基准地价修正-商业'!Print_Area</vt:lpstr>
      <vt:lpstr>假设开发法!Print_Area</vt:lpstr>
      <vt:lpstr>结果表!Print_Area</vt:lpstr>
      <vt:lpstr>酒店收益法!Print_Area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'基准地价修正-70年公寓'!季度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2024-02-22T06:36:42Z</dcterms:modified>
</cp:coreProperties>
</file>