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125" tabRatio="899" firstSheet="10"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externalReferences>
    <externalReference r:id="rId47"/>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I65" i="78"/>
  <c r="I66"/>
  <c r="I67"/>
  <c r="I68"/>
  <c r="I69"/>
  <c r="I70"/>
  <c r="I71"/>
  <c r="I72"/>
  <c r="I73"/>
  <c r="I74"/>
  <c r="I75"/>
  <c r="I76"/>
  <c r="I77"/>
  <c r="I78"/>
  <c r="I79"/>
  <c r="I80"/>
  <c r="I81"/>
  <c r="I82"/>
  <c r="I83"/>
  <c r="I84"/>
  <c r="I85"/>
  <c r="I86"/>
  <c r="I87"/>
  <c r="I88"/>
  <c r="I64"/>
  <c r="G65"/>
  <c r="G66"/>
  <c r="G67"/>
  <c r="G68"/>
  <c r="G69"/>
  <c r="G70"/>
  <c r="G71"/>
  <c r="G72"/>
  <c r="G73"/>
  <c r="G74"/>
  <c r="G75"/>
  <c r="G76"/>
  <c r="G77"/>
  <c r="G78"/>
  <c r="G79"/>
  <c r="G80"/>
  <c r="G81"/>
  <c r="G82"/>
  <c r="G83"/>
  <c r="G84"/>
  <c r="G85"/>
  <c r="G86"/>
  <c r="G87"/>
  <c r="G88"/>
  <c r="G64"/>
  <c r="E65"/>
  <c r="E66"/>
  <c r="E67"/>
  <c r="E68"/>
  <c r="E69"/>
  <c r="E70"/>
  <c r="E71"/>
  <c r="E72"/>
  <c r="E73"/>
  <c r="E74"/>
  <c r="E75"/>
  <c r="E76"/>
  <c r="E77"/>
  <c r="E78"/>
  <c r="E79"/>
  <c r="E80"/>
  <c r="E81"/>
  <c r="E82"/>
  <c r="E83"/>
  <c r="E84"/>
  <c r="E85"/>
  <c r="E86"/>
  <c r="E87"/>
  <c r="E88"/>
  <c r="E64"/>
  <c r="C79"/>
  <c r="C80"/>
  <c r="C81"/>
  <c r="C82"/>
  <c r="C83"/>
  <c r="C84"/>
  <c r="C85"/>
  <c r="C86"/>
  <c r="C87"/>
  <c r="C88"/>
  <c r="C78"/>
  <c r="C70"/>
  <c r="C71"/>
  <c r="C72"/>
  <c r="C73"/>
  <c r="C74"/>
  <c r="C75"/>
  <c r="C76"/>
  <c r="C77"/>
  <c r="C69"/>
  <c r="C49"/>
  <c r="C50"/>
  <c r="C51"/>
  <c r="C52"/>
  <c r="C53"/>
  <c r="C54"/>
  <c r="C55"/>
  <c r="C56"/>
  <c r="C57"/>
  <c r="C58"/>
  <c r="C48"/>
  <c r="C40"/>
  <c r="C41"/>
  <c r="C42"/>
  <c r="C43"/>
  <c r="C44"/>
  <c r="C45"/>
  <c r="C46"/>
  <c r="C47"/>
  <c r="C39"/>
  <c r="C37"/>
  <c r="C38"/>
  <c r="C36"/>
  <c r="C15" i="74"/>
  <c r="B15"/>
  <c r="W21" i="31"/>
  <c r="A25"/>
  <c r="B25"/>
  <c r="A26"/>
  <c r="B26"/>
  <c r="A27"/>
  <c r="B27"/>
  <c r="A28"/>
  <c r="B28"/>
  <c r="A29"/>
  <c r="B29"/>
  <c r="A30"/>
  <c r="B30"/>
  <c r="A31"/>
  <c r="B31"/>
  <c r="A32"/>
  <c r="B32"/>
  <c r="A33"/>
  <c r="B33"/>
  <c r="A34"/>
  <c r="B34"/>
  <c r="A35"/>
  <c r="B35"/>
  <c r="A36"/>
  <c r="B36"/>
  <c r="A37"/>
  <c r="B37"/>
  <c r="A38"/>
  <c r="B38"/>
  <c r="A39"/>
  <c r="B39"/>
  <c r="A40"/>
  <c r="B40"/>
  <c r="A41"/>
  <c r="B41"/>
  <c r="A42"/>
  <c r="B42"/>
  <c r="A43"/>
  <c r="B43"/>
  <c r="A44"/>
  <c r="B44"/>
  <c r="A45"/>
  <c r="B45"/>
  <c r="A46"/>
  <c r="B46"/>
  <c r="A47"/>
  <c r="B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A72"/>
  <c r="B72"/>
  <c r="A73"/>
  <c r="B73"/>
  <c r="A74"/>
  <c r="B74"/>
  <c r="A75"/>
  <c r="B75"/>
  <c r="A76"/>
  <c r="B76"/>
  <c r="A77"/>
  <c r="B77"/>
  <c r="A78"/>
  <c r="B78"/>
  <c r="A79"/>
  <c r="B79"/>
  <c r="A80"/>
  <c r="B80"/>
  <c r="A81"/>
  <c r="B81"/>
  <c r="A82"/>
  <c r="B82"/>
  <c r="A83"/>
  <c r="B83"/>
  <c r="A84"/>
  <c r="B84"/>
  <c r="A85"/>
  <c r="B85"/>
  <c r="A86"/>
  <c r="B86"/>
  <c r="A87"/>
  <c r="B87"/>
  <c r="A88"/>
  <c r="B88"/>
  <c r="A89"/>
  <c r="B89"/>
  <c r="A90"/>
  <c r="B90"/>
  <c r="A91"/>
  <c r="B91"/>
  <c r="A92"/>
  <c r="B92"/>
  <c r="A93"/>
  <c r="B93"/>
  <c r="A94"/>
  <c r="B94"/>
  <c r="A95"/>
  <c r="B95"/>
  <c r="A96"/>
  <c r="B96"/>
  <c r="A97"/>
  <c r="B97"/>
  <c r="A98"/>
  <c r="B98"/>
  <c r="A99"/>
  <c r="B99"/>
  <c r="A100"/>
  <c r="B100"/>
  <c r="A101"/>
  <c r="B101"/>
  <c r="A102"/>
  <c r="B102"/>
  <c r="A103"/>
  <c r="B103"/>
  <c r="A104"/>
  <c r="B104"/>
  <c r="A105"/>
  <c r="B105"/>
  <c r="A106"/>
  <c r="B106"/>
  <c r="A107"/>
  <c r="B107"/>
  <c r="A108"/>
  <c r="B108"/>
  <c r="A109"/>
  <c r="B109"/>
  <c r="A110"/>
  <c r="B110"/>
  <c r="A111"/>
  <c r="B111"/>
  <c r="A112"/>
  <c r="B112"/>
  <c r="A113"/>
  <c r="B113"/>
  <c r="A114"/>
  <c r="B114"/>
  <c r="A115"/>
  <c r="B115"/>
  <c r="A116"/>
  <c r="B116"/>
  <c r="A117"/>
  <c r="B117"/>
  <c r="A118"/>
  <c r="B118"/>
  <c r="A119"/>
  <c r="B119"/>
  <c r="A120"/>
  <c r="B120"/>
  <c r="A121"/>
  <c r="B121"/>
  <c r="A122"/>
  <c r="B122"/>
  <c r="A123"/>
  <c r="B123"/>
  <c r="A124"/>
  <c r="B124"/>
  <c r="A125"/>
  <c r="B125"/>
  <c r="A126"/>
  <c r="B126"/>
  <c r="A127"/>
  <c r="B127"/>
  <c r="A128"/>
  <c r="B128"/>
  <c r="A129"/>
  <c r="B129"/>
  <c r="A130"/>
  <c r="B130"/>
  <c r="A131"/>
  <c r="B131"/>
  <c r="A132"/>
  <c r="B132"/>
  <c r="A133"/>
  <c r="B133"/>
  <c r="A134"/>
  <c r="B134"/>
  <c r="A135"/>
  <c r="B135"/>
  <c r="A136"/>
  <c r="B136"/>
  <c r="A137"/>
  <c r="B137"/>
  <c r="A138"/>
  <c r="B138"/>
  <c r="A139"/>
  <c r="B139"/>
  <c r="A140"/>
  <c r="B140"/>
  <c r="A141"/>
  <c r="B141"/>
  <c r="A142"/>
  <c r="B142"/>
  <c r="A143"/>
  <c r="B143"/>
  <c r="A144"/>
  <c r="B144"/>
  <c r="A145"/>
  <c r="B145"/>
  <c r="A146"/>
  <c r="B146"/>
  <c r="A147"/>
  <c r="B147"/>
  <c r="A148"/>
  <c r="B148"/>
  <c r="A149"/>
  <c r="B149"/>
  <c r="A150"/>
  <c r="B150"/>
  <c r="A151"/>
  <c r="B151"/>
  <c r="A152"/>
  <c r="B152"/>
  <c r="A153"/>
  <c r="B153"/>
  <c r="A154"/>
  <c r="B154"/>
  <c r="A155"/>
  <c r="B155"/>
  <c r="A156"/>
  <c r="B156"/>
  <c r="A157"/>
  <c r="B157"/>
  <c r="A158"/>
  <c r="B158"/>
  <c r="A159"/>
  <c r="B159"/>
  <c r="A160"/>
  <c r="B160"/>
  <c r="A161"/>
  <c r="B161"/>
  <c r="A162"/>
  <c r="B162"/>
  <c r="A163"/>
  <c r="B163"/>
  <c r="A164"/>
  <c r="B164"/>
  <c r="A165"/>
  <c r="B165"/>
  <c r="A166"/>
  <c r="B166"/>
  <c r="A167"/>
  <c r="B167"/>
  <c r="A168"/>
  <c r="B168"/>
  <c r="A169"/>
  <c r="B169"/>
  <c r="A170"/>
  <c r="B170"/>
  <c r="A171"/>
  <c r="B171"/>
  <c r="A172"/>
  <c r="B172"/>
  <c r="A173"/>
  <c r="B173"/>
  <c r="A174"/>
  <c r="B174"/>
  <c r="A175"/>
  <c r="B175"/>
  <c r="A176"/>
  <c r="B176"/>
  <c r="A177"/>
  <c r="B177"/>
  <c r="A178"/>
  <c r="B178"/>
  <c r="A179"/>
  <c r="B179"/>
  <c r="A180"/>
  <c r="B180"/>
  <c r="A181"/>
  <c r="B181"/>
  <c r="A182"/>
  <c r="B182"/>
  <c r="A183"/>
  <c r="B183"/>
  <c r="A184"/>
  <c r="B184"/>
  <c r="A185"/>
  <c r="B185"/>
  <c r="A186"/>
  <c r="B186"/>
  <c r="A187"/>
  <c r="B187"/>
  <c r="A188"/>
  <c r="B188"/>
  <c r="A189"/>
  <c r="B189"/>
  <c r="A190"/>
  <c r="B190"/>
  <c r="A191"/>
  <c r="B191"/>
  <c r="A192"/>
  <c r="B192"/>
  <c r="A193"/>
  <c r="B193"/>
  <c r="A194"/>
  <c r="B194"/>
  <c r="A195"/>
  <c r="B195"/>
  <c r="A196"/>
  <c r="B196"/>
  <c r="A197"/>
  <c r="B197"/>
  <c r="A198"/>
  <c r="B198"/>
  <c r="A199"/>
  <c r="B199"/>
  <c r="A200"/>
  <c r="B200"/>
  <c r="A201"/>
  <c r="B201"/>
  <c r="A202"/>
  <c r="B202"/>
  <c r="A203"/>
  <c r="B203"/>
  <c r="A204"/>
  <c r="B204"/>
  <c r="A205"/>
  <c r="B205"/>
  <c r="A206"/>
  <c r="B206"/>
  <c r="A207"/>
  <c r="B207"/>
  <c r="A208"/>
  <c r="B208"/>
  <c r="A209"/>
  <c r="B209"/>
  <c r="A210"/>
  <c r="B210"/>
  <c r="A211"/>
  <c r="B211"/>
  <c r="A212"/>
  <c r="B212"/>
  <c r="A213"/>
  <c r="B213"/>
  <c r="A214"/>
  <c r="B214"/>
  <c r="A215"/>
  <c r="B215"/>
  <c r="A216"/>
  <c r="B216"/>
  <c r="A217"/>
  <c r="B217"/>
  <c r="A218"/>
  <c r="B218"/>
  <c r="A219"/>
  <c r="B219"/>
  <c r="A220"/>
  <c r="B220"/>
  <c r="A221"/>
  <c r="B221"/>
  <c r="A222"/>
  <c r="B222"/>
  <c r="A223"/>
  <c r="B223"/>
  <c r="A224"/>
  <c r="B224"/>
  <c r="A225"/>
  <c r="B225"/>
  <c r="A226"/>
  <c r="B226"/>
  <c r="A227"/>
  <c r="B227"/>
  <c r="A228"/>
  <c r="B228"/>
  <c r="A229"/>
  <c r="B229"/>
  <c r="A230"/>
  <c r="B230"/>
  <c r="A231"/>
  <c r="B231"/>
  <c r="A232"/>
  <c r="B232"/>
  <c r="A233"/>
  <c r="B233"/>
  <c r="A234"/>
  <c r="B234"/>
  <c r="A235"/>
  <c r="B235"/>
  <c r="A236"/>
  <c r="B236"/>
  <c r="A237"/>
  <c r="B237"/>
  <c r="A238"/>
  <c r="B238"/>
  <c r="A239"/>
  <c r="B239"/>
  <c r="A240"/>
  <c r="B240"/>
  <c r="A241"/>
  <c r="B241"/>
  <c r="A242"/>
  <c r="B242"/>
  <c r="A243"/>
  <c r="B243"/>
  <c r="A244"/>
  <c r="B244"/>
  <c r="A245"/>
  <c r="B245"/>
  <c r="A246"/>
  <c r="B246"/>
  <c r="A247"/>
  <c r="B247"/>
  <c r="A248"/>
  <c r="B248"/>
  <c r="A249"/>
  <c r="B249"/>
  <c r="A250"/>
  <c r="B250"/>
  <c r="A251"/>
  <c r="B251"/>
  <c r="A252"/>
  <c r="B252"/>
  <c r="A253"/>
  <c r="B253"/>
  <c r="A254"/>
  <c r="B254"/>
  <c r="A255"/>
  <c r="B255"/>
  <c r="A256"/>
  <c r="B256"/>
  <c r="A257"/>
  <c r="B257"/>
  <c r="A258"/>
  <c r="B258"/>
  <c r="A259"/>
  <c r="B259"/>
  <c r="A260"/>
  <c r="B260"/>
  <c r="A261"/>
  <c r="B261"/>
  <c r="A262"/>
  <c r="B262"/>
  <c r="A263"/>
  <c r="B263"/>
  <c r="A264"/>
  <c r="B264"/>
  <c r="A265"/>
  <c r="B265"/>
  <c r="A266"/>
  <c r="B266"/>
  <c r="A267"/>
  <c r="B267"/>
  <c r="A268"/>
  <c r="B268"/>
  <c r="A269"/>
  <c r="B269"/>
  <c r="A270"/>
  <c r="B270"/>
  <c r="A271"/>
  <c r="B271"/>
  <c r="A272"/>
  <c r="B272"/>
  <c r="A273"/>
  <c r="B273"/>
  <c r="A274"/>
  <c r="B274"/>
  <c r="A275"/>
  <c r="B275"/>
  <c r="A276"/>
  <c r="B276"/>
  <c r="A277"/>
  <c r="B277"/>
  <c r="A278"/>
  <c r="B278"/>
  <c r="A279"/>
  <c r="B279"/>
  <c r="A280"/>
  <c r="B280"/>
  <c r="A281"/>
  <c r="B281"/>
  <c r="A282"/>
  <c r="B282"/>
  <c r="A283"/>
  <c r="B283"/>
  <c r="A284"/>
  <c r="B284"/>
  <c r="A285"/>
  <c r="B285"/>
  <c r="A286"/>
  <c r="B286"/>
  <c r="A287"/>
  <c r="B287"/>
  <c r="A288"/>
  <c r="B288"/>
  <c r="A289"/>
  <c r="B289"/>
  <c r="A290"/>
  <c r="B290"/>
  <c r="A291"/>
  <c r="B291"/>
  <c r="A292"/>
  <c r="B292"/>
  <c r="A293"/>
  <c r="B293"/>
  <c r="A294"/>
  <c r="B294"/>
  <c r="A295"/>
  <c r="B295"/>
  <c r="A296"/>
  <c r="B296"/>
  <c r="A297"/>
  <c r="B297"/>
  <c r="A298"/>
  <c r="B298"/>
  <c r="A299"/>
  <c r="B299"/>
  <c r="A300"/>
  <c r="B300"/>
  <c r="A301"/>
  <c r="B301"/>
  <c r="A302"/>
  <c r="B302"/>
  <c r="A303"/>
  <c r="B303"/>
  <c r="A304"/>
  <c r="B304"/>
  <c r="A305"/>
  <c r="B305"/>
  <c r="A306"/>
  <c r="B306"/>
  <c r="A307"/>
  <c r="B307"/>
  <c r="A308"/>
  <c r="B308"/>
  <c r="A309"/>
  <c r="B309"/>
  <c r="A310"/>
  <c r="B310"/>
  <c r="A311"/>
  <c r="B311"/>
  <c r="A312"/>
  <c r="B312"/>
  <c r="A313"/>
  <c r="B313"/>
  <c r="A314"/>
  <c r="B314"/>
  <c r="A315"/>
  <c r="B315"/>
  <c r="A316"/>
  <c r="B316"/>
  <c r="A317"/>
  <c r="B317"/>
  <c r="A318"/>
  <c r="B318"/>
  <c r="A319"/>
  <c r="B319"/>
  <c r="A320"/>
  <c r="B320"/>
  <c r="A321"/>
  <c r="B321"/>
  <c r="A322"/>
  <c r="B322"/>
  <c r="A323"/>
  <c r="B323"/>
  <c r="A324"/>
  <c r="B324"/>
  <c r="A325"/>
  <c r="B325"/>
  <c r="A326"/>
  <c r="B326"/>
  <c r="A327"/>
  <c r="B327"/>
  <c r="A328"/>
  <c r="B328"/>
  <c r="A329"/>
  <c r="B329"/>
  <c r="A330"/>
  <c r="B330"/>
  <c r="A331"/>
  <c r="B331"/>
  <c r="A332"/>
  <c r="B332"/>
  <c r="A333"/>
  <c r="B333"/>
  <c r="A334"/>
  <c r="B334"/>
  <c r="A335"/>
  <c r="B335"/>
  <c r="A336"/>
  <c r="B336"/>
  <c r="A337"/>
  <c r="B337"/>
  <c r="A338"/>
  <c r="B338"/>
  <c r="A339"/>
  <c r="B339"/>
  <c r="A340"/>
  <c r="B340"/>
  <c r="A341"/>
  <c r="B341"/>
  <c r="A342"/>
  <c r="B342"/>
  <c r="A343"/>
  <c r="B343"/>
  <c r="A344"/>
  <c r="B344"/>
  <c r="A345"/>
  <c r="B345"/>
  <c r="A346"/>
  <c r="B346"/>
  <c r="A347"/>
  <c r="B347"/>
  <c r="A348"/>
  <c r="B348"/>
  <c r="A349"/>
  <c r="B349"/>
  <c r="A350"/>
  <c r="B350"/>
  <c r="A351"/>
  <c r="B351"/>
  <c r="A352"/>
  <c r="B352"/>
  <c r="A353"/>
  <c r="B353"/>
  <c r="A354"/>
  <c r="B354"/>
  <c r="A355"/>
  <c r="B355"/>
  <c r="A356"/>
  <c r="B356"/>
  <c r="A357"/>
  <c r="B357"/>
  <c r="A358"/>
  <c r="B358"/>
  <c r="A359"/>
  <c r="B359"/>
  <c r="A360"/>
  <c r="B360"/>
  <c r="A361"/>
  <c r="B361"/>
  <c r="A362"/>
  <c r="B362"/>
  <c r="A363"/>
  <c r="B363"/>
  <c r="A364"/>
  <c r="B364"/>
  <c r="A365"/>
  <c r="B365"/>
  <c r="A366"/>
  <c r="B366"/>
  <c r="A367"/>
  <c r="B367"/>
  <c r="A368"/>
  <c r="B368"/>
  <c r="A369"/>
  <c r="B369"/>
  <c r="A370"/>
  <c r="B370"/>
  <c r="A371"/>
  <c r="B371"/>
  <c r="A372"/>
  <c r="B372"/>
  <c r="A373"/>
  <c r="B373"/>
  <c r="A374"/>
  <c r="B374"/>
  <c r="A375"/>
  <c r="B375"/>
  <c r="A376"/>
  <c r="B376"/>
  <c r="A377"/>
  <c r="B377"/>
  <c r="A378"/>
  <c r="B378"/>
  <c r="A379"/>
  <c r="B379"/>
  <c r="A380"/>
  <c r="B380"/>
  <c r="A381"/>
  <c r="B381"/>
  <c r="A382"/>
  <c r="B382"/>
  <c r="A383"/>
  <c r="B383"/>
  <c r="A24"/>
  <c r="B24"/>
  <c r="L51" i="77"/>
  <c r="L50"/>
  <c r="L49"/>
  <c r="E363"/>
  <c r="U25" i="31"/>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135"/>
  <c r="U136"/>
  <c r="U137"/>
  <c r="U138"/>
  <c r="U139"/>
  <c r="U140"/>
  <c r="U141"/>
  <c r="U142"/>
  <c r="U143"/>
  <c r="U144"/>
  <c r="U145"/>
  <c r="U146"/>
  <c r="U147"/>
  <c r="U148"/>
  <c r="U149"/>
  <c r="U150"/>
  <c r="U151"/>
  <c r="U152"/>
  <c r="U153"/>
  <c r="U154"/>
  <c r="U155"/>
  <c r="U156"/>
  <c r="U157"/>
  <c r="U158"/>
  <c r="U159"/>
  <c r="U160"/>
  <c r="U161"/>
  <c r="U162"/>
  <c r="U163"/>
  <c r="U164"/>
  <c r="U165"/>
  <c r="U166"/>
  <c r="U167"/>
  <c r="U168"/>
  <c r="U169"/>
  <c r="U170"/>
  <c r="U171"/>
  <c r="U172"/>
  <c r="U173"/>
  <c r="U174"/>
  <c r="U175"/>
  <c r="U176"/>
  <c r="U177"/>
  <c r="U178"/>
  <c r="U179"/>
  <c r="U180"/>
  <c r="U181"/>
  <c r="U182"/>
  <c r="U183"/>
  <c r="U184"/>
  <c r="U185"/>
  <c r="U186"/>
  <c r="U187"/>
  <c r="U188"/>
  <c r="U189"/>
  <c r="U190"/>
  <c r="U191"/>
  <c r="U192"/>
  <c r="U193"/>
  <c r="U194"/>
  <c r="U195"/>
  <c r="U196"/>
  <c r="U197"/>
  <c r="U198"/>
  <c r="U199"/>
  <c r="U200"/>
  <c r="U201"/>
  <c r="U202"/>
  <c r="U203"/>
  <c r="U204"/>
  <c r="U205"/>
  <c r="U206"/>
  <c r="U207"/>
  <c r="U208"/>
  <c r="U209"/>
  <c r="U210"/>
  <c r="U211"/>
  <c r="U212"/>
  <c r="U213"/>
  <c r="U214"/>
  <c r="U215"/>
  <c r="U216"/>
  <c r="U217"/>
  <c r="U218"/>
  <c r="U219"/>
  <c r="U220"/>
  <c r="U221"/>
  <c r="U222"/>
  <c r="U223"/>
  <c r="U224"/>
  <c r="U225"/>
  <c r="U226"/>
  <c r="U227"/>
  <c r="U228"/>
  <c r="U229"/>
  <c r="U230"/>
  <c r="U231"/>
  <c r="U232"/>
  <c r="U233"/>
  <c r="U234"/>
  <c r="U235"/>
  <c r="U236"/>
  <c r="U237"/>
  <c r="U238"/>
  <c r="U239"/>
  <c r="U240"/>
  <c r="U241"/>
  <c r="U242"/>
  <c r="U243"/>
  <c r="U244"/>
  <c r="U245"/>
  <c r="U246"/>
  <c r="U247"/>
  <c r="U248"/>
  <c r="U249"/>
  <c r="U250"/>
  <c r="U251"/>
  <c r="U252"/>
  <c r="U253"/>
  <c r="U254"/>
  <c r="U255"/>
  <c r="U256"/>
  <c r="U257"/>
  <c r="U258"/>
  <c r="U259"/>
  <c r="U260"/>
  <c r="U261"/>
  <c r="U262"/>
  <c r="U263"/>
  <c r="U264"/>
  <c r="U265"/>
  <c r="U266"/>
  <c r="U267"/>
  <c r="U268"/>
  <c r="U269"/>
  <c r="U270"/>
  <c r="U271"/>
  <c r="U272"/>
  <c r="U273"/>
  <c r="U274"/>
  <c r="U275"/>
  <c r="U276"/>
  <c r="U277"/>
  <c r="U278"/>
  <c r="U279"/>
  <c r="U280"/>
  <c r="U281"/>
  <c r="U282"/>
  <c r="U283"/>
  <c r="U284"/>
  <c r="U285"/>
  <c r="U286"/>
  <c r="U287"/>
  <c r="U288"/>
  <c r="U289"/>
  <c r="U290"/>
  <c r="U291"/>
  <c r="U292"/>
  <c r="U293"/>
  <c r="U294"/>
  <c r="U295"/>
  <c r="U296"/>
  <c r="U297"/>
  <c r="U298"/>
  <c r="U299"/>
  <c r="U300"/>
  <c r="U301"/>
  <c r="U302"/>
  <c r="U303"/>
  <c r="U304"/>
  <c r="U305"/>
  <c r="U306"/>
  <c r="U307"/>
  <c r="U308"/>
  <c r="U309"/>
  <c r="U310"/>
  <c r="U311"/>
  <c r="U312"/>
  <c r="U313"/>
  <c r="U314"/>
  <c r="U315"/>
  <c r="U316"/>
  <c r="U317"/>
  <c r="U318"/>
  <c r="U319"/>
  <c r="U320"/>
  <c r="U321"/>
  <c r="U322"/>
  <c r="U323"/>
  <c r="U324"/>
  <c r="U325"/>
  <c r="U326"/>
  <c r="U327"/>
  <c r="U328"/>
  <c r="U329"/>
  <c r="U330"/>
  <c r="U331"/>
  <c r="U332"/>
  <c r="U333"/>
  <c r="U334"/>
  <c r="U335"/>
  <c r="U336"/>
  <c r="U337"/>
  <c r="U338"/>
  <c r="U339"/>
  <c r="U340"/>
  <c r="U341"/>
  <c r="U342"/>
  <c r="U343"/>
  <c r="U344"/>
  <c r="U345"/>
  <c r="U346"/>
  <c r="U347"/>
  <c r="U348"/>
  <c r="U349"/>
  <c r="U350"/>
  <c r="U351"/>
  <c r="U352"/>
  <c r="U353"/>
  <c r="U354"/>
  <c r="U355"/>
  <c r="U356"/>
  <c r="U357"/>
  <c r="U358"/>
  <c r="U359"/>
  <c r="U360"/>
  <c r="U361"/>
  <c r="U362"/>
  <c r="U363"/>
  <c r="U364"/>
  <c r="U365"/>
  <c r="U366"/>
  <c r="U367"/>
  <c r="U368"/>
  <c r="U369"/>
  <c r="U370"/>
  <c r="U371"/>
  <c r="U372"/>
  <c r="U373"/>
  <c r="U374"/>
  <c r="U375"/>
  <c r="U376"/>
  <c r="U377"/>
  <c r="U378"/>
  <c r="U379"/>
  <c r="U380"/>
  <c r="U381"/>
  <c r="U382"/>
  <c r="U383"/>
  <c r="U24"/>
  <c r="N4" i="77"/>
  <c r="V25" i="31"/>
  <c r="W25" s="1"/>
  <c r="V26"/>
  <c r="W26"/>
  <c r="V27"/>
  <c r="W27"/>
  <c r="V28"/>
  <c r="W28"/>
  <c r="V29"/>
  <c r="W29"/>
  <c r="V30"/>
  <c r="W30"/>
  <c r="V31"/>
  <c r="W31"/>
  <c r="V32"/>
  <c r="W32"/>
  <c r="V33"/>
  <c r="W33"/>
  <c r="V34"/>
  <c r="W34"/>
  <c r="V35"/>
  <c r="W35"/>
  <c r="V36"/>
  <c r="W36"/>
  <c r="V37"/>
  <c r="W37"/>
  <c r="V38"/>
  <c r="W38"/>
  <c r="V39"/>
  <c r="W39"/>
  <c r="V40"/>
  <c r="W40"/>
  <c r="V41"/>
  <c r="W41"/>
  <c r="V42"/>
  <c r="W42"/>
  <c r="V43"/>
  <c r="W43"/>
  <c r="V44"/>
  <c r="W44"/>
  <c r="V45"/>
  <c r="W45"/>
  <c r="V46"/>
  <c r="W46"/>
  <c r="V47"/>
  <c r="W47"/>
  <c r="V48"/>
  <c r="W48"/>
  <c r="V49"/>
  <c r="W49"/>
  <c r="V50"/>
  <c r="W50"/>
  <c r="V51"/>
  <c r="W51"/>
  <c r="V52"/>
  <c r="W52"/>
  <c r="V53"/>
  <c r="W53"/>
  <c r="V54"/>
  <c r="W54"/>
  <c r="V55"/>
  <c r="W55"/>
  <c r="V56"/>
  <c r="W56"/>
  <c r="V57"/>
  <c r="W57"/>
  <c r="V58"/>
  <c r="W58"/>
  <c r="V59"/>
  <c r="W59"/>
  <c r="V60"/>
  <c r="W60"/>
  <c r="V61"/>
  <c r="W61"/>
  <c r="V62"/>
  <c r="W62"/>
  <c r="V63"/>
  <c r="W63"/>
  <c r="V64"/>
  <c r="W64"/>
  <c r="V65"/>
  <c r="W65"/>
  <c r="V66"/>
  <c r="W66"/>
  <c r="V67"/>
  <c r="W67"/>
  <c r="V68"/>
  <c r="W68"/>
  <c r="V69"/>
  <c r="W69"/>
  <c r="V70"/>
  <c r="W70"/>
  <c r="V71"/>
  <c r="W71" s="1"/>
  <c r="V72"/>
  <c r="W72" s="1"/>
  <c r="V73"/>
  <c r="W73" s="1"/>
  <c r="V74"/>
  <c r="W74" s="1"/>
  <c r="V75"/>
  <c r="W75" s="1"/>
  <c r="V76"/>
  <c r="W76" s="1"/>
  <c r="V77"/>
  <c r="W77" s="1"/>
  <c r="V78"/>
  <c r="W78" s="1"/>
  <c r="V79"/>
  <c r="W79" s="1"/>
  <c r="V80"/>
  <c r="W80" s="1"/>
  <c r="V81"/>
  <c r="W81" s="1"/>
  <c r="V82"/>
  <c r="W82" s="1"/>
  <c r="V83"/>
  <c r="W83" s="1"/>
  <c r="V84"/>
  <c r="W84" s="1"/>
  <c r="V85"/>
  <c r="W85" s="1"/>
  <c r="V86"/>
  <c r="W86" s="1"/>
  <c r="V87"/>
  <c r="W87" s="1"/>
  <c r="V88"/>
  <c r="W88" s="1"/>
  <c r="V89"/>
  <c r="W89" s="1"/>
  <c r="V90"/>
  <c r="W90" s="1"/>
  <c r="V91"/>
  <c r="W91" s="1"/>
  <c r="V92"/>
  <c r="W92" s="1"/>
  <c r="V93"/>
  <c r="W93" s="1"/>
  <c r="V94"/>
  <c r="W94" s="1"/>
  <c r="V95"/>
  <c r="W95" s="1"/>
  <c r="V96"/>
  <c r="W96" s="1"/>
  <c r="V97"/>
  <c r="W97" s="1"/>
  <c r="V98"/>
  <c r="W98" s="1"/>
  <c r="V99"/>
  <c r="W99"/>
  <c r="V100"/>
  <c r="W100"/>
  <c r="V101"/>
  <c r="W101"/>
  <c r="V102"/>
  <c r="W102" s="1"/>
  <c r="V103"/>
  <c r="W103" s="1"/>
  <c r="V104"/>
  <c r="W104" s="1"/>
  <c r="V105"/>
  <c r="W105" s="1"/>
  <c r="V106"/>
  <c r="W106" s="1"/>
  <c r="V107"/>
  <c r="W107" s="1"/>
  <c r="V108"/>
  <c r="W108" s="1"/>
  <c r="V109"/>
  <c r="W109" s="1"/>
  <c r="V110"/>
  <c r="W110"/>
  <c r="V111"/>
  <c r="W111"/>
  <c r="V112"/>
  <c r="W112"/>
  <c r="V113"/>
  <c r="W113"/>
  <c r="V114"/>
  <c r="W114"/>
  <c r="V115"/>
  <c r="W115"/>
  <c r="V116"/>
  <c r="W116"/>
  <c r="V117"/>
  <c r="W117"/>
  <c r="V118"/>
  <c r="W118"/>
  <c r="V119"/>
  <c r="W119"/>
  <c r="V120"/>
  <c r="W120"/>
  <c r="V121"/>
  <c r="W121"/>
  <c r="V122"/>
  <c r="W122"/>
  <c r="V123"/>
  <c r="W123"/>
  <c r="V124"/>
  <c r="W124"/>
  <c r="V125"/>
  <c r="W125"/>
  <c r="V126"/>
  <c r="W126"/>
  <c r="V127"/>
  <c r="W127"/>
  <c r="V128"/>
  <c r="W128"/>
  <c r="V129"/>
  <c r="W129"/>
  <c r="V130"/>
  <c r="W130"/>
  <c r="V131"/>
  <c r="W131"/>
  <c r="V132"/>
  <c r="W132"/>
  <c r="V133"/>
  <c r="W133"/>
  <c r="V134"/>
  <c r="W134"/>
  <c r="V135"/>
  <c r="W135"/>
  <c r="V136"/>
  <c r="W136"/>
  <c r="V137"/>
  <c r="W137"/>
  <c r="V138"/>
  <c r="W138"/>
  <c r="V139"/>
  <c r="W139"/>
  <c r="V140"/>
  <c r="W140"/>
  <c r="V141"/>
  <c r="W141"/>
  <c r="V142"/>
  <c r="W142"/>
  <c r="V143"/>
  <c r="W143"/>
  <c r="V144"/>
  <c r="W144"/>
  <c r="V145"/>
  <c r="W145"/>
  <c r="V146"/>
  <c r="W146"/>
  <c r="V147"/>
  <c r="W147"/>
  <c r="V148"/>
  <c r="W148"/>
  <c r="V149"/>
  <c r="W149"/>
  <c r="V150"/>
  <c r="W150"/>
  <c r="V151"/>
  <c r="W151"/>
  <c r="V152"/>
  <c r="W152"/>
  <c r="V153"/>
  <c r="W153"/>
  <c r="V154"/>
  <c r="W154"/>
  <c r="V155"/>
  <c r="W155"/>
  <c r="V156"/>
  <c r="W156"/>
  <c r="V157"/>
  <c r="W157"/>
  <c r="V158"/>
  <c r="W158"/>
  <c r="V159"/>
  <c r="W159"/>
  <c r="V160"/>
  <c r="W160"/>
  <c r="V161"/>
  <c r="W161"/>
  <c r="V162"/>
  <c r="W162"/>
  <c r="V163"/>
  <c r="W163"/>
  <c r="V164"/>
  <c r="W164"/>
  <c r="V165"/>
  <c r="W165"/>
  <c r="V166"/>
  <c r="W166"/>
  <c r="V167"/>
  <c r="W167"/>
  <c r="V168"/>
  <c r="W168"/>
  <c r="V169"/>
  <c r="W169"/>
  <c r="V170"/>
  <c r="W170"/>
  <c r="V171"/>
  <c r="W171"/>
  <c r="V172"/>
  <c r="W172"/>
  <c r="V173"/>
  <c r="W173"/>
  <c r="V174"/>
  <c r="W174"/>
  <c r="V175"/>
  <c r="W175"/>
  <c r="V176"/>
  <c r="W176"/>
  <c r="V177"/>
  <c r="W177"/>
  <c r="V178"/>
  <c r="W178"/>
  <c r="V179"/>
  <c r="W179"/>
  <c r="V180"/>
  <c r="W180"/>
  <c r="V181"/>
  <c r="W181"/>
  <c r="V182"/>
  <c r="W182"/>
  <c r="V183"/>
  <c r="W183"/>
  <c r="V184"/>
  <c r="W184"/>
  <c r="V185"/>
  <c r="W185"/>
  <c r="V186"/>
  <c r="W186"/>
  <c r="V187"/>
  <c r="W187"/>
  <c r="V188"/>
  <c r="W188"/>
  <c r="V189"/>
  <c r="W189"/>
  <c r="V190"/>
  <c r="W190"/>
  <c r="V191"/>
  <c r="W191"/>
  <c r="V192"/>
  <c r="W192"/>
  <c r="V193"/>
  <c r="W193"/>
  <c r="V194"/>
  <c r="W194"/>
  <c r="V195"/>
  <c r="W195"/>
  <c r="V196"/>
  <c r="W196"/>
  <c r="V197"/>
  <c r="W197"/>
  <c r="V198"/>
  <c r="W198"/>
  <c r="V199"/>
  <c r="W199"/>
  <c r="V200"/>
  <c r="W200"/>
  <c r="V201"/>
  <c r="W201"/>
  <c r="V202"/>
  <c r="W202"/>
  <c r="V203"/>
  <c r="W203"/>
  <c r="V204"/>
  <c r="W204"/>
  <c r="V205"/>
  <c r="W205"/>
  <c r="V206"/>
  <c r="W206"/>
  <c r="V207"/>
  <c r="W207"/>
  <c r="V208"/>
  <c r="W208"/>
  <c r="V209"/>
  <c r="W209"/>
  <c r="V210"/>
  <c r="W210"/>
  <c r="V211"/>
  <c r="W211"/>
  <c r="V212"/>
  <c r="W212"/>
  <c r="V213"/>
  <c r="W213"/>
  <c r="V214"/>
  <c r="W214"/>
  <c r="V215"/>
  <c r="W215"/>
  <c r="V216"/>
  <c r="W216"/>
  <c r="V217"/>
  <c r="W217"/>
  <c r="V218"/>
  <c r="W218"/>
  <c r="V219"/>
  <c r="W219"/>
  <c r="V220"/>
  <c r="W220"/>
  <c r="V221"/>
  <c r="W221"/>
  <c r="V222"/>
  <c r="W222"/>
  <c r="V223"/>
  <c r="W223"/>
  <c r="V224"/>
  <c r="W224"/>
  <c r="V225"/>
  <c r="W225"/>
  <c r="V226"/>
  <c r="W226"/>
  <c r="V227"/>
  <c r="W227"/>
  <c r="V228"/>
  <c r="W228"/>
  <c r="V229"/>
  <c r="W229"/>
  <c r="V230"/>
  <c r="W230"/>
  <c r="V231"/>
  <c r="W231"/>
  <c r="V232"/>
  <c r="W232"/>
  <c r="V233"/>
  <c r="W233"/>
  <c r="V234"/>
  <c r="W234"/>
  <c r="V235"/>
  <c r="W235"/>
  <c r="V236"/>
  <c r="W236"/>
  <c r="V237"/>
  <c r="W237"/>
  <c r="V238"/>
  <c r="W238"/>
  <c r="V239"/>
  <c r="W239"/>
  <c r="V240"/>
  <c r="W240"/>
  <c r="V241"/>
  <c r="W241"/>
  <c r="V242"/>
  <c r="W242"/>
  <c r="V243"/>
  <c r="W243"/>
  <c r="V244"/>
  <c r="W244"/>
  <c r="V245"/>
  <c r="W245"/>
  <c r="V246"/>
  <c r="W246"/>
  <c r="V247"/>
  <c r="W247"/>
  <c r="V248"/>
  <c r="W248"/>
  <c r="V249"/>
  <c r="W249"/>
  <c r="V250"/>
  <c r="W250"/>
  <c r="V251"/>
  <c r="W251"/>
  <c r="V252"/>
  <c r="W252"/>
  <c r="V253"/>
  <c r="W253"/>
  <c r="V254"/>
  <c r="W254"/>
  <c r="V255"/>
  <c r="W255"/>
  <c r="V256"/>
  <c r="W256"/>
  <c r="V257"/>
  <c r="W257"/>
  <c r="V258"/>
  <c r="W258"/>
  <c r="V259"/>
  <c r="W259"/>
  <c r="V260"/>
  <c r="W260"/>
  <c r="V261"/>
  <c r="W261"/>
  <c r="V262"/>
  <c r="W262"/>
  <c r="V263"/>
  <c r="W263"/>
  <c r="V264"/>
  <c r="W264"/>
  <c r="V265"/>
  <c r="W265"/>
  <c r="V266"/>
  <c r="W266"/>
  <c r="V267"/>
  <c r="W267"/>
  <c r="V268"/>
  <c r="W268"/>
  <c r="V269"/>
  <c r="W269"/>
  <c r="V270"/>
  <c r="W270"/>
  <c r="V271"/>
  <c r="W271"/>
  <c r="V272"/>
  <c r="W272"/>
  <c r="V273"/>
  <c r="W273"/>
  <c r="V274"/>
  <c r="W274"/>
  <c r="V275"/>
  <c r="W275"/>
  <c r="V276"/>
  <c r="W276"/>
  <c r="V277"/>
  <c r="W277"/>
  <c r="V278"/>
  <c r="W278"/>
  <c r="V279"/>
  <c r="W279"/>
  <c r="V280"/>
  <c r="W280"/>
  <c r="V281"/>
  <c r="W281"/>
  <c r="V282"/>
  <c r="W282"/>
  <c r="V283"/>
  <c r="W283"/>
  <c r="V284"/>
  <c r="W284"/>
  <c r="V285"/>
  <c r="W285"/>
  <c r="V286"/>
  <c r="W286"/>
  <c r="V287"/>
  <c r="W287"/>
  <c r="V288"/>
  <c r="W288"/>
  <c r="V289"/>
  <c r="W289"/>
  <c r="V290"/>
  <c r="W290"/>
  <c r="V291"/>
  <c r="W291"/>
  <c r="V292"/>
  <c r="W292"/>
  <c r="V293"/>
  <c r="W293"/>
  <c r="V294"/>
  <c r="W294"/>
  <c r="V295"/>
  <c r="W295"/>
  <c r="V296"/>
  <c r="W296"/>
  <c r="V297"/>
  <c r="W297"/>
  <c r="V298"/>
  <c r="W298"/>
  <c r="V299"/>
  <c r="W299"/>
  <c r="V300"/>
  <c r="W300"/>
  <c r="V301"/>
  <c r="W301"/>
  <c r="V302"/>
  <c r="W302"/>
  <c r="V303"/>
  <c r="W303"/>
  <c r="V304"/>
  <c r="W304"/>
  <c r="V305"/>
  <c r="W305"/>
  <c r="V306"/>
  <c r="W306"/>
  <c r="V307"/>
  <c r="W307"/>
  <c r="V308"/>
  <c r="W308"/>
  <c r="V309"/>
  <c r="W309"/>
  <c r="V310"/>
  <c r="W310"/>
  <c r="V311"/>
  <c r="W311"/>
  <c r="V312"/>
  <c r="W312"/>
  <c r="V313"/>
  <c r="W313"/>
  <c r="V314"/>
  <c r="W314"/>
  <c r="V315"/>
  <c r="W315"/>
  <c r="V316"/>
  <c r="W316"/>
  <c r="V317"/>
  <c r="W317"/>
  <c r="V318"/>
  <c r="W318"/>
  <c r="V319"/>
  <c r="W319"/>
  <c r="V320"/>
  <c r="W320"/>
  <c r="V321"/>
  <c r="W321"/>
  <c r="V322"/>
  <c r="W322"/>
  <c r="V323"/>
  <c r="W323"/>
  <c r="V324"/>
  <c r="W324"/>
  <c r="V325"/>
  <c r="W325"/>
  <c r="V326"/>
  <c r="W326"/>
  <c r="V327"/>
  <c r="W327"/>
  <c r="V328"/>
  <c r="W328"/>
  <c r="V329"/>
  <c r="W329"/>
  <c r="V330"/>
  <c r="W330"/>
  <c r="V331"/>
  <c r="W331"/>
  <c r="V332"/>
  <c r="W332"/>
  <c r="V333"/>
  <c r="W333"/>
  <c r="V334"/>
  <c r="W334"/>
  <c r="V335"/>
  <c r="W335"/>
  <c r="V336"/>
  <c r="W336"/>
  <c r="V337"/>
  <c r="W337"/>
  <c r="V338"/>
  <c r="W338"/>
  <c r="V339"/>
  <c r="W339"/>
  <c r="V340"/>
  <c r="W340"/>
  <c r="V341"/>
  <c r="W341"/>
  <c r="V342"/>
  <c r="W342"/>
  <c r="V343"/>
  <c r="W343"/>
  <c r="V344"/>
  <c r="W344"/>
  <c r="V345"/>
  <c r="W345"/>
  <c r="V346"/>
  <c r="W346"/>
  <c r="V347"/>
  <c r="W347"/>
  <c r="V348"/>
  <c r="W348"/>
  <c r="V349"/>
  <c r="W349"/>
  <c r="V350"/>
  <c r="W350"/>
  <c r="V351"/>
  <c r="W351"/>
  <c r="V352"/>
  <c r="W352"/>
  <c r="V353"/>
  <c r="W353"/>
  <c r="V354"/>
  <c r="W354"/>
  <c r="V355"/>
  <c r="W355"/>
  <c r="V356"/>
  <c r="W356"/>
  <c r="V357"/>
  <c r="W357"/>
  <c r="V358"/>
  <c r="W358"/>
  <c r="V359"/>
  <c r="W359"/>
  <c r="V360"/>
  <c r="W360"/>
  <c r="V361"/>
  <c r="W361"/>
  <c r="V362"/>
  <c r="W362"/>
  <c r="V363"/>
  <c r="W363"/>
  <c r="V364"/>
  <c r="W364"/>
  <c r="V365"/>
  <c r="W365"/>
  <c r="V366"/>
  <c r="W366"/>
  <c r="V367"/>
  <c r="W367"/>
  <c r="V368"/>
  <c r="W368"/>
  <c r="V369"/>
  <c r="W369"/>
  <c r="V370"/>
  <c r="W370"/>
  <c r="V371"/>
  <c r="W371"/>
  <c r="V372"/>
  <c r="W372"/>
  <c r="V373"/>
  <c r="W373"/>
  <c r="V374"/>
  <c r="W374"/>
  <c r="V375"/>
  <c r="W375"/>
  <c r="V376"/>
  <c r="W376"/>
  <c r="V377"/>
  <c r="W377"/>
  <c r="V378"/>
  <c r="W378"/>
  <c r="V379"/>
  <c r="W379"/>
  <c r="V380"/>
  <c r="W380"/>
  <c r="V381"/>
  <c r="W381"/>
  <c r="V382"/>
  <c r="W382"/>
  <c r="V383"/>
  <c r="W383"/>
  <c r="W24"/>
  <c r="V24"/>
  <c r="E119" i="78" l="1"/>
  <c r="E118"/>
  <c r="N7" i="1"/>
  <c r="N6"/>
  <c r="F119" i="78" l="1"/>
  <c r="G119" l="1"/>
  <c r="F118" l="1"/>
  <c r="G118" l="1"/>
  <c r="J117" l="1"/>
  <c r="E121"/>
  <c r="F121" l="1"/>
  <c r="G121" l="1"/>
  <c r="E120" l="1"/>
  <c r="F120" l="1"/>
  <c r="G120" l="1"/>
  <c r="I47" i="33" l="1"/>
  <c r="H89" i="78" s="1"/>
  <c r="G47" i="33"/>
  <c r="F89" i="78" s="1"/>
  <c r="E47" i="33"/>
  <c r="D89" i="78" s="1"/>
  <c r="C118" i="33"/>
  <c r="C40"/>
  <c r="F19" i="6"/>
  <c r="I13" i="3"/>
  <c r="A3" s="1"/>
  <c r="L362" i="77"/>
  <c r="G362"/>
  <c r="G361"/>
  <c r="G360"/>
  <c r="G359"/>
  <c r="G358"/>
  <c r="G357"/>
  <c r="G356"/>
  <c r="G355"/>
  <c r="G354"/>
  <c r="G353"/>
  <c r="G352"/>
  <c r="G351"/>
  <c r="G350"/>
  <c r="G349"/>
  <c r="G348"/>
  <c r="G347"/>
  <c r="G346"/>
  <c r="G345"/>
  <c r="G344"/>
  <c r="G343"/>
  <c r="G342"/>
  <c r="G341"/>
  <c r="G340"/>
  <c r="G339"/>
  <c r="G338"/>
  <c r="G337"/>
  <c r="G336"/>
  <c r="G335"/>
  <c r="G334"/>
  <c r="G333"/>
  <c r="G332"/>
  <c r="G331"/>
  <c r="G330"/>
  <c r="G329"/>
  <c r="G328"/>
  <c r="G327"/>
  <c r="G326"/>
  <c r="G325"/>
  <c r="G324"/>
  <c r="G323"/>
  <c r="G322"/>
  <c r="G321"/>
  <c r="G320"/>
  <c r="G319"/>
  <c r="G318"/>
  <c r="G317"/>
  <c r="G316"/>
  <c r="G315"/>
  <c r="G314"/>
  <c r="G313"/>
  <c r="G312"/>
  <c r="G311"/>
  <c r="G310"/>
  <c r="G309"/>
  <c r="G308"/>
  <c r="G307"/>
  <c r="G306"/>
  <c r="G305"/>
  <c r="G304"/>
  <c r="G303"/>
  <c r="G302"/>
  <c r="G301"/>
  <c r="G300"/>
  <c r="G299"/>
  <c r="G298"/>
  <c r="G297"/>
  <c r="G296"/>
  <c r="G295"/>
  <c r="G294"/>
  <c r="G293"/>
  <c r="G292"/>
  <c r="G291"/>
  <c r="G290"/>
  <c r="G289"/>
  <c r="G288"/>
  <c r="G287"/>
  <c r="G286"/>
  <c r="G285"/>
  <c r="G284"/>
  <c r="G283"/>
  <c r="G282"/>
  <c r="G281"/>
  <c r="G280"/>
  <c r="G279"/>
  <c r="G278"/>
  <c r="G277"/>
  <c r="G276"/>
  <c r="G275"/>
  <c r="L274"/>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L90"/>
  <c r="L363" s="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G4"/>
  <c r="G3"/>
  <c r="C67" i="78"/>
  <c r="C68"/>
  <c r="C66"/>
  <c r="C36" i="33" l="1"/>
  <c r="F20" i="6"/>
  <c r="Y6" i="1" l="1"/>
  <c r="D3" i="4"/>
  <c r="AH5" i="71" l="1"/>
  <c r="AG5"/>
  <c r="AE5"/>
  <c r="AF5" s="1"/>
  <c r="AD5"/>
  <c r="Q5"/>
  <c r="P5"/>
  <c r="O5"/>
  <c r="N5"/>
  <c r="L3" l="1"/>
  <c r="K3"/>
  <c r="I3"/>
  <c r="J3" l="1"/>
  <c r="AD6" l="1"/>
  <c r="AG6"/>
  <c r="AH6"/>
  <c r="AE6"/>
  <c r="AF6" s="1"/>
  <c r="N6"/>
  <c r="Q6"/>
  <c r="P6"/>
  <c r="O6"/>
  <c r="Q7" l="1"/>
  <c r="P7"/>
  <c r="O7"/>
  <c r="N7"/>
  <c r="A2" i="53" l="1"/>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8" i="71" l="1"/>
  <c r="P8"/>
  <c r="O8"/>
  <c r="N8"/>
  <c r="D5" i="43" l="1"/>
  <c r="A15" i="51" l="1"/>
  <c r="B11" i="76"/>
  <c r="B7"/>
  <c r="E11"/>
  <c r="B13"/>
  <c r="E7"/>
  <c r="E12"/>
  <c r="B9"/>
  <c r="E10"/>
  <c r="B10"/>
  <c r="B8"/>
  <c r="E8"/>
  <c r="E9"/>
  <c r="B12"/>
  <c r="E13"/>
  <c r="C76" i="9" l="1"/>
  <c r="I107" i="40" l="1"/>
  <c r="K6" i="4" l="1"/>
  <c r="B22" i="31" l="1"/>
  <c r="E117" i="78" l="1"/>
  <c r="H367" i="77"/>
  <c r="K117" i="78"/>
  <c r="E122"/>
  <c r="N56" i="9"/>
  <c r="M56"/>
  <c r="K56"/>
  <c r="E16" i="74" l="1"/>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H21"/>
  <c r="AG21"/>
  <c r="AE21"/>
  <c r="AF21" s="1"/>
  <c r="AD21"/>
  <c r="AD22"/>
  <c r="AE22"/>
  <c r="AF22" s="1"/>
  <c r="AG22"/>
  <c r="AH22"/>
  <c r="S2" i="31" l="1"/>
  <c r="M2"/>
  <c r="N2"/>
  <c r="O2"/>
  <c r="P2"/>
  <c r="Q2"/>
  <c r="R2"/>
  <c r="C1" i="73" l="1"/>
  <c r="L1" s="1"/>
  <c r="F7"/>
  <c r="J1" l="1"/>
  <c r="B74" i="72"/>
  <c r="F6" i="73"/>
  <c r="D5"/>
  <c r="F4"/>
  <c r="F5"/>
  <c r="F3"/>
  <c r="I1" l="1"/>
  <c r="B39" i="1" s="1"/>
  <c r="D6" i="73"/>
  <c r="D3"/>
  <c r="D7"/>
  <c r="D4"/>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Q35"/>
  <c r="F36" s="1"/>
  <c r="F37" s="1"/>
  <c r="F38" s="1"/>
  <c r="V38" s="1"/>
  <c r="P35"/>
  <c r="E36" s="1"/>
  <c r="O35"/>
  <c r="C36" s="1"/>
  <c r="N35"/>
  <c r="B36"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Q20"/>
  <c r="AB20" s="1"/>
  <c r="P20"/>
  <c r="O20"/>
  <c r="Y20" s="1"/>
  <c r="Z20" s="1"/>
  <c r="N20"/>
  <c r="Q19"/>
  <c r="F20" s="1"/>
  <c r="F21" s="1"/>
  <c r="F22" s="1"/>
  <c r="V22" s="1"/>
  <c r="P19"/>
  <c r="O19"/>
  <c r="N19"/>
  <c r="D19"/>
  <c r="Q18"/>
  <c r="P18"/>
  <c r="O18"/>
  <c r="N18"/>
  <c r="Q17"/>
  <c r="P17"/>
  <c r="O17"/>
  <c r="N17"/>
  <c r="Q16"/>
  <c r="P16"/>
  <c r="O16"/>
  <c r="N16"/>
  <c r="Q15"/>
  <c r="F16" s="1"/>
  <c r="F17" s="1"/>
  <c r="F18" s="1"/>
  <c r="V18" s="1"/>
  <c r="P15"/>
  <c r="O15"/>
  <c r="N15"/>
  <c r="D15"/>
  <c r="Q14"/>
  <c r="P14"/>
  <c r="O14"/>
  <c r="N14"/>
  <c r="Q13"/>
  <c r="P13"/>
  <c r="O13"/>
  <c r="N13"/>
  <c r="Q12"/>
  <c r="P12"/>
  <c r="O12"/>
  <c r="N12"/>
  <c r="Q11"/>
  <c r="F12" s="1"/>
  <c r="F13" s="1"/>
  <c r="F14" s="1"/>
  <c r="V14" s="1"/>
  <c r="P11"/>
  <c r="O11"/>
  <c r="N11"/>
  <c r="D11"/>
  <c r="O10"/>
  <c r="N10"/>
  <c r="X6" s="1"/>
  <c r="X21" l="1"/>
  <c r="X5"/>
  <c r="Y5"/>
  <c r="Z5" s="1"/>
  <c r="Y6"/>
  <c r="Z6" s="1"/>
  <c r="Y12"/>
  <c r="Z12" s="1"/>
  <c r="AB12"/>
  <c r="Y13"/>
  <c r="Z13" s="1"/>
  <c r="AB13"/>
  <c r="Y14"/>
  <c r="Z14" s="1"/>
  <c r="AB14"/>
  <c r="Y16"/>
  <c r="Z16" s="1"/>
  <c r="AB16"/>
  <c r="Y17"/>
  <c r="Z17" s="1"/>
  <c r="AB17"/>
  <c r="Y18"/>
  <c r="Z18" s="1"/>
  <c r="AB18"/>
  <c r="B37"/>
  <c r="B38" s="1"/>
  <c r="S38" s="1"/>
  <c r="B12"/>
  <c r="B13" s="1"/>
  <c r="B14" s="1"/>
  <c r="S14" s="1"/>
  <c r="X11"/>
  <c r="E12"/>
  <c r="E13" s="1"/>
  <c r="E14" s="1"/>
  <c r="U14" s="1"/>
  <c r="AA11"/>
  <c r="B16"/>
  <c r="B17" s="1"/>
  <c r="B18" s="1"/>
  <c r="S18" s="1"/>
  <c r="X15"/>
  <c r="B20"/>
  <c r="B21" s="1"/>
  <c r="B22" s="1"/>
  <c r="S22" s="1"/>
  <c r="X19"/>
  <c r="E20"/>
  <c r="E21" s="1"/>
  <c r="E22" s="1"/>
  <c r="U22" s="1"/>
  <c r="AA19"/>
  <c r="N50"/>
  <c r="E16"/>
  <c r="E17" s="1"/>
  <c r="E18" s="1"/>
  <c r="U18" s="1"/>
  <c r="AA15"/>
  <c r="C12"/>
  <c r="D12" s="1"/>
  <c r="Y11"/>
  <c r="Z11" s="1"/>
  <c r="AB11"/>
  <c r="X12"/>
  <c r="AA12"/>
  <c r="X13"/>
  <c r="AA13"/>
  <c r="X14"/>
  <c r="AA14"/>
  <c r="C16"/>
  <c r="C17" s="1"/>
  <c r="Y15"/>
  <c r="Z15" s="1"/>
  <c r="AB15"/>
  <c r="X16"/>
  <c r="AA16"/>
  <c r="X17"/>
  <c r="AA17"/>
  <c r="X18"/>
  <c r="AA18"/>
  <c r="C20"/>
  <c r="C21" s="1"/>
  <c r="Y19"/>
  <c r="Z19" s="1"/>
  <c r="AB19"/>
  <c r="X20"/>
  <c r="AA20"/>
  <c r="F33"/>
  <c r="F34" s="1"/>
  <c r="V34" s="1"/>
  <c r="C10"/>
  <c r="Y3"/>
  <c r="Z3" s="1"/>
  <c r="Y7"/>
  <c r="Z7" s="1"/>
  <c r="Y8"/>
  <c r="Z8" s="1"/>
  <c r="Y9"/>
  <c r="Z9" s="1"/>
  <c r="Y10"/>
  <c r="Z10" s="1"/>
  <c r="B10"/>
  <c r="B9" s="1"/>
  <c r="B8" s="1"/>
  <c r="B7" s="1"/>
  <c r="B6" s="1"/>
  <c r="X7"/>
  <c r="X8"/>
  <c r="X9"/>
  <c r="X3"/>
  <c r="X10"/>
  <c r="C13"/>
  <c r="D16"/>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AB6" l="1"/>
  <c r="AB5"/>
  <c r="S6"/>
  <c r="B5"/>
  <c r="AA6"/>
  <c r="AA5"/>
  <c r="T10"/>
  <c r="C9"/>
  <c r="S10"/>
  <c r="F10"/>
  <c r="F9" s="1"/>
  <c r="F8" s="1"/>
  <c r="F7" s="1"/>
  <c r="F6" s="1"/>
  <c r="F5" s="1"/>
  <c r="AB3"/>
  <c r="AB7"/>
  <c r="AB8"/>
  <c r="AB9"/>
  <c r="AB10"/>
  <c r="E10"/>
  <c r="E9" s="1"/>
  <c r="E8" s="1"/>
  <c r="E7" s="1"/>
  <c r="E6"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E5" l="1"/>
  <c r="V6"/>
  <c r="C8"/>
  <c r="D9"/>
  <c r="V10"/>
  <c r="P47"/>
  <c r="P48"/>
  <c r="O48"/>
  <c r="D48"/>
  <c r="O47"/>
  <c r="T14"/>
  <c r="D14"/>
  <c r="T18"/>
  <c r="D18"/>
  <c r="T22"/>
  <c r="D22"/>
  <c r="T26"/>
  <c r="D26"/>
  <c r="T34"/>
  <c r="D34"/>
  <c r="T38"/>
  <c r="D38"/>
  <c r="T42"/>
  <c r="D42"/>
  <c r="T46"/>
  <c r="D46"/>
  <c r="D8" l="1"/>
  <c r="C7"/>
  <c r="O27" i="6"/>
  <c r="N27"/>
  <c r="P20"/>
  <c r="P21"/>
  <c r="P22"/>
  <c r="P23"/>
  <c r="P24"/>
  <c r="P25"/>
  <c r="P26"/>
  <c r="P19"/>
  <c r="AP8" i="1"/>
  <c r="AP9"/>
  <c r="AP10"/>
  <c r="AP11"/>
  <c r="AP12"/>
  <c r="AP13"/>
  <c r="L21" i="6"/>
  <c r="L22"/>
  <c r="L23"/>
  <c r="L24"/>
  <c r="L25"/>
  <c r="L26"/>
  <c r="D7" i="71" l="1"/>
  <c r="C6"/>
  <c r="P27" i="6"/>
  <c r="A7" i="70"/>
  <c r="A8"/>
  <c r="E8" s="1"/>
  <c r="A9"/>
  <c r="E9" s="1"/>
  <c r="A10"/>
  <c r="E10" s="1"/>
  <c r="A11"/>
  <c r="E11" s="1"/>
  <c r="A12"/>
  <c r="E12" s="1"/>
  <c r="A13"/>
  <c r="E13" s="1"/>
  <c r="A6"/>
  <c r="T6" i="71" l="1"/>
  <c r="C5"/>
  <c r="D5" s="1"/>
  <c r="D6"/>
  <c r="U6" s="1"/>
  <c r="Q25" i="40"/>
  <c r="Z25" s="1"/>
  <c r="D94"/>
  <c r="E94" s="1"/>
  <c r="F25"/>
  <c r="AA25" s="1"/>
  <c r="Q29" i="39"/>
  <c r="Z29" s="1"/>
  <c r="D103"/>
  <c r="E103" s="1"/>
  <c r="F29"/>
  <c r="AA29" s="1"/>
  <c r="Q18" i="36"/>
  <c r="Z18" s="1"/>
  <c r="D66"/>
  <c r="E66" s="1"/>
  <c r="F66" s="1"/>
  <c r="H18"/>
  <c r="AB18" s="1"/>
  <c r="F18"/>
  <c r="AA18" s="1"/>
  <c r="C18"/>
  <c r="Z18" i="35"/>
  <c r="Q18"/>
  <c r="D68"/>
  <c r="E68" s="1"/>
  <c r="F18"/>
  <c r="AA18" s="1"/>
  <c r="C18"/>
  <c r="Q21" i="37"/>
  <c r="Z21" s="1"/>
  <c r="D77"/>
  <c r="E77" s="1"/>
  <c r="C21"/>
  <c r="Q21" i="34"/>
  <c r="Z21" s="1"/>
  <c r="D84"/>
  <c r="E84" s="1"/>
  <c r="F21"/>
  <c r="AA21" s="1"/>
  <c r="C21"/>
  <c r="Q21" i="33"/>
  <c r="Z21" s="1"/>
  <c r="D83"/>
  <c r="E83" s="1"/>
  <c r="C21"/>
  <c r="C21" i="21"/>
  <c r="Q21"/>
  <c r="Z21" s="1"/>
  <c r="H19"/>
  <c r="D83"/>
  <c r="F21" s="1"/>
  <c r="AA21" s="1"/>
  <c r="D81"/>
  <c r="G20" i="20"/>
  <c r="B86" i="43" s="1"/>
  <c r="C22" i="20"/>
  <c r="AO9" i="1"/>
  <c r="AO13"/>
  <c r="AO11"/>
  <c r="AO12"/>
  <c r="AO10"/>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E15"/>
  <c r="I14"/>
  <c r="I13"/>
  <c r="I12"/>
  <c r="I15"/>
  <c r="I9"/>
  <c r="I8"/>
  <c r="I7"/>
  <c r="I6"/>
  <c r="I5"/>
  <c r="I4"/>
  <c r="I3"/>
  <c r="I10"/>
  <c r="I21" s="1"/>
  <c r="M11" i="15"/>
  <c r="D1" i="43"/>
  <c r="F113"/>
  <c r="N99"/>
  <c r="N108" s="1"/>
  <c r="D99"/>
  <c r="D108" s="1"/>
  <c r="E99"/>
  <c r="F99"/>
  <c r="F108" s="1"/>
  <c r="G99"/>
  <c r="G108" s="1"/>
  <c r="H99"/>
  <c r="H108" s="1"/>
  <c r="I99"/>
  <c r="J99"/>
  <c r="J108" s="1"/>
  <c r="K99"/>
  <c r="K108" s="1"/>
  <c r="L99"/>
  <c r="L108" s="1"/>
  <c r="M99"/>
  <c r="C99"/>
  <c r="C108" s="1"/>
  <c r="N100"/>
  <c r="D100"/>
  <c r="L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BT99"/>
  <c r="BS99"/>
  <c r="BR99"/>
  <c r="BQ99"/>
  <c r="BP99"/>
  <c r="BO99"/>
  <c r="BN99"/>
  <c r="BM99"/>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s="1"/>
  <c r="AX98"/>
  <c r="AW98"/>
  <c r="AV98"/>
  <c r="AC98"/>
  <c r="H98"/>
  <c r="BT97"/>
  <c r="BS97"/>
  <c r="BR97"/>
  <c r="BQ97"/>
  <c r="BP97"/>
  <c r="BO97"/>
  <c r="BN97"/>
  <c r="BM97"/>
  <c r="BL97" s="1"/>
  <c r="BK97"/>
  <c r="BJ97"/>
  <c r="BI97"/>
  <c r="BH97"/>
  <c r="BG97"/>
  <c r="BF97"/>
  <c r="BE97"/>
  <c r="BD97"/>
  <c r="BC97"/>
  <c r="BB97"/>
  <c r="AX97"/>
  <c r="AW97"/>
  <c r="AV97"/>
  <c r="AC97"/>
  <c r="H97"/>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BT75"/>
  <c r="BS75"/>
  <c r="BR75"/>
  <c r="BQ75"/>
  <c r="BP75"/>
  <c r="BO75"/>
  <c r="BN75"/>
  <c r="BM75"/>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s="1"/>
  <c r="AX72"/>
  <c r="AW72"/>
  <c r="AV72"/>
  <c r="AC72"/>
  <c r="H72"/>
  <c r="G72" s="1"/>
  <c r="BT71"/>
  <c r="BS71"/>
  <c r="BR71"/>
  <c r="BQ71"/>
  <c r="BP71"/>
  <c r="BO71"/>
  <c r="BN71"/>
  <c r="BM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BT69"/>
  <c r="BS69"/>
  <c r="BR69"/>
  <c r="BQ69"/>
  <c r="BP69"/>
  <c r="BO69"/>
  <c r="BN69"/>
  <c r="BM69"/>
  <c r="BL69" s="1"/>
  <c r="BK69"/>
  <c r="BJ69"/>
  <c r="BI69"/>
  <c r="BH69"/>
  <c r="BG69"/>
  <c r="BF69"/>
  <c r="BE69"/>
  <c r="BD69"/>
  <c r="BC69"/>
  <c r="BB69"/>
  <c r="AX69"/>
  <c r="AW69"/>
  <c r="AV69"/>
  <c r="AC69"/>
  <c r="H69"/>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G67" s="1"/>
  <c r="BT66"/>
  <c r="BS66"/>
  <c r="BR66"/>
  <c r="BQ66"/>
  <c r="BP66"/>
  <c r="BO66"/>
  <c r="BN66"/>
  <c r="BM66"/>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AX65"/>
  <c r="AW65"/>
  <c r="AV65"/>
  <c r="AC65"/>
  <c r="H65"/>
  <c r="G65" s="1"/>
  <c r="BT64"/>
  <c r="BS64"/>
  <c r="BR64"/>
  <c r="BQ64"/>
  <c r="BP64"/>
  <c r="BO64"/>
  <c r="BN64"/>
  <c r="BM64"/>
  <c r="BL64" s="1"/>
  <c r="BK64"/>
  <c r="BJ64"/>
  <c r="BI64"/>
  <c r="BH64"/>
  <c r="BG64"/>
  <c r="BF64"/>
  <c r="BE64"/>
  <c r="BD64"/>
  <c r="BC64"/>
  <c r="BB64"/>
  <c r="AX64"/>
  <c r="AW64"/>
  <c r="AV64"/>
  <c r="AC64"/>
  <c r="H64"/>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BT61"/>
  <c r="BS61"/>
  <c r="BR61"/>
  <c r="BQ61"/>
  <c r="BP61"/>
  <c r="BO61"/>
  <c r="BN61"/>
  <c r="BM6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BT48"/>
  <c r="BS48"/>
  <c r="BR48"/>
  <c r="BQ48"/>
  <c r="BP48"/>
  <c r="BO48"/>
  <c r="BN48"/>
  <c r="BM48"/>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AX46"/>
  <c r="AW46"/>
  <c r="AV46"/>
  <c r="AC46"/>
  <c r="H46"/>
  <c r="G46" s="1"/>
  <c r="BT45"/>
  <c r="BS45"/>
  <c r="BR45"/>
  <c r="BQ45"/>
  <c r="BP45"/>
  <c r="BO45"/>
  <c r="BN45"/>
  <c r="BM45"/>
  <c r="BL45" s="1"/>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AX42"/>
  <c r="AW42"/>
  <c r="AV42"/>
  <c r="AC42"/>
  <c r="H42"/>
  <c r="G42" s="1"/>
  <c r="BT41"/>
  <c r="BS41"/>
  <c r="BR41"/>
  <c r="BQ41"/>
  <c r="BP41"/>
  <c r="BO41"/>
  <c r="BN41"/>
  <c r="BM41"/>
  <c r="BK41"/>
  <c r="BJ41"/>
  <c r="BI41"/>
  <c r="BH41"/>
  <c r="BG41"/>
  <c r="BF41"/>
  <c r="BE41"/>
  <c r="BD41"/>
  <c r="BC41"/>
  <c r="BB41"/>
  <c r="BA41" s="1"/>
  <c r="AX41"/>
  <c r="AW41"/>
  <c r="AV41"/>
  <c r="AC41"/>
  <c r="H41"/>
  <c r="BT40"/>
  <c r="BS40"/>
  <c r="BR40"/>
  <c r="BQ40"/>
  <c r="BP40"/>
  <c r="BO40"/>
  <c r="BN40"/>
  <c r="BM40"/>
  <c r="BL40" s="1"/>
  <c r="BK40"/>
  <c r="BJ40"/>
  <c r="BI40"/>
  <c r="BH40"/>
  <c r="BG40"/>
  <c r="BF40"/>
  <c r="BE40"/>
  <c r="BD40"/>
  <c r="BC40"/>
  <c r="BB40"/>
  <c r="AX40"/>
  <c r="AW40"/>
  <c r="AV40"/>
  <c r="AC40"/>
  <c r="H40"/>
  <c r="G40" s="1"/>
  <c r="BT39"/>
  <c r="BS39"/>
  <c r="BR39"/>
  <c r="BQ39"/>
  <c r="BP39"/>
  <c r="BO39"/>
  <c r="BN39"/>
  <c r="BM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BT37"/>
  <c r="BS37"/>
  <c r="BR37"/>
  <c r="BQ37"/>
  <c r="BP37"/>
  <c r="BO37"/>
  <c r="BN37"/>
  <c r="BM37"/>
  <c r="BL37" s="1"/>
  <c r="BK37"/>
  <c r="BJ37"/>
  <c r="BI37"/>
  <c r="BH37"/>
  <c r="BG37"/>
  <c r="BF37"/>
  <c r="BE37"/>
  <c r="BD37"/>
  <c r="BC37"/>
  <c r="BB37"/>
  <c r="AX37"/>
  <c r="AW37"/>
  <c r="AV37"/>
  <c r="AC37"/>
  <c r="H37"/>
  <c r="BT36"/>
  <c r="BS36"/>
  <c r="BR36"/>
  <c r="BQ36"/>
  <c r="BP36"/>
  <c r="BO36"/>
  <c r="BN36"/>
  <c r="BM36"/>
  <c r="BL36" s="1"/>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s="1"/>
  <c r="AX35"/>
  <c r="AW35"/>
  <c r="AV35"/>
  <c r="AC35"/>
  <c r="H35"/>
  <c r="BT34"/>
  <c r="BS34"/>
  <c r="BR34"/>
  <c r="BQ34"/>
  <c r="BP34"/>
  <c r="BO34"/>
  <c r="BN34"/>
  <c r="BM34"/>
  <c r="BL34" s="1"/>
  <c r="BK34"/>
  <c r="BJ34"/>
  <c r="BI34"/>
  <c r="BH34"/>
  <c r="BG34"/>
  <c r="BF34"/>
  <c r="BE34"/>
  <c r="BD34"/>
  <c r="BC34"/>
  <c r="BB34"/>
  <c r="AX34"/>
  <c r="AW34"/>
  <c r="AV34"/>
  <c r="AC34"/>
  <c r="H34"/>
  <c r="G34" s="1"/>
  <c r="BT33"/>
  <c r="BS33"/>
  <c r="BR33"/>
  <c r="BQ33"/>
  <c r="BP33"/>
  <c r="BO33"/>
  <c r="BN33"/>
  <c r="BM33"/>
  <c r="BK33"/>
  <c r="BJ33"/>
  <c r="BI33"/>
  <c r="BH33"/>
  <c r="BG33"/>
  <c r="BF33"/>
  <c r="BE33"/>
  <c r="BD33"/>
  <c r="BC33"/>
  <c r="BB33"/>
  <c r="BA33" s="1"/>
  <c r="AX33"/>
  <c r="AW33"/>
  <c r="AV33"/>
  <c r="AC33"/>
  <c r="H33"/>
  <c r="G33" s="1"/>
  <c r="BT32"/>
  <c r="BS32"/>
  <c r="BR32"/>
  <c r="BQ32"/>
  <c r="BP32"/>
  <c r="BO32"/>
  <c r="BN32"/>
  <c r="BM32"/>
  <c r="BK32"/>
  <c r="BJ32"/>
  <c r="BI32"/>
  <c r="BH32"/>
  <c r="BG32"/>
  <c r="BF32"/>
  <c r="BE32"/>
  <c r="BD32"/>
  <c r="BC32"/>
  <c r="BB32"/>
  <c r="AX32"/>
  <c r="AW32"/>
  <c r="AV32"/>
  <c r="AC32"/>
  <c r="H32"/>
  <c r="G32" s="1"/>
  <c r="BT31"/>
  <c r="BS31"/>
  <c r="BR31"/>
  <c r="BQ31"/>
  <c r="BP31"/>
  <c r="BO31"/>
  <c r="BN31"/>
  <c r="BM3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AX30"/>
  <c r="AW30"/>
  <c r="AV30"/>
  <c r="AC30"/>
  <c r="H30"/>
  <c r="G30" s="1"/>
  <c r="BT29"/>
  <c r="BS29"/>
  <c r="BR29"/>
  <c r="BQ29"/>
  <c r="BP29"/>
  <c r="BO29"/>
  <c r="BN29"/>
  <c r="BM29"/>
  <c r="BL29" s="1"/>
  <c r="BK29"/>
  <c r="BJ29"/>
  <c r="BI29"/>
  <c r="BH29"/>
  <c r="BG29"/>
  <c r="BF29"/>
  <c r="BE29"/>
  <c r="BD29"/>
  <c r="BC29"/>
  <c r="BB29"/>
  <c r="AX29"/>
  <c r="AW29"/>
  <c r="AV29"/>
  <c r="AC29"/>
  <c r="H29"/>
  <c r="BT28"/>
  <c r="BS28"/>
  <c r="BR28"/>
  <c r="BQ28"/>
  <c r="BP28"/>
  <c r="BO28"/>
  <c r="BN28"/>
  <c r="BM28"/>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s="1"/>
  <c r="AX24"/>
  <c r="AW24"/>
  <c r="AV24"/>
  <c r="AC24"/>
  <c r="H24"/>
  <c r="BT23"/>
  <c r="BS23"/>
  <c r="BR23"/>
  <c r="BQ23"/>
  <c r="BP23"/>
  <c r="BO23"/>
  <c r="BN23"/>
  <c r="BM23"/>
  <c r="BK23"/>
  <c r="BJ23"/>
  <c r="BI23"/>
  <c r="BH23"/>
  <c r="BG23"/>
  <c r="BF23"/>
  <c r="BE23"/>
  <c r="BD23"/>
  <c r="BC23"/>
  <c r="BB23"/>
  <c r="BA23"/>
  <c r="AX23"/>
  <c r="AW23"/>
  <c r="AV23"/>
  <c r="AC23"/>
  <c r="H23"/>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s="1"/>
  <c r="AX21"/>
  <c r="AW21"/>
  <c r="AV21"/>
  <c r="AC21"/>
  <c r="H21"/>
  <c r="BT20"/>
  <c r="BS20"/>
  <c r="BR20"/>
  <c r="BQ20"/>
  <c r="BP20"/>
  <c r="BO20"/>
  <c r="BN20"/>
  <c r="BM20"/>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s="1"/>
  <c r="AX19"/>
  <c r="AW19"/>
  <c r="AV19"/>
  <c r="AC19"/>
  <c r="H19"/>
  <c r="BT18"/>
  <c r="BS18"/>
  <c r="BR18"/>
  <c r="BQ18"/>
  <c r="BP18"/>
  <c r="BO18"/>
  <c r="BN18"/>
  <c r="BM18"/>
  <c r="BK18"/>
  <c r="BJ18"/>
  <c r="BI18"/>
  <c r="BH18"/>
  <c r="BG18"/>
  <c r="BF18"/>
  <c r="BE18"/>
  <c r="BD18"/>
  <c r="BC18"/>
  <c r="BB18"/>
  <c r="AX18"/>
  <c r="AW18"/>
  <c r="AV18"/>
  <c r="AC18"/>
  <c r="H18"/>
  <c r="G18" s="1"/>
  <c r="BT207"/>
  <c r="BS207"/>
  <c r="BR207"/>
  <c r="BQ207"/>
  <c r="BP207"/>
  <c r="BO207"/>
  <c r="BN207"/>
  <c r="BM207"/>
  <c r="BK207"/>
  <c r="BJ207"/>
  <c r="BI207"/>
  <c r="BH207"/>
  <c r="BG207"/>
  <c r="BF207"/>
  <c r="BE207"/>
  <c r="BD207"/>
  <c r="BC207"/>
  <c r="BB207"/>
  <c r="BA207" s="1"/>
  <c r="AX207"/>
  <c r="AW207"/>
  <c r="AV207"/>
  <c r="AC207"/>
  <c r="H207"/>
  <c r="BT206"/>
  <c r="BS206"/>
  <c r="BR206"/>
  <c r="BQ206"/>
  <c r="BP206"/>
  <c r="BO206"/>
  <c r="BN206"/>
  <c r="BM206"/>
  <c r="BL206" s="1"/>
  <c r="BK206"/>
  <c r="BJ206"/>
  <c r="BI206"/>
  <c r="BH206"/>
  <c r="BG206"/>
  <c r="BF206"/>
  <c r="BE206"/>
  <c r="BD206"/>
  <c r="BC206"/>
  <c r="BB206"/>
  <c r="AX206"/>
  <c r="AW206"/>
  <c r="AV206"/>
  <c r="AC206"/>
  <c r="H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AX204"/>
  <c r="AW204"/>
  <c r="AV204"/>
  <c r="AC204"/>
  <c r="H204"/>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AX202"/>
  <c r="AW202"/>
  <c r="AV202"/>
  <c r="AC202"/>
  <c r="H202"/>
  <c r="G202" s="1"/>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AX198"/>
  <c r="AW198"/>
  <c r="AV198"/>
  <c r="AC198"/>
  <c r="H198"/>
  <c r="G198" s="1"/>
  <c r="BT197"/>
  <c r="BS197"/>
  <c r="BR197"/>
  <c r="BQ197"/>
  <c r="BP197"/>
  <c r="BO197"/>
  <c r="BN197"/>
  <c r="BM197"/>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BA194" s="1"/>
  <c r="AX194"/>
  <c r="AW194"/>
  <c r="AV194"/>
  <c r="AC194"/>
  <c r="H194"/>
  <c r="G194" s="1"/>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s="1"/>
  <c r="AX190"/>
  <c r="AW190"/>
  <c r="AV190"/>
  <c r="AC190"/>
  <c r="H190"/>
  <c r="BT189"/>
  <c r="BS189"/>
  <c r="BR189"/>
  <c r="BQ189"/>
  <c r="BP189"/>
  <c r="BO189"/>
  <c r="BN189"/>
  <c r="BM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AX184"/>
  <c r="AW184"/>
  <c r="AV184"/>
  <c r="AC184"/>
  <c r="H184"/>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AX182"/>
  <c r="AW182"/>
  <c r="AV182"/>
  <c r="AC182"/>
  <c r="H182"/>
  <c r="G182" s="1"/>
  <c r="BT181"/>
  <c r="BS181"/>
  <c r="BR181"/>
  <c r="BQ181"/>
  <c r="BP181"/>
  <c r="BO181"/>
  <c r="BN181"/>
  <c r="BM18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B178"/>
  <c r="BA178" s="1"/>
  <c r="AX178"/>
  <c r="AW178"/>
  <c r="AV178"/>
  <c r="AC178"/>
  <c r="H178"/>
  <c r="G178" s="1"/>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s="1"/>
  <c r="AX174"/>
  <c r="AW174"/>
  <c r="AV174"/>
  <c r="AC174"/>
  <c r="H174"/>
  <c r="BT173"/>
  <c r="BS173"/>
  <c r="BR173"/>
  <c r="BQ173"/>
  <c r="BP173"/>
  <c r="BO173"/>
  <c r="BN173"/>
  <c r="BM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AX168"/>
  <c r="AW168"/>
  <c r="AV168"/>
  <c r="AC168"/>
  <c r="H168"/>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K165"/>
  <c r="BJ165"/>
  <c r="BI165"/>
  <c r="BH165"/>
  <c r="BG165"/>
  <c r="BF165"/>
  <c r="BE165"/>
  <c r="BD165"/>
  <c r="BC165"/>
  <c r="BB165"/>
  <c r="BA165" s="1"/>
  <c r="AX165"/>
  <c r="AW165"/>
  <c r="AV165"/>
  <c r="AC165"/>
  <c r="H165"/>
  <c r="BT164"/>
  <c r="BS164"/>
  <c r="BR164"/>
  <c r="BQ164"/>
  <c r="BP164"/>
  <c r="BO164"/>
  <c r="BN164"/>
  <c r="BM164"/>
  <c r="BK164"/>
  <c r="BJ164"/>
  <c r="BI164"/>
  <c r="BH164"/>
  <c r="BG164"/>
  <c r="BF164"/>
  <c r="BE164"/>
  <c r="BD164"/>
  <c r="BC164"/>
  <c r="BB164"/>
  <c r="AX164"/>
  <c r="AW164"/>
  <c r="AV164"/>
  <c r="AC164"/>
  <c r="H164"/>
  <c r="BT163"/>
  <c r="BS163"/>
  <c r="BR163"/>
  <c r="BQ163"/>
  <c r="BP163"/>
  <c r="BO163"/>
  <c r="BN163"/>
  <c r="BM163"/>
  <c r="BK163"/>
  <c r="BJ163"/>
  <c r="BI163"/>
  <c r="BH163"/>
  <c r="BG163"/>
  <c r="BF163"/>
  <c r="BE163"/>
  <c r="BD163"/>
  <c r="BC163"/>
  <c r="BB163"/>
  <c r="AX163"/>
  <c r="AW163"/>
  <c r="AV163"/>
  <c r="AC163"/>
  <c r="H163"/>
  <c r="G163" s="1"/>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s="1"/>
  <c r="AX158"/>
  <c r="AW158"/>
  <c r="AV158"/>
  <c r="AC158"/>
  <c r="H158"/>
  <c r="BT157"/>
  <c r="BS157"/>
  <c r="BR157"/>
  <c r="BQ157"/>
  <c r="BP157"/>
  <c r="BO157"/>
  <c r="BN157"/>
  <c r="BM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AX150"/>
  <c r="AW150"/>
  <c r="AV150"/>
  <c r="AC150"/>
  <c r="H150"/>
  <c r="G150" s="1"/>
  <c r="BT149"/>
  <c r="BS149"/>
  <c r="BR149"/>
  <c r="BQ149"/>
  <c r="BP149"/>
  <c r="BO149"/>
  <c r="BN149"/>
  <c r="BM149"/>
  <c r="BK149"/>
  <c r="BJ149"/>
  <c r="BI149"/>
  <c r="BH149"/>
  <c r="BG149"/>
  <c r="BF149"/>
  <c r="BE149"/>
  <c r="BD149"/>
  <c r="BC149"/>
  <c r="BB149"/>
  <c r="BA149" s="1"/>
  <c r="AX149"/>
  <c r="AW149"/>
  <c r="AV149"/>
  <c r="AC149"/>
  <c r="H149"/>
  <c r="BT148"/>
  <c r="BS148"/>
  <c r="BR148"/>
  <c r="BQ148"/>
  <c r="BP148"/>
  <c r="BO148"/>
  <c r="BN148"/>
  <c r="BM148"/>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BT143"/>
  <c r="BS143"/>
  <c r="BR143"/>
  <c r="BQ143"/>
  <c r="BP143"/>
  <c r="BO143"/>
  <c r="BN143"/>
  <c r="BM143"/>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BT135"/>
  <c r="BS135"/>
  <c r="BR135"/>
  <c r="BQ135"/>
  <c r="BP135"/>
  <c r="BO135"/>
  <c r="BN135"/>
  <c r="BM135"/>
  <c r="BK135"/>
  <c r="BJ135"/>
  <c r="BI135"/>
  <c r="BH135"/>
  <c r="BG135"/>
  <c r="BF135"/>
  <c r="BE135"/>
  <c r="BD135"/>
  <c r="BC135"/>
  <c r="BB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BT130"/>
  <c r="BS130"/>
  <c r="BR130"/>
  <c r="BQ130"/>
  <c r="BP130"/>
  <c r="BO130"/>
  <c r="BN130"/>
  <c r="BM130"/>
  <c r="BL130"/>
  <c r="BK130"/>
  <c r="BJ130"/>
  <c r="BI130"/>
  <c r="BH130"/>
  <c r="BG130"/>
  <c r="BF130"/>
  <c r="BE130"/>
  <c r="BD130"/>
  <c r="BC130"/>
  <c r="BB130"/>
  <c r="BA130" s="1"/>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L113" s="1"/>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L301" s="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s="1"/>
  <c r="AX297"/>
  <c r="AW297"/>
  <c r="AV297"/>
  <c r="AC297"/>
  <c r="H297"/>
  <c r="BT296"/>
  <c r="BS296"/>
  <c r="BR296"/>
  <c r="BQ296"/>
  <c r="BP296"/>
  <c r="BO296"/>
  <c r="BN296"/>
  <c r="BM296"/>
  <c r="BL296" s="1"/>
  <c r="BK296"/>
  <c r="BJ296"/>
  <c r="BI296"/>
  <c r="BH296"/>
  <c r="BG296"/>
  <c r="BF296"/>
  <c r="BE296"/>
  <c r="BD296"/>
  <c r="BC296"/>
  <c r="BB296"/>
  <c r="AX296"/>
  <c r="AW296"/>
  <c r="AV296"/>
  <c r="AC296"/>
  <c r="H296"/>
  <c r="BT295"/>
  <c r="BS295"/>
  <c r="BR295"/>
  <c r="BQ295"/>
  <c r="BP295"/>
  <c r="BO295"/>
  <c r="BN295"/>
  <c r="BM295"/>
  <c r="BL295" s="1"/>
  <c r="BK295"/>
  <c r="BJ295"/>
  <c r="BI295"/>
  <c r="BH295"/>
  <c r="BG295"/>
  <c r="BF295"/>
  <c r="BE295"/>
  <c r="BD295"/>
  <c r="BC295"/>
  <c r="BB295"/>
  <c r="AX295"/>
  <c r="AW295"/>
  <c r="AV295"/>
  <c r="AC295"/>
  <c r="H295"/>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G293" s="1"/>
  <c r="BT292"/>
  <c r="BS292"/>
  <c r="BR292"/>
  <c r="BQ292"/>
  <c r="BP292"/>
  <c r="BO292"/>
  <c r="BN292"/>
  <c r="BM292"/>
  <c r="BL292" s="1"/>
  <c r="BK292"/>
  <c r="BJ292"/>
  <c r="BI292"/>
  <c r="BH292"/>
  <c r="BG292"/>
  <c r="BF292"/>
  <c r="BE292"/>
  <c r="BD292"/>
  <c r="BC292"/>
  <c r="BB292"/>
  <c r="AX292"/>
  <c r="AW292"/>
  <c r="AV292"/>
  <c r="AC292"/>
  <c r="H292"/>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s="1"/>
  <c r="AZ290" s="1"/>
  <c r="AX290"/>
  <c r="AW290"/>
  <c r="AV290"/>
  <c r="AC290"/>
  <c r="H290"/>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s="1"/>
  <c r="AX288"/>
  <c r="AW288"/>
  <c r="AV288"/>
  <c r="AC288"/>
  <c r="H288"/>
  <c r="G288" s="1"/>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BA286" s="1"/>
  <c r="AX286"/>
  <c r="AW286"/>
  <c r="AV286"/>
  <c r="AC286"/>
  <c r="H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s="1"/>
  <c r="AX281"/>
  <c r="AW281"/>
  <c r="AV281"/>
  <c r="AC281"/>
  <c r="H281"/>
  <c r="BT280"/>
  <c r="BS280"/>
  <c r="BR280"/>
  <c r="BQ280"/>
  <c r="BP280"/>
  <c r="BO280"/>
  <c r="BN280"/>
  <c r="BM280"/>
  <c r="BL280" s="1"/>
  <c r="BK280"/>
  <c r="BJ280"/>
  <c r="BI280"/>
  <c r="BH280"/>
  <c r="BG280"/>
  <c r="BF280"/>
  <c r="BE280"/>
  <c r="BD280"/>
  <c r="BC280"/>
  <c r="BB280"/>
  <c r="AX280"/>
  <c r="AW280"/>
  <c r="AV280"/>
  <c r="AC280"/>
  <c r="H280"/>
  <c r="BT279"/>
  <c r="BS279"/>
  <c r="BR279"/>
  <c r="BQ279"/>
  <c r="BP279"/>
  <c r="BO279"/>
  <c r="BN279"/>
  <c r="BM279"/>
  <c r="BL279" s="1"/>
  <c r="BK279"/>
  <c r="BJ279"/>
  <c r="BI279"/>
  <c r="BH279"/>
  <c r="BG279"/>
  <c r="BF279"/>
  <c r="BE279"/>
  <c r="BD279"/>
  <c r="BC279"/>
  <c r="BB279"/>
  <c r="AX279"/>
  <c r="AW279"/>
  <c r="AV279"/>
  <c r="AC279"/>
  <c r="H279"/>
  <c r="BT278"/>
  <c r="BS278"/>
  <c r="BR278"/>
  <c r="BQ278"/>
  <c r="BP278"/>
  <c r="BO278"/>
  <c r="BN278"/>
  <c r="BM278"/>
  <c r="BL278" s="1"/>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L276" s="1"/>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s="1"/>
  <c r="AZ274" s="1"/>
  <c r="AX274"/>
  <c r="AW274"/>
  <c r="AV274"/>
  <c r="AC274"/>
  <c r="H274"/>
  <c r="BT273"/>
  <c r="BS273"/>
  <c r="BR273"/>
  <c r="BQ273"/>
  <c r="BP273"/>
  <c r="BO273"/>
  <c r="BN273"/>
  <c r="BM273"/>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s="1"/>
  <c r="AZ270" s="1"/>
  <c r="AX270"/>
  <c r="AW270"/>
  <c r="AV270"/>
  <c r="AC270"/>
  <c r="H270"/>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s="1"/>
  <c r="AX266"/>
  <c r="AW266"/>
  <c r="AV266"/>
  <c r="AC266"/>
  <c r="H266"/>
  <c r="BT265"/>
  <c r="BS265"/>
  <c r="BR265"/>
  <c r="BQ265"/>
  <c r="BP265"/>
  <c r="BO265"/>
  <c r="BN265"/>
  <c r="BM265"/>
  <c r="BL265" s="1"/>
  <c r="BK265"/>
  <c r="BJ265"/>
  <c r="BI265"/>
  <c r="BH265"/>
  <c r="BG265"/>
  <c r="BF265"/>
  <c r="BE265"/>
  <c r="BD265"/>
  <c r="BC265"/>
  <c r="BB265"/>
  <c r="AX265"/>
  <c r="AW265"/>
  <c r="AV265"/>
  <c r="AC265"/>
  <c r="H265"/>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BT261"/>
  <c r="BS261"/>
  <c r="BR261"/>
  <c r="BQ261"/>
  <c r="BP261"/>
  <c r="BO261"/>
  <c r="BN261"/>
  <c r="BM261"/>
  <c r="BL261" s="1"/>
  <c r="BK261"/>
  <c r="BJ261"/>
  <c r="BI261"/>
  <c r="BH261"/>
  <c r="BG261"/>
  <c r="BF261"/>
  <c r="BE261"/>
  <c r="BD261"/>
  <c r="BC261"/>
  <c r="BB261"/>
  <c r="AX261"/>
  <c r="AW261"/>
  <c r="AV261"/>
  <c r="AC261"/>
  <c r="H261"/>
  <c r="BT260"/>
  <c r="BS260"/>
  <c r="BR260"/>
  <c r="BQ260"/>
  <c r="BP260"/>
  <c r="BO260"/>
  <c r="BN260"/>
  <c r="BM260"/>
  <c r="BL260" s="1"/>
  <c r="BK260"/>
  <c r="BJ260"/>
  <c r="BI260"/>
  <c r="BH260"/>
  <c r="BG260"/>
  <c r="BF260"/>
  <c r="BE260"/>
  <c r="BD260"/>
  <c r="BC260"/>
  <c r="BB260"/>
  <c r="AX260"/>
  <c r="AW260"/>
  <c r="AV260"/>
  <c r="AC260"/>
  <c r="H260"/>
  <c r="G260" s="1"/>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K258"/>
  <c r="BJ258"/>
  <c r="BI258"/>
  <c r="BH258"/>
  <c r="BG258"/>
  <c r="BF258"/>
  <c r="BE258"/>
  <c r="BD258"/>
  <c r="BC258"/>
  <c r="BB258"/>
  <c r="BA258" s="1"/>
  <c r="AX258"/>
  <c r="AW258"/>
  <c r="AV258"/>
  <c r="AC258"/>
  <c r="H258"/>
  <c r="BT257"/>
  <c r="BS257"/>
  <c r="BR257"/>
  <c r="BQ257"/>
  <c r="BP257"/>
  <c r="BO257"/>
  <c r="BN257"/>
  <c r="BM257"/>
  <c r="BL257" s="1"/>
  <c r="BK257"/>
  <c r="BJ257"/>
  <c r="BI257"/>
  <c r="BH257"/>
  <c r="BG257"/>
  <c r="BF257"/>
  <c r="BE257"/>
  <c r="BD257"/>
  <c r="BC257"/>
  <c r="BB257"/>
  <c r="AX257"/>
  <c r="AW257"/>
  <c r="AV257"/>
  <c r="AC257"/>
  <c r="H257"/>
  <c r="BT256"/>
  <c r="BS256"/>
  <c r="BR256"/>
  <c r="BQ256"/>
  <c r="BP256"/>
  <c r="BO256"/>
  <c r="BN256"/>
  <c r="BM256"/>
  <c r="BL256" s="1"/>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BT253"/>
  <c r="BS253"/>
  <c r="BR253"/>
  <c r="BQ253"/>
  <c r="BP253"/>
  <c r="BO253"/>
  <c r="BN253"/>
  <c r="BM253"/>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BT249"/>
  <c r="BS249"/>
  <c r="BR249"/>
  <c r="BQ249"/>
  <c r="BP249"/>
  <c r="BO249"/>
  <c r="BN249"/>
  <c r="BM249"/>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BT247"/>
  <c r="BS247"/>
  <c r="BR247"/>
  <c r="BQ247"/>
  <c r="BP247"/>
  <c r="BO247"/>
  <c r="BN247"/>
  <c r="BM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BT245"/>
  <c r="BS245"/>
  <c r="BR245"/>
  <c r="BQ245"/>
  <c r="BP245"/>
  <c r="BO245"/>
  <c r="BN245"/>
  <c r="BM245"/>
  <c r="BL245" s="1"/>
  <c r="BK245"/>
  <c r="BJ245"/>
  <c r="BI245"/>
  <c r="BH245"/>
  <c r="BG245"/>
  <c r="BF245"/>
  <c r="BE245"/>
  <c r="BD245"/>
  <c r="BC245"/>
  <c r="BB245"/>
  <c r="AX245"/>
  <c r="AW245"/>
  <c r="AV245"/>
  <c r="AC245"/>
  <c r="H245"/>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AX243"/>
  <c r="AW243"/>
  <c r="AV243"/>
  <c r="AC243"/>
  <c r="H243"/>
  <c r="G243" s="1"/>
  <c r="BT242"/>
  <c r="BS242"/>
  <c r="BR242"/>
  <c r="BQ242"/>
  <c r="BP242"/>
  <c r="BO242"/>
  <c r="BN242"/>
  <c r="BM242"/>
  <c r="BK242"/>
  <c r="BJ242"/>
  <c r="BI242"/>
  <c r="BH242"/>
  <c r="BG242"/>
  <c r="BF242"/>
  <c r="BE242"/>
  <c r="BD242"/>
  <c r="BC242"/>
  <c r="BB242"/>
  <c r="BA242" s="1"/>
  <c r="AX242"/>
  <c r="AW242"/>
  <c r="AV242"/>
  <c r="AC242"/>
  <c r="H242"/>
  <c r="BT241"/>
  <c r="BS241"/>
  <c r="BR241"/>
  <c r="BQ241"/>
  <c r="BP241"/>
  <c r="BO241"/>
  <c r="BN241"/>
  <c r="BM241"/>
  <c r="BL241" s="1"/>
  <c r="BK241"/>
  <c r="BJ241"/>
  <c r="BI241"/>
  <c r="BH241"/>
  <c r="BG241"/>
  <c r="BF241"/>
  <c r="BE241"/>
  <c r="BD241"/>
  <c r="BC241"/>
  <c r="BB241"/>
  <c r="AX241"/>
  <c r="AW241"/>
  <c r="AV241"/>
  <c r="AC241"/>
  <c r="H241"/>
  <c r="BT240"/>
  <c r="BS240"/>
  <c r="BR240"/>
  <c r="BQ240"/>
  <c r="BP240"/>
  <c r="BO240"/>
  <c r="BN240"/>
  <c r="BM240"/>
  <c r="BL240" s="1"/>
  <c r="BK240"/>
  <c r="BJ240"/>
  <c r="BI240"/>
  <c r="BH240"/>
  <c r="BG240"/>
  <c r="BF240"/>
  <c r="BE240"/>
  <c r="BD240"/>
  <c r="BC240"/>
  <c r="BB240"/>
  <c r="AX240"/>
  <c r="AW240"/>
  <c r="AV240"/>
  <c r="AC240"/>
  <c r="H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K238"/>
  <c r="BJ238"/>
  <c r="BI238"/>
  <c r="BH238"/>
  <c r="BG238"/>
  <c r="BF238"/>
  <c r="BE238"/>
  <c r="BD238"/>
  <c r="BC238"/>
  <c r="BB238"/>
  <c r="AX238"/>
  <c r="AW238"/>
  <c r="AV238"/>
  <c r="AC238"/>
  <c r="H238"/>
  <c r="G238" s="1"/>
  <c r="BT237"/>
  <c r="BS237"/>
  <c r="BR237"/>
  <c r="BQ237"/>
  <c r="BP237"/>
  <c r="BO237"/>
  <c r="BN237"/>
  <c r="BM237"/>
  <c r="BL237" s="1"/>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BA235" s="1"/>
  <c r="AX235"/>
  <c r="AW235"/>
  <c r="AV235"/>
  <c r="AC235"/>
  <c r="H235"/>
  <c r="G235" s="1"/>
  <c r="BT234"/>
  <c r="BS234"/>
  <c r="BR234"/>
  <c r="BQ234"/>
  <c r="BP234"/>
  <c r="BO234"/>
  <c r="BN234"/>
  <c r="BM234"/>
  <c r="BK234"/>
  <c r="BJ234"/>
  <c r="BI234"/>
  <c r="BH234"/>
  <c r="BG234"/>
  <c r="BF234"/>
  <c r="BE234"/>
  <c r="BD234"/>
  <c r="BC234"/>
  <c r="BB234"/>
  <c r="AX234"/>
  <c r="AW234"/>
  <c r="AV234"/>
  <c r="AC234"/>
  <c r="H234"/>
  <c r="G234" s="1"/>
  <c r="BT233"/>
  <c r="BS233"/>
  <c r="BR233"/>
  <c r="BQ233"/>
  <c r="BP233"/>
  <c r="BO233"/>
  <c r="BN233"/>
  <c r="BM233"/>
  <c r="BL233" s="1"/>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BA230"/>
  <c r="AX230"/>
  <c r="AW230"/>
  <c r="AV230"/>
  <c r="AC230"/>
  <c r="H230"/>
  <c r="BT229"/>
  <c r="BS229"/>
  <c r="BR229"/>
  <c r="BQ229"/>
  <c r="BP229"/>
  <c r="BO229"/>
  <c r="BN229"/>
  <c r="BM229"/>
  <c r="BL229"/>
  <c r="BK229"/>
  <c r="BJ229"/>
  <c r="BI229"/>
  <c r="BH229"/>
  <c r="BG229"/>
  <c r="BF229"/>
  <c r="BE229"/>
  <c r="BD229"/>
  <c r="BC229"/>
  <c r="BB229"/>
  <c r="BA229" s="1"/>
  <c r="AX229"/>
  <c r="AW229"/>
  <c r="AV229"/>
  <c r="AC229"/>
  <c r="H229"/>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s="1"/>
  <c r="AX224"/>
  <c r="AW224"/>
  <c r="AV224"/>
  <c r="AC224"/>
  <c r="H224"/>
  <c r="BT223"/>
  <c r="BS223"/>
  <c r="BR223"/>
  <c r="BQ223"/>
  <c r="BP223"/>
  <c r="BO223"/>
  <c r="BN223"/>
  <c r="BM223"/>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BT221"/>
  <c r="BS221"/>
  <c r="BR221"/>
  <c r="BQ221"/>
  <c r="BP221"/>
  <c r="BO221"/>
  <c r="BN221"/>
  <c r="BM22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s="1"/>
  <c r="AX220"/>
  <c r="AW220"/>
  <c r="AV220"/>
  <c r="AC220"/>
  <c r="H220"/>
  <c r="BT219"/>
  <c r="BS219"/>
  <c r="BR219"/>
  <c r="BQ219"/>
  <c r="BP219"/>
  <c r="BO219"/>
  <c r="BN219"/>
  <c r="BM219"/>
  <c r="BL219" s="1"/>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AX218"/>
  <c r="AW218"/>
  <c r="AV218"/>
  <c r="AC218"/>
  <c r="H218"/>
  <c r="G218" s="1"/>
  <c r="BT217"/>
  <c r="BS217"/>
  <c r="BR217"/>
  <c r="BQ217"/>
  <c r="BP217"/>
  <c r="BO217"/>
  <c r="BN217"/>
  <c r="BM217"/>
  <c r="BK217"/>
  <c r="BJ217"/>
  <c r="BI217"/>
  <c r="BH217"/>
  <c r="BG217"/>
  <c r="BF217"/>
  <c r="BE217"/>
  <c r="BD217"/>
  <c r="BC217"/>
  <c r="BB217"/>
  <c r="BA217" s="1"/>
  <c r="AX217"/>
  <c r="AW217"/>
  <c r="AV217"/>
  <c r="AC217"/>
  <c r="H217"/>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s="1"/>
  <c r="BT213"/>
  <c r="BS213"/>
  <c r="BR213"/>
  <c r="BQ213"/>
  <c r="BP213"/>
  <c r="BO213"/>
  <c r="BN213"/>
  <c r="BM213"/>
  <c r="BK213"/>
  <c r="BJ213"/>
  <c r="BI213"/>
  <c r="BH213"/>
  <c r="BG213"/>
  <c r="BF213"/>
  <c r="BE213"/>
  <c r="BD213"/>
  <c r="BC213"/>
  <c r="BB213"/>
  <c r="AX213"/>
  <c r="AW213"/>
  <c r="AV213"/>
  <c r="AC213"/>
  <c r="H213"/>
  <c r="G213" s="1"/>
  <c r="BT212"/>
  <c r="BS212"/>
  <c r="BR212"/>
  <c r="BQ212"/>
  <c r="BP212"/>
  <c r="BO212"/>
  <c r="BN212"/>
  <c r="BM212"/>
  <c r="BL212" s="1"/>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BA211"/>
  <c r="AX211"/>
  <c r="AW211"/>
  <c r="AV211"/>
  <c r="AC211"/>
  <c r="H21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s="1"/>
  <c r="AX209"/>
  <c r="AW209"/>
  <c r="AV209"/>
  <c r="AC209"/>
  <c r="H209"/>
  <c r="BT208"/>
  <c r="BS208"/>
  <c r="BR208"/>
  <c r="BQ208"/>
  <c r="BP208"/>
  <c r="BO208"/>
  <c r="BN208"/>
  <c r="BM208"/>
  <c r="BK208"/>
  <c r="BJ208"/>
  <c r="BI208"/>
  <c r="BH208"/>
  <c r="BG208"/>
  <c r="BF208"/>
  <c r="BE208"/>
  <c r="BD208"/>
  <c r="BC208"/>
  <c r="BB208"/>
  <c r="BA208"/>
  <c r="AX208"/>
  <c r="AW208"/>
  <c r="AV208"/>
  <c r="AC208"/>
  <c r="H208"/>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s="1"/>
  <c r="AX396"/>
  <c r="AW396"/>
  <c r="AV396"/>
  <c r="AC396"/>
  <c r="H396"/>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L367" s="1"/>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s="1"/>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s="1"/>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B316"/>
  <c r="BA316" s="1"/>
  <c r="AX316"/>
  <c r="AW316"/>
  <c r="AV316"/>
  <c r="AC316"/>
  <c r="H316"/>
  <c r="BT315"/>
  <c r="BS315"/>
  <c r="BR315"/>
  <c r="BQ315"/>
  <c r="BP315"/>
  <c r="BO315"/>
  <c r="BN315"/>
  <c r="BM315"/>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L492" s="1"/>
  <c r="BK492"/>
  <c r="BJ492"/>
  <c r="BI492"/>
  <c r="BH492"/>
  <c r="BG492"/>
  <c r="BF492"/>
  <c r="BE492"/>
  <c r="BD492"/>
  <c r="BC492"/>
  <c r="BB492"/>
  <c r="AX492"/>
  <c r="AW492"/>
  <c r="AV492"/>
  <c r="AC492"/>
  <c r="H492"/>
  <c r="BT491"/>
  <c r="BS491"/>
  <c r="BR491"/>
  <c r="BQ491"/>
  <c r="BP491"/>
  <c r="BO491"/>
  <c r="BN491"/>
  <c r="BM49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s="1"/>
  <c r="AX490"/>
  <c r="AW490"/>
  <c r="AV490"/>
  <c r="AC490"/>
  <c r="H490"/>
  <c r="BT489"/>
  <c r="BS489"/>
  <c r="BR489"/>
  <c r="BQ489"/>
  <c r="BP489"/>
  <c r="BO489"/>
  <c r="BN489"/>
  <c r="BM489"/>
  <c r="BK489"/>
  <c r="BJ489"/>
  <c r="BI489"/>
  <c r="BH489"/>
  <c r="BG489"/>
  <c r="BF489"/>
  <c r="BE489"/>
  <c r="BD489"/>
  <c r="BC489"/>
  <c r="BB489"/>
  <c r="AX489"/>
  <c r="AW489"/>
  <c r="AV489"/>
  <c r="AC489"/>
  <c r="H489"/>
  <c r="G489" s="1"/>
  <c r="BT488"/>
  <c r="BS488"/>
  <c r="BR488"/>
  <c r="BQ488"/>
  <c r="BP488"/>
  <c r="BO488"/>
  <c r="BN488"/>
  <c r="BM488"/>
  <c r="BL488" s="1"/>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s="1"/>
  <c r="AZ486" s="1"/>
  <c r="AX486"/>
  <c r="AW486"/>
  <c r="AV486"/>
  <c r="AC486"/>
  <c r="H486"/>
  <c r="BT485"/>
  <c r="BS485"/>
  <c r="BR485"/>
  <c r="BQ485"/>
  <c r="BP485"/>
  <c r="BO485"/>
  <c r="BN485"/>
  <c r="BM485"/>
  <c r="BK485"/>
  <c r="BJ485"/>
  <c r="BI485"/>
  <c r="BH485"/>
  <c r="BG485"/>
  <c r="BF485"/>
  <c r="BE485"/>
  <c r="BD485"/>
  <c r="BC485"/>
  <c r="BB485"/>
  <c r="AX485"/>
  <c r="AW485"/>
  <c r="AV485"/>
  <c r="AC485"/>
  <c r="H485"/>
  <c r="G485" s="1"/>
  <c r="BT484"/>
  <c r="BS484"/>
  <c r="BR484"/>
  <c r="BQ484"/>
  <c r="BP484"/>
  <c r="BO484"/>
  <c r="BN484"/>
  <c r="BM484"/>
  <c r="BL484" s="1"/>
  <c r="BK484"/>
  <c r="BJ484"/>
  <c r="BI484"/>
  <c r="BH484"/>
  <c r="BG484"/>
  <c r="BF484"/>
  <c r="BE484"/>
  <c r="BD484"/>
  <c r="BC484"/>
  <c r="BB484"/>
  <c r="AX484"/>
  <c r="AW484"/>
  <c r="AV484"/>
  <c r="AC484"/>
  <c r="H484"/>
  <c r="BT483"/>
  <c r="BS483"/>
  <c r="BR483"/>
  <c r="BQ483"/>
  <c r="BP483"/>
  <c r="BO483"/>
  <c r="BN483"/>
  <c r="BM483"/>
  <c r="BL483"/>
  <c r="BK483"/>
  <c r="BJ483"/>
  <c r="BI483"/>
  <c r="BH483"/>
  <c r="BG483"/>
  <c r="BF483"/>
  <c r="BE483"/>
  <c r="BD483"/>
  <c r="BC483"/>
  <c r="BB483"/>
  <c r="BA483" s="1"/>
  <c r="AZ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Z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Z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BT472"/>
  <c r="BS472"/>
  <c r="BR472"/>
  <c r="BQ472"/>
  <c r="BP472"/>
  <c r="BO472"/>
  <c r="BN472"/>
  <c r="BM472"/>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L467" s="1"/>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G466" s="1"/>
  <c r="BT465"/>
  <c r="BS465"/>
  <c r="BR465"/>
  <c r="BQ465"/>
  <c r="BP465"/>
  <c r="BO465"/>
  <c r="BN465"/>
  <c r="BM465"/>
  <c r="BL465" s="1"/>
  <c r="BK465"/>
  <c r="BJ465"/>
  <c r="BI465"/>
  <c r="BH465"/>
  <c r="BG465"/>
  <c r="BF465"/>
  <c r="BE465"/>
  <c r="BD465"/>
  <c r="BC465"/>
  <c r="BB465"/>
  <c r="BA465" s="1"/>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X462"/>
  <c r="AW462"/>
  <c r="AV462"/>
  <c r="AC462"/>
  <c r="H462"/>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BT456"/>
  <c r="BS456"/>
  <c r="BR456"/>
  <c r="BQ456"/>
  <c r="BP456"/>
  <c r="BO456"/>
  <c r="BN456"/>
  <c r="BM456"/>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s="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K449"/>
  <c r="BJ449"/>
  <c r="BI449"/>
  <c r="BH449"/>
  <c r="BG449"/>
  <c r="BF449"/>
  <c r="BE449"/>
  <c r="BD449"/>
  <c r="BC449"/>
  <c r="BB449"/>
  <c r="BA449" s="1"/>
  <c r="AX449"/>
  <c r="AW449"/>
  <c r="AV449"/>
  <c r="AC449"/>
  <c r="H449"/>
  <c r="BT448"/>
  <c r="BS448"/>
  <c r="BR448"/>
  <c r="BQ448"/>
  <c r="BP448"/>
  <c r="BO448"/>
  <c r="BN448"/>
  <c r="BM448"/>
  <c r="BL448" s="1"/>
  <c r="BK448"/>
  <c r="BJ448"/>
  <c r="BI448"/>
  <c r="BH448"/>
  <c r="BG448"/>
  <c r="BF448"/>
  <c r="BE448"/>
  <c r="BD448"/>
  <c r="BC448"/>
  <c r="BB448"/>
  <c r="AX448"/>
  <c r="AW448"/>
  <c r="AV448"/>
  <c r="AC448"/>
  <c r="H448"/>
  <c r="BT447"/>
  <c r="BS447"/>
  <c r="BR447"/>
  <c r="BQ447"/>
  <c r="BP447"/>
  <c r="BO447"/>
  <c r="BN447"/>
  <c r="BM447"/>
  <c r="BL447" s="1"/>
  <c r="BK447"/>
  <c r="BJ447"/>
  <c r="BI447"/>
  <c r="BH447"/>
  <c r="BG447"/>
  <c r="BF447"/>
  <c r="BE447"/>
  <c r="BD447"/>
  <c r="BC447"/>
  <c r="BB447"/>
  <c r="AX447"/>
  <c r="AW447"/>
  <c r="AV447"/>
  <c r="AC447"/>
  <c r="H447"/>
  <c r="G447" s="1"/>
  <c r="BT446"/>
  <c r="BS446"/>
  <c r="BR446"/>
  <c r="BQ446"/>
  <c r="BP446"/>
  <c r="BO446"/>
  <c r="BN446"/>
  <c r="BM446"/>
  <c r="BK446"/>
  <c r="BJ446"/>
  <c r="BI446"/>
  <c r="BH446"/>
  <c r="BG446"/>
  <c r="BF446"/>
  <c r="BE446"/>
  <c r="BD446"/>
  <c r="BC446"/>
  <c r="BB446"/>
  <c r="AX446"/>
  <c r="AW446"/>
  <c r="AV446"/>
  <c r="AC446"/>
  <c r="H446"/>
  <c r="G446" s="1"/>
  <c r="BT445"/>
  <c r="BS445"/>
  <c r="BR445"/>
  <c r="BQ445"/>
  <c r="BP445"/>
  <c r="BO445"/>
  <c r="BN445"/>
  <c r="BM445"/>
  <c r="BK445"/>
  <c r="BJ445"/>
  <c r="BI445"/>
  <c r="BH445"/>
  <c r="BG445"/>
  <c r="BF445"/>
  <c r="BE445"/>
  <c r="BD445"/>
  <c r="BC445"/>
  <c r="BB445"/>
  <c r="BA445" s="1"/>
  <c r="AX445"/>
  <c r="AW445"/>
  <c r="AV445"/>
  <c r="AC445"/>
  <c r="H445"/>
  <c r="BT444"/>
  <c r="BS444"/>
  <c r="BR444"/>
  <c r="BQ444"/>
  <c r="BP444"/>
  <c r="BO444"/>
  <c r="BN444"/>
  <c r="BM444"/>
  <c r="BL444" s="1"/>
  <c r="BK444"/>
  <c r="BJ444"/>
  <c r="BI444"/>
  <c r="BH444"/>
  <c r="BG444"/>
  <c r="BF444"/>
  <c r="BE444"/>
  <c r="BD444"/>
  <c r="BC444"/>
  <c r="BB444"/>
  <c r="AX444"/>
  <c r="AW444"/>
  <c r="AV444"/>
  <c r="AC444"/>
  <c r="H444"/>
  <c r="G444" s="1"/>
  <c r="BT443"/>
  <c r="BS443"/>
  <c r="BR443"/>
  <c r="BQ443"/>
  <c r="BP443"/>
  <c r="BO443"/>
  <c r="BN443"/>
  <c r="BM443"/>
  <c r="BK443"/>
  <c r="BJ443"/>
  <c r="BI443"/>
  <c r="BH443"/>
  <c r="BG443"/>
  <c r="BF443"/>
  <c r="BE443"/>
  <c r="BD443"/>
  <c r="BC443"/>
  <c r="BB443"/>
  <c r="AX443"/>
  <c r="AW443"/>
  <c r="AV443"/>
  <c r="AC443"/>
  <c r="H443"/>
  <c r="G443" s="1"/>
  <c r="BT442"/>
  <c r="BS442"/>
  <c r="BR442"/>
  <c r="BQ442"/>
  <c r="BP442"/>
  <c r="BO442"/>
  <c r="BN442"/>
  <c r="BM442"/>
  <c r="BK442"/>
  <c r="BJ442"/>
  <c r="BI442"/>
  <c r="BH442"/>
  <c r="BG442"/>
  <c r="BF442"/>
  <c r="BE442"/>
  <c r="BD442"/>
  <c r="BC442"/>
  <c r="BB442"/>
  <c r="BA442" s="1"/>
  <c r="AX442"/>
  <c r="AW442"/>
  <c r="AV442"/>
  <c r="AC442"/>
  <c r="H442"/>
  <c r="G442" s="1"/>
  <c r="BT441"/>
  <c r="BS441"/>
  <c r="BR441"/>
  <c r="BQ441"/>
  <c r="BP441"/>
  <c r="BO441"/>
  <c r="BN441"/>
  <c r="BM441"/>
  <c r="BK441"/>
  <c r="BJ441"/>
  <c r="BI441"/>
  <c r="BH441"/>
  <c r="BG441"/>
  <c r="BF441"/>
  <c r="BE441"/>
  <c r="BD441"/>
  <c r="BC441"/>
  <c r="BB441"/>
  <c r="AX441"/>
  <c r="AW441"/>
  <c r="AV441"/>
  <c r="AC441"/>
  <c r="H441"/>
  <c r="G441" s="1"/>
  <c r="BT440"/>
  <c r="BS440"/>
  <c r="BR440"/>
  <c r="BQ440"/>
  <c r="BP440"/>
  <c r="BO440"/>
  <c r="BN440"/>
  <c r="BM440"/>
  <c r="BL440" s="1"/>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BA438" s="1"/>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s="1"/>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B435"/>
  <c r="BA435"/>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BT433"/>
  <c r="BS433"/>
  <c r="BR433"/>
  <c r="BQ433"/>
  <c r="BP433"/>
  <c r="BO433"/>
  <c r="BN433"/>
  <c r="BM433"/>
  <c r="BK433"/>
  <c r="BJ433"/>
  <c r="BI433"/>
  <c r="BH433"/>
  <c r="BG433"/>
  <c r="BF433"/>
  <c r="BE433"/>
  <c r="BD433"/>
  <c r="BC433"/>
  <c r="BB433"/>
  <c r="BA433"/>
  <c r="AX433"/>
  <c r="AW433"/>
  <c r="AV433"/>
  <c r="AC433"/>
  <c r="H433"/>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s="1"/>
  <c r="AZ431" s="1"/>
  <c r="AX431"/>
  <c r="AW431"/>
  <c r="AV431"/>
  <c r="AC431"/>
  <c r="H431"/>
  <c r="BT430"/>
  <c r="BS430"/>
  <c r="BR430"/>
  <c r="BQ430"/>
  <c r="BP430"/>
  <c r="BO430"/>
  <c r="BN430"/>
  <c r="BM430"/>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BT428"/>
  <c r="BS428"/>
  <c r="BR428"/>
  <c r="BQ428"/>
  <c r="BP428"/>
  <c r="BO428"/>
  <c r="BN428"/>
  <c r="BM428"/>
  <c r="BK428"/>
  <c r="BJ428"/>
  <c r="BI428"/>
  <c r="BH428"/>
  <c r="BG428"/>
  <c r="BF428"/>
  <c r="BE428"/>
  <c r="BD428"/>
  <c r="BC428"/>
  <c r="BB428"/>
  <c r="BA428"/>
  <c r="AX428"/>
  <c r="AW428"/>
  <c r="AV428"/>
  <c r="AC428"/>
  <c r="H428"/>
  <c r="BT427"/>
  <c r="BS427"/>
  <c r="BR427"/>
  <c r="BQ427"/>
  <c r="BP427"/>
  <c r="BO427"/>
  <c r="BN427"/>
  <c r="BM427"/>
  <c r="BL427"/>
  <c r="BK427"/>
  <c r="BJ427"/>
  <c r="BI427"/>
  <c r="BH427"/>
  <c r="BG427"/>
  <c r="BF427"/>
  <c r="BE427"/>
  <c r="BD427"/>
  <c r="BC427"/>
  <c r="BB427"/>
  <c r="BA427" s="1"/>
  <c r="AZ427" s="1"/>
  <c r="AX427"/>
  <c r="AW427"/>
  <c r="AV427"/>
  <c r="AC427"/>
  <c r="H427"/>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s="1"/>
  <c r="AZ425" s="1"/>
  <c r="AX425"/>
  <c r="AW425"/>
  <c r="AV425"/>
  <c r="AC425"/>
  <c r="H425"/>
  <c r="BT424"/>
  <c r="BS424"/>
  <c r="BR424"/>
  <c r="BQ424"/>
  <c r="BP424"/>
  <c r="BO424"/>
  <c r="BN424"/>
  <c r="BM424"/>
  <c r="BK424"/>
  <c r="BJ424"/>
  <c r="BI424"/>
  <c r="BH424"/>
  <c r="BG424"/>
  <c r="BF424"/>
  <c r="BE424"/>
  <c r="BD424"/>
  <c r="BC424"/>
  <c r="BB424"/>
  <c r="AX424"/>
  <c r="AW424"/>
  <c r="AV424"/>
  <c r="AC424"/>
  <c r="H424"/>
  <c r="G424" s="1"/>
  <c r="BT423"/>
  <c r="BS423"/>
  <c r="BR423"/>
  <c r="BQ423"/>
  <c r="BP423"/>
  <c r="BO423"/>
  <c r="BN423"/>
  <c r="BM423"/>
  <c r="BL423" s="1"/>
  <c r="BK423"/>
  <c r="BJ423"/>
  <c r="BI423"/>
  <c r="BH423"/>
  <c r="BG423"/>
  <c r="BF423"/>
  <c r="BE423"/>
  <c r="BD423"/>
  <c r="BC423"/>
  <c r="BB423"/>
  <c r="AX423"/>
  <c r="AW423"/>
  <c r="AV423"/>
  <c r="AC423"/>
  <c r="H423"/>
  <c r="BT422"/>
  <c r="BS422"/>
  <c r="BR422"/>
  <c r="BQ422"/>
  <c r="BP422"/>
  <c r="BO422"/>
  <c r="BN422"/>
  <c r="BM422"/>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s="1"/>
  <c r="AZ421" s="1"/>
  <c r="AX421"/>
  <c r="AW421"/>
  <c r="AV421"/>
  <c r="AC421"/>
  <c r="H421"/>
  <c r="BT420"/>
  <c r="BS420"/>
  <c r="BR420"/>
  <c r="BQ420"/>
  <c r="BP420"/>
  <c r="BO420"/>
  <c r="BN420"/>
  <c r="BM420"/>
  <c r="BK420"/>
  <c r="BJ420"/>
  <c r="BI420"/>
  <c r="BH420"/>
  <c r="BG420"/>
  <c r="BF420"/>
  <c r="BE420"/>
  <c r="BD420"/>
  <c r="BC420"/>
  <c r="BB420"/>
  <c r="AX420"/>
  <c r="AW420"/>
  <c r="AV420"/>
  <c r="AC420"/>
  <c r="H420"/>
  <c r="G420" s="1"/>
  <c r="BT419"/>
  <c r="BS419"/>
  <c r="BR419"/>
  <c r="BQ419"/>
  <c r="BP419"/>
  <c r="BO419"/>
  <c r="BN419"/>
  <c r="BM419"/>
  <c r="BK419"/>
  <c r="BJ419"/>
  <c r="BI419"/>
  <c r="BH419"/>
  <c r="BG419"/>
  <c r="BF419"/>
  <c r="BE419"/>
  <c r="BD419"/>
  <c r="BC419"/>
  <c r="BB419"/>
  <c r="BA419" s="1"/>
  <c r="AX419"/>
  <c r="AW419"/>
  <c r="AV419"/>
  <c r="AC419"/>
  <c r="H419"/>
  <c r="G419" s="1"/>
  <c r="BT418"/>
  <c r="BS418"/>
  <c r="BR418"/>
  <c r="BQ418"/>
  <c r="BP418"/>
  <c r="BO418"/>
  <c r="BN418"/>
  <c r="BM418"/>
  <c r="BK418"/>
  <c r="BJ418"/>
  <c r="BI418"/>
  <c r="BH418"/>
  <c r="BG418"/>
  <c r="BF418"/>
  <c r="BE418"/>
  <c r="BD418"/>
  <c r="BC418"/>
  <c r="BB418"/>
  <c r="AX418"/>
  <c r="AW418"/>
  <c r="AV418"/>
  <c r="AC418"/>
  <c r="H418"/>
  <c r="G418" s="1"/>
  <c r="BT417"/>
  <c r="BS417"/>
  <c r="BR417"/>
  <c r="BQ417"/>
  <c r="BP417"/>
  <c r="BO417"/>
  <c r="BN417"/>
  <c r="BM417"/>
  <c r="BK417"/>
  <c r="BJ417"/>
  <c r="BI417"/>
  <c r="BH417"/>
  <c r="BG417"/>
  <c r="BF417"/>
  <c r="BE417"/>
  <c r="BD417"/>
  <c r="BC417"/>
  <c r="BB417"/>
  <c r="BA417" s="1"/>
  <c r="AX417"/>
  <c r="AW417"/>
  <c r="AV417"/>
  <c r="AC417"/>
  <c r="H417"/>
  <c r="BT416"/>
  <c r="BS416"/>
  <c r="BR416"/>
  <c r="BQ416"/>
  <c r="BP416"/>
  <c r="BO416"/>
  <c r="BN416"/>
  <c r="BM416"/>
  <c r="BL416" s="1"/>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AX415"/>
  <c r="AW415"/>
  <c r="AV415"/>
  <c r="AC415"/>
  <c r="H415"/>
  <c r="G415" s="1"/>
  <c r="BT414"/>
  <c r="BS414"/>
  <c r="BR414"/>
  <c r="BQ414"/>
  <c r="BP414"/>
  <c r="BO414"/>
  <c r="BN414"/>
  <c r="BM414"/>
  <c r="BL414" s="1"/>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L411" s="1"/>
  <c r="BK411"/>
  <c r="BJ411"/>
  <c r="BI411"/>
  <c r="BH411"/>
  <c r="BG411"/>
  <c r="BF411"/>
  <c r="BE411"/>
  <c r="BD411"/>
  <c r="BC411"/>
  <c r="BB411"/>
  <c r="AX411"/>
  <c r="AW411"/>
  <c r="AV411"/>
  <c r="AC411"/>
  <c r="H411"/>
  <c r="BT410"/>
  <c r="BS410"/>
  <c r="BR410"/>
  <c r="BQ410"/>
  <c r="BP410"/>
  <c r="BO410"/>
  <c r="BN410"/>
  <c r="BM410"/>
  <c r="BL410" s="1"/>
  <c r="BK410"/>
  <c r="BJ410"/>
  <c r="BI410"/>
  <c r="BH410"/>
  <c r="BG410"/>
  <c r="BF410"/>
  <c r="BE410"/>
  <c r="BD410"/>
  <c r="BC410"/>
  <c r="BB410"/>
  <c r="AX410"/>
  <c r="AW410"/>
  <c r="AV410"/>
  <c r="AC410"/>
  <c r="H410"/>
  <c r="BT409"/>
  <c r="BS409"/>
  <c r="BR409"/>
  <c r="BQ409"/>
  <c r="BP409"/>
  <c r="BO409"/>
  <c r="BN409"/>
  <c r="BM409"/>
  <c r="BL409" s="1"/>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AX408"/>
  <c r="AW408"/>
  <c r="AV408"/>
  <c r="AC408"/>
  <c r="H408"/>
  <c r="G408" s="1"/>
  <c r="BT407"/>
  <c r="BS407"/>
  <c r="BR407"/>
  <c r="BQ407"/>
  <c r="BP407"/>
  <c r="BO407"/>
  <c r="BN407"/>
  <c r="BM407"/>
  <c r="BL407" s="1"/>
  <c r="BK407"/>
  <c r="BJ407"/>
  <c r="BI407"/>
  <c r="BH407"/>
  <c r="BG407"/>
  <c r="BF407"/>
  <c r="BE407"/>
  <c r="BD407"/>
  <c r="BC407"/>
  <c r="BB407"/>
  <c r="AX407"/>
  <c r="AW407"/>
  <c r="AV407"/>
  <c r="AC407"/>
  <c r="H407"/>
  <c r="BT406"/>
  <c r="BS406"/>
  <c r="BR406"/>
  <c r="BQ406"/>
  <c r="BP406"/>
  <c r="BO406"/>
  <c r="BN406"/>
  <c r="BM406"/>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s="1"/>
  <c r="AZ405" s="1"/>
  <c r="AX405"/>
  <c r="AW405"/>
  <c r="AV405"/>
  <c r="AC405"/>
  <c r="H405"/>
  <c r="BT404"/>
  <c r="BS404"/>
  <c r="BR404"/>
  <c r="BQ404"/>
  <c r="BP404"/>
  <c r="BO404"/>
  <c r="BN404"/>
  <c r="BM404"/>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BA403" s="1"/>
  <c r="AX403"/>
  <c r="AW403"/>
  <c r="AV403"/>
  <c r="AC403"/>
  <c r="H403"/>
  <c r="G403" s="1"/>
  <c r="BT402"/>
  <c r="BS402"/>
  <c r="BR402"/>
  <c r="BQ402"/>
  <c r="BP402"/>
  <c r="BO402"/>
  <c r="BN402"/>
  <c r="BM402"/>
  <c r="BK402"/>
  <c r="BJ402"/>
  <c r="BI402"/>
  <c r="BH402"/>
  <c r="BG402"/>
  <c r="BF402"/>
  <c r="BE402"/>
  <c r="BD402"/>
  <c r="BC402"/>
  <c r="BB402"/>
  <c r="AX402"/>
  <c r="AW402"/>
  <c r="AV402"/>
  <c r="AC402"/>
  <c r="H402"/>
  <c r="G402" s="1"/>
  <c r="BT401"/>
  <c r="BS401"/>
  <c r="BR401"/>
  <c r="BQ401"/>
  <c r="BP401"/>
  <c r="BO401"/>
  <c r="BN401"/>
  <c r="BM401"/>
  <c r="BK401"/>
  <c r="BJ401"/>
  <c r="BI401"/>
  <c r="BH401"/>
  <c r="BG401"/>
  <c r="BF401"/>
  <c r="BE401"/>
  <c r="BD401"/>
  <c r="BC401"/>
  <c r="BB401"/>
  <c r="BA401" s="1"/>
  <c r="AX401"/>
  <c r="AW401"/>
  <c r="AV401"/>
  <c r="AC401"/>
  <c r="H40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AX399"/>
  <c r="AW399"/>
  <c r="AV399"/>
  <c r="AC399"/>
  <c r="H399"/>
  <c r="G399" s="1"/>
  <c r="BT398"/>
  <c r="BS398"/>
  <c r="BR398"/>
  <c r="BQ398"/>
  <c r="BP398"/>
  <c r="BO398"/>
  <c r="BN398"/>
  <c r="BM398"/>
  <c r="BL398" s="1"/>
  <c r="BK398"/>
  <c r="BJ398"/>
  <c r="BI398"/>
  <c r="BH398"/>
  <c r="BG398"/>
  <c r="BF398"/>
  <c r="BE398"/>
  <c r="BD398"/>
  <c r="BC398"/>
  <c r="BB398"/>
  <c r="AX398"/>
  <c r="AW398"/>
  <c r="AV398"/>
  <c r="AC398"/>
  <c r="H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471" i="31"/>
  <c r="S471" s="1"/>
  <c r="R472"/>
  <c r="R473"/>
  <c r="S473" s="1"/>
  <c r="R474"/>
  <c r="R475"/>
  <c r="S475" s="1"/>
  <c r="R476"/>
  <c r="R477"/>
  <c r="S477" s="1"/>
  <c r="R478"/>
  <c r="R479"/>
  <c r="S479" s="1"/>
  <c r="R480"/>
  <c r="R481"/>
  <c r="S481" s="1"/>
  <c r="R482"/>
  <c r="R483"/>
  <c r="S483" s="1"/>
  <c r="R484"/>
  <c r="R485"/>
  <c r="S485" s="1"/>
  <c r="R486"/>
  <c r="R487"/>
  <c r="S487" s="1"/>
  <c r="R488"/>
  <c r="R489"/>
  <c r="S489" s="1"/>
  <c r="R490"/>
  <c r="R491"/>
  <c r="S491" s="1"/>
  <c r="R492"/>
  <c r="R493"/>
  <c r="S493" s="1"/>
  <c r="R494"/>
  <c r="R495"/>
  <c r="S495" s="1"/>
  <c r="R496"/>
  <c r="R497"/>
  <c r="S497" s="1"/>
  <c r="R498"/>
  <c r="R499"/>
  <c r="S499" s="1"/>
  <c r="R500"/>
  <c r="R501"/>
  <c r="R502"/>
  <c r="R503"/>
  <c r="S503" s="1"/>
  <c r="R504"/>
  <c r="R505"/>
  <c r="R506"/>
  <c r="R507"/>
  <c r="R508"/>
  <c r="R509"/>
  <c r="R510"/>
  <c r="R511"/>
  <c r="R512"/>
  <c r="R513"/>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96"/>
  <c r="S494"/>
  <c r="S492"/>
  <c r="S490"/>
  <c r="S488"/>
  <c r="S486"/>
  <c r="S484"/>
  <c r="S482"/>
  <c r="S480"/>
  <c r="S478"/>
  <c r="S476"/>
  <c r="S474"/>
  <c r="S472"/>
  <c r="S506"/>
  <c r="S504"/>
  <c r="S502"/>
  <c r="S500"/>
  <c r="S498"/>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AC551"/>
  <c r="BB551"/>
  <c r="BC551"/>
  <c r="BD551"/>
  <c r="BE551"/>
  <c r="BF551"/>
  <c r="BG551"/>
  <c r="BH551"/>
  <c r="BI551"/>
  <c r="BJ551"/>
  <c r="BK551"/>
  <c r="BM551"/>
  <c r="BN551"/>
  <c r="BO551"/>
  <c r="BP551"/>
  <c r="BR551"/>
  <c r="BS551"/>
  <c r="BT551"/>
  <c r="H552"/>
  <c r="AC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AB31" s="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D113"/>
  <c r="F37" s="1"/>
  <c r="D111"/>
  <c r="E111" s="1"/>
  <c r="F111" s="1"/>
  <c r="S516" i="31"/>
  <c r="S518"/>
  <c r="S520"/>
  <c r="S522"/>
  <c r="S524"/>
  <c r="F41" i="21"/>
  <c r="J41"/>
  <c r="AC41" s="1"/>
  <c r="H41"/>
  <c r="U41" s="1"/>
  <c r="D81" i="39"/>
  <c r="E81" s="1"/>
  <c r="F81" s="1"/>
  <c r="G81" s="1"/>
  <c r="H81" s="1"/>
  <c r="I81" s="1"/>
  <c r="J81" s="1"/>
  <c r="K81" s="1"/>
  <c r="L81" s="1"/>
  <c r="M81" s="1"/>
  <c r="D76" i="40"/>
  <c r="E76" s="1"/>
  <c r="F76" s="1"/>
  <c r="G76" s="1"/>
  <c r="H76" s="1"/>
  <c r="I76" s="1"/>
  <c r="J76" s="1"/>
  <c r="K76" s="1"/>
  <c r="L76" s="1"/>
  <c r="M76" s="1"/>
  <c r="B120"/>
  <c r="J40" s="1"/>
  <c r="B118"/>
  <c r="J39" s="1"/>
  <c r="B116"/>
  <c r="F38" s="1"/>
  <c r="D115"/>
  <c r="E115" s="1"/>
  <c r="F115" s="1"/>
  <c r="G115" s="1"/>
  <c r="H115" s="1"/>
  <c r="I115" s="1"/>
  <c r="J115" s="1"/>
  <c r="K115" s="1"/>
  <c r="L115" s="1"/>
  <c r="M115" s="1"/>
  <c r="D113"/>
  <c r="E113" s="1"/>
  <c r="F113" s="1"/>
  <c r="G113" s="1"/>
  <c r="H113" s="1"/>
  <c r="I113" s="1"/>
  <c r="J113" s="1"/>
  <c r="K113" s="1"/>
  <c r="L113" s="1"/>
  <c r="M113" s="1"/>
  <c r="D111"/>
  <c r="E111" s="1"/>
  <c r="M107"/>
  <c r="L107"/>
  <c r="K107"/>
  <c r="J107"/>
  <c r="H107"/>
  <c r="G107"/>
  <c r="F107"/>
  <c r="E107"/>
  <c r="D107"/>
  <c r="C107"/>
  <c r="B105"/>
  <c r="J33" s="1"/>
  <c r="W33" s="1"/>
  <c r="B103"/>
  <c r="J32" s="1"/>
  <c r="B101"/>
  <c r="J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H40"/>
  <c r="AB40" s="1"/>
  <c r="Q39"/>
  <c r="Z39" s="1"/>
  <c r="Q38"/>
  <c r="Z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U25" s="1"/>
  <c r="B110"/>
  <c r="J39" s="1"/>
  <c r="AC39" s="1"/>
  <c r="B108"/>
  <c r="C23"/>
  <c r="C19"/>
  <c r="C17"/>
  <c r="C15"/>
  <c r="B112"/>
  <c r="D107"/>
  <c r="E107" s="1"/>
  <c r="F107" s="1"/>
  <c r="G107" s="1"/>
  <c r="H107" s="1"/>
  <c r="I107" s="1"/>
  <c r="J107" s="1"/>
  <c r="K107" s="1"/>
  <c r="L107" s="1"/>
  <c r="M107" s="1"/>
  <c r="D105"/>
  <c r="E105" s="1"/>
  <c r="F105" s="1"/>
  <c r="G105" s="1"/>
  <c r="D103"/>
  <c r="J35"/>
  <c r="W35" s="1"/>
  <c r="F97"/>
  <c r="E97"/>
  <c r="D97"/>
  <c r="C97"/>
  <c r="D96"/>
  <c r="E96" s="1"/>
  <c r="D94"/>
  <c r="M90"/>
  <c r="L90"/>
  <c r="K90"/>
  <c r="J90"/>
  <c r="I90"/>
  <c r="H90"/>
  <c r="G90"/>
  <c r="F90"/>
  <c r="E90"/>
  <c r="D90"/>
  <c r="C90"/>
  <c r="D89"/>
  <c r="B86"/>
  <c r="B84"/>
  <c r="H27" s="1"/>
  <c r="B82"/>
  <c r="H26" s="1"/>
  <c r="D79"/>
  <c r="E79" s="1"/>
  <c r="D75"/>
  <c r="E75" s="1"/>
  <c r="D73"/>
  <c r="E73" s="1"/>
  <c r="F73" s="1"/>
  <c r="D71"/>
  <c r="H15"/>
  <c r="AB15" s="1"/>
  <c r="B68"/>
  <c r="H14" s="1"/>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F26"/>
  <c r="AA26" s="1"/>
  <c r="Q25"/>
  <c r="Z25" s="1"/>
  <c r="J25"/>
  <c r="AC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J23"/>
  <c r="AC23" s="1"/>
  <c r="F23"/>
  <c r="AA23" s="1"/>
  <c r="Q22"/>
  <c r="Z22" s="1"/>
  <c r="J22"/>
  <c r="AC22" s="1"/>
  <c r="Q20"/>
  <c r="Z20" s="1"/>
  <c r="Q16"/>
  <c r="Z16" s="1"/>
  <c r="Q14"/>
  <c r="Z14" s="1"/>
  <c r="Q13"/>
  <c r="Z13" s="1"/>
  <c r="Q12"/>
  <c r="Z12" s="1"/>
  <c r="Q11"/>
  <c r="Z11" s="1"/>
  <c r="Q10"/>
  <c r="Z10" s="1"/>
  <c r="F10"/>
  <c r="AA10" s="1"/>
  <c r="Q9"/>
  <c r="Z9" s="1"/>
  <c r="J9"/>
  <c r="AC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B77"/>
  <c r="B75"/>
  <c r="J24" s="1"/>
  <c r="AC24" s="1"/>
  <c r="B73"/>
  <c r="H23" s="1"/>
  <c r="B57"/>
  <c r="B61"/>
  <c r="B59"/>
  <c r="H12" s="1"/>
  <c r="B131" i="34"/>
  <c r="B129"/>
  <c r="B127"/>
  <c r="B99"/>
  <c r="B97"/>
  <c r="B95"/>
  <c r="B93"/>
  <c r="B75"/>
  <c r="B73"/>
  <c r="B71"/>
  <c r="J12" s="1"/>
  <c r="B130" i="33"/>
  <c r="B128"/>
  <c r="B126"/>
  <c r="B98"/>
  <c r="B96"/>
  <c r="B94"/>
  <c r="B74"/>
  <c r="H14" s="1"/>
  <c r="U14" s="1"/>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F34"/>
  <c r="AA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s="1"/>
  <c r="Q22"/>
  <c r="Z22" s="1"/>
  <c r="Q20"/>
  <c r="Z20" s="1"/>
  <c r="Q16"/>
  <c r="Z16" s="1"/>
  <c r="Q14"/>
  <c r="Z14" s="1"/>
  <c r="Q13"/>
  <c r="Z13" s="1"/>
  <c r="Q12"/>
  <c r="Z12" s="1"/>
  <c r="J12"/>
  <c r="W12" s="1"/>
  <c r="F12"/>
  <c r="S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Q14"/>
  <c r="Z14" s="1"/>
  <c r="Q13"/>
  <c r="Z13" s="1"/>
  <c r="Q12"/>
  <c r="Z12" s="1"/>
  <c r="Q11"/>
  <c r="Z11" s="1"/>
  <c r="Q10"/>
  <c r="Z10" s="1"/>
  <c r="Q9"/>
  <c r="Z9" s="1"/>
  <c r="H9"/>
  <c r="AB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F29" i="36"/>
  <c r="AA29" s="1"/>
  <c r="W8"/>
  <c r="F16"/>
  <c r="AA16" s="1"/>
  <c r="W28"/>
  <c r="S30"/>
  <c r="AA31"/>
  <c r="AC31"/>
  <c r="W31"/>
  <c r="U31"/>
  <c r="J33"/>
  <c r="W33" s="1"/>
  <c r="H22" i="35"/>
  <c r="AB22" s="1"/>
  <c r="AC27"/>
  <c r="W28"/>
  <c r="U31"/>
  <c r="S34"/>
  <c r="W34"/>
  <c r="W22"/>
  <c r="S31"/>
  <c r="F36" i="34"/>
  <c r="J35"/>
  <c r="W9"/>
  <c r="U34"/>
  <c r="H39" i="33"/>
  <c r="AB39" s="1"/>
  <c r="F26"/>
  <c r="AA26" s="1"/>
  <c r="S40"/>
  <c r="W33"/>
  <c r="W39"/>
  <c r="H39" i="37"/>
  <c r="AB39" s="1"/>
  <c r="S27" i="35"/>
  <c r="F11" i="40"/>
  <c r="AA11" s="1"/>
  <c r="H11"/>
  <c r="AB11" s="1"/>
  <c r="W8"/>
  <c r="AA9"/>
  <c r="AC9"/>
  <c r="U9"/>
  <c r="S34"/>
  <c r="U38"/>
  <c r="U34"/>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U34"/>
  <c r="S34"/>
  <c r="C25" i="39"/>
  <c r="C27"/>
  <c r="C21"/>
  <c r="H11"/>
  <c r="S40"/>
  <c r="C15"/>
  <c r="H11" i="21"/>
  <c r="U11" s="1"/>
  <c r="J11"/>
  <c r="W11" s="1"/>
  <c r="H37" i="40"/>
  <c r="U37" s="1"/>
  <c r="H36"/>
  <c r="AB36" s="1"/>
  <c r="F35"/>
  <c r="AA35" s="1"/>
  <c r="H23"/>
  <c r="AB23" s="1"/>
  <c r="H17"/>
  <c r="U17" s="1"/>
  <c r="J15"/>
  <c r="W15" s="1"/>
  <c r="J11"/>
  <c r="W11" s="1"/>
  <c r="AB8" i="39"/>
  <c r="S44"/>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F114" s="1"/>
  <c r="G114" s="1"/>
  <c r="H114" s="1"/>
  <c r="I114" s="1"/>
  <c r="J114" s="1"/>
  <c r="K114" s="1"/>
  <c r="L114" s="1"/>
  <c r="M114" s="1"/>
  <c r="H36"/>
  <c r="U36" s="1"/>
  <c r="F37"/>
  <c r="AA37" s="1"/>
  <c r="S35"/>
  <c r="F28"/>
  <c r="AA28" s="1"/>
  <c r="F27"/>
  <c r="AA27" s="1"/>
  <c r="F25"/>
  <c r="S25" s="1"/>
  <c r="H23"/>
  <c r="U23" s="1"/>
  <c r="J23"/>
  <c r="F19"/>
  <c r="H17"/>
  <c r="U17" s="1"/>
  <c r="F15"/>
  <c r="J15"/>
  <c r="H15"/>
  <c r="AB15" s="1"/>
  <c r="S9"/>
  <c r="W8"/>
  <c r="J28"/>
  <c r="W28" s="1"/>
  <c r="F41" i="33"/>
  <c r="AA41" s="1"/>
  <c r="S38"/>
  <c r="E113"/>
  <c r="J19"/>
  <c r="AC19" s="1"/>
  <c r="J15"/>
  <c r="AC15" s="1"/>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F28" i="40"/>
  <c r="AA28" s="1"/>
  <c r="AA42" i="34"/>
  <c r="S42"/>
  <c r="AC38"/>
  <c r="AA38"/>
  <c r="J37"/>
  <c r="AC37" s="1"/>
  <c r="S28"/>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H36"/>
  <c r="AB36" s="1"/>
  <c r="J37"/>
  <c r="AC37" s="1"/>
  <c r="H37"/>
  <c r="U37" s="1"/>
  <c r="H40"/>
  <c r="U40" s="1"/>
  <c r="J40"/>
  <c r="AC40" s="1"/>
  <c r="F40"/>
  <c r="AA40" s="1"/>
  <c r="H30" i="33"/>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U31" i="34"/>
  <c r="J36" i="37"/>
  <c r="AC36" s="1"/>
  <c r="AB11" i="35"/>
  <c r="J10" i="36"/>
  <c r="AC10" s="1"/>
  <c r="AB30" i="21"/>
  <c r="AA14" i="37"/>
  <c r="W31" i="34"/>
  <c r="AC13" i="36"/>
  <c r="W13"/>
  <c r="S11"/>
  <c r="W11"/>
  <c r="W11" i="35"/>
  <c r="AC30" i="34"/>
  <c r="AB45" i="33"/>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BA580"/>
  <c r="AZ580" s="1"/>
  <c r="BA578"/>
  <c r="AZ578" s="1"/>
  <c r="BA576"/>
  <c r="AZ576" s="1"/>
  <c r="BA574"/>
  <c r="BA572"/>
  <c r="AZ572" s="1"/>
  <c r="BA570"/>
  <c r="AZ570" s="1"/>
  <c r="BA568"/>
  <c r="AZ568" s="1"/>
  <c r="BA566"/>
  <c r="BA564"/>
  <c r="AZ564" s="1"/>
  <c r="BA562"/>
  <c r="AZ562" s="1"/>
  <c r="BA560"/>
  <c r="AZ560" s="1"/>
  <c r="BA558"/>
  <c r="BA556"/>
  <c r="AZ556" s="1"/>
  <c r="BA554"/>
  <c r="BA552"/>
  <c r="AZ552" s="1"/>
  <c r="BA548"/>
  <c r="BA546"/>
  <c r="BA544"/>
  <c r="BA542"/>
  <c r="AZ542" s="1"/>
  <c r="BA540"/>
  <c r="AZ540" s="1"/>
  <c r="BA538"/>
  <c r="AZ538" s="1"/>
  <c r="BA536"/>
  <c r="BA534"/>
  <c r="AZ534" s="1"/>
  <c r="BA532"/>
  <c r="BA530"/>
  <c r="AZ530" s="1"/>
  <c r="BA528"/>
  <c r="AZ528"/>
  <c r="BA526"/>
  <c r="AZ526"/>
  <c r="BA524"/>
  <c r="BA522"/>
  <c r="BA520"/>
  <c r="BA518"/>
  <c r="AZ518" s="1"/>
  <c r="BA516"/>
  <c r="BA514"/>
  <c r="AZ514" s="1"/>
  <c r="BA512"/>
  <c r="AZ512"/>
  <c r="BA510"/>
  <c r="AZ510"/>
  <c r="BA508"/>
  <c r="BA506"/>
  <c r="BA504"/>
  <c r="AZ504"/>
  <c r="BA502"/>
  <c r="BA500"/>
  <c r="BA498"/>
  <c r="AZ498"/>
  <c r="BA496"/>
  <c r="BA494"/>
  <c r="AZ494" s="1"/>
  <c r="BA587"/>
  <c r="AZ587"/>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s="1"/>
  <c r="BQ579"/>
  <c r="BL579" s="1"/>
  <c r="AZ579" s="1"/>
  <c r="BQ577"/>
  <c r="BL577" s="1"/>
  <c r="BQ575"/>
  <c r="BL575" s="1"/>
  <c r="AZ575" s="1"/>
  <c r="BQ573"/>
  <c r="BL573" s="1"/>
  <c r="AZ573" s="1"/>
  <c r="BQ571"/>
  <c r="BL571"/>
  <c r="AZ571" s="1"/>
  <c r="BQ569"/>
  <c r="BL569" s="1"/>
  <c r="BQ567"/>
  <c r="BL567" s="1"/>
  <c r="AZ567" s="1"/>
  <c r="BQ565"/>
  <c r="BL565" s="1"/>
  <c r="BQ563"/>
  <c r="BL563" s="1"/>
  <c r="BQ561"/>
  <c r="BL561" s="1"/>
  <c r="AZ561" s="1"/>
  <c r="BQ559"/>
  <c r="BL559" s="1"/>
  <c r="AZ559" s="1"/>
  <c r="G559"/>
  <c r="G555"/>
  <c r="G553"/>
  <c r="G549"/>
  <c r="G547"/>
  <c r="G545"/>
  <c r="G543"/>
  <c r="G541"/>
  <c r="G539"/>
  <c r="G537"/>
  <c r="BQ555"/>
  <c r="BL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c r="BQ521"/>
  <c r="BL521"/>
  <c r="BL520"/>
  <c r="AZ520" s="1"/>
  <c r="G519"/>
  <c r="G517"/>
  <c r="G515"/>
  <c r="G513"/>
  <c r="G511"/>
  <c r="BQ519"/>
  <c r="BL519"/>
  <c r="AZ519" s="1"/>
  <c r="BQ517"/>
  <c r="BL517" s="1"/>
  <c r="AZ517" s="1"/>
  <c r="BQ515"/>
  <c r="BL515" s="1"/>
  <c r="AZ515" s="1"/>
  <c r="BQ513"/>
  <c r="BL513" s="1"/>
  <c r="AZ513" s="1"/>
  <c r="BQ511"/>
  <c r="BL511" s="1"/>
  <c r="AZ511" s="1"/>
  <c r="BA509"/>
  <c r="AC509"/>
  <c r="BQ509"/>
  <c r="BL509" s="1"/>
  <c r="BL508"/>
  <c r="AZ508" s="1"/>
  <c r="G507"/>
  <c r="G505"/>
  <c r="G503"/>
  <c r="G501"/>
  <c r="G499"/>
  <c r="G497"/>
  <c r="G495"/>
  <c r="BQ507"/>
  <c r="BL507" s="1"/>
  <c r="AZ507" s="1"/>
  <c r="BQ505"/>
  <c r="BL505" s="1"/>
  <c r="AZ505" s="1"/>
  <c r="BQ503"/>
  <c r="BL503" s="1"/>
  <c r="AZ503" s="1"/>
  <c r="BQ501"/>
  <c r="BL501" s="1"/>
  <c r="BQ499"/>
  <c r="BL499" s="1"/>
  <c r="AZ499" s="1"/>
  <c r="BQ497"/>
  <c r="BL497" s="1"/>
  <c r="BQ495"/>
  <c r="BL495" s="1"/>
  <c r="AZ495" s="1"/>
  <c r="BQ493"/>
  <c r="S505" i="31"/>
  <c r="S501"/>
  <c r="O27"/>
  <c r="O28"/>
  <c r="O26"/>
  <c r="M27"/>
  <c r="M28"/>
  <c r="M26"/>
  <c r="I26"/>
  <c r="I25"/>
  <c r="Q26"/>
  <c r="K26"/>
  <c r="I27"/>
  <c r="Q27"/>
  <c r="K27"/>
  <c r="I28"/>
  <c r="Q28"/>
  <c r="K28"/>
  <c r="AC28" i="34"/>
  <c r="S21" i="40"/>
  <c r="AA12" i="21"/>
  <c r="H25"/>
  <c r="U25" s="1"/>
  <c r="F25"/>
  <c r="S25" s="1"/>
  <c r="J25"/>
  <c r="AC25" s="1"/>
  <c r="E125" i="33"/>
  <c r="F125" s="1"/>
  <c r="G125" s="1"/>
  <c r="H17" i="37"/>
  <c r="U17" s="1"/>
  <c r="AA36" i="39"/>
  <c r="F39" i="33"/>
  <c r="AA39" s="1"/>
  <c r="E123"/>
  <c r="J42" s="1"/>
  <c r="AC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H42" i="33"/>
  <c r="AB42" s="1"/>
  <c r="J43"/>
  <c r="AC43" s="1"/>
  <c r="U14" i="40"/>
  <c r="AC32" i="36"/>
  <c r="AC33"/>
  <c r="U35" i="35"/>
  <c r="AA12"/>
  <c r="AB28" i="37"/>
  <c r="U33"/>
  <c r="U39"/>
  <c r="W26"/>
  <c r="AC8"/>
  <c r="W47" i="34"/>
  <c r="AB13"/>
  <c r="W37"/>
  <c r="AB37"/>
  <c r="AC36"/>
  <c r="AA13" i="33"/>
  <c r="AC31"/>
  <c r="AC45"/>
  <c r="U19" i="21"/>
  <c r="W44"/>
  <c r="U26"/>
  <c r="AC46"/>
  <c r="U12"/>
  <c r="AB38"/>
  <c r="F43" i="33"/>
  <c r="AA43" s="1"/>
  <c r="W15" i="34"/>
  <c r="AC15"/>
  <c r="W16" i="35"/>
  <c r="W40" i="37"/>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19"/>
  <c r="S19" s="1"/>
  <c r="S14"/>
  <c r="AC13"/>
  <c r="W23" i="39"/>
  <c r="G101"/>
  <c r="H37"/>
  <c r="AB37" s="1"/>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J11" i="39"/>
  <c r="W11" s="1"/>
  <c r="F11"/>
  <c r="AA11" s="1"/>
  <c r="A12" i="52"/>
  <c r="B56" i="72" s="1"/>
  <c r="S11" i="39"/>
  <c r="G4" i="4"/>
  <c r="I4"/>
  <c r="K5"/>
  <c r="B47" i="48" s="1"/>
  <c r="N2" i="43"/>
  <c r="F59" s="1"/>
  <c r="AZ24" i="3"/>
  <c r="BL549"/>
  <c r="AZ549" s="1"/>
  <c r="AZ502"/>
  <c r="AZ522"/>
  <c r="AZ546"/>
  <c r="G546"/>
  <c r="G524"/>
  <c r="G303"/>
  <c r="BL304"/>
  <c r="G305"/>
  <c r="BL306"/>
  <c r="BA308"/>
  <c r="AZ308" s="1"/>
  <c r="BA309"/>
  <c r="BL309"/>
  <c r="G310"/>
  <c r="BA311"/>
  <c r="G319"/>
  <c r="BL320"/>
  <c r="G321"/>
  <c r="BL322"/>
  <c r="BA324"/>
  <c r="BA325"/>
  <c r="BL325"/>
  <c r="G326"/>
  <c r="BA327"/>
  <c r="G335"/>
  <c r="BL336"/>
  <c r="G337"/>
  <c r="BL338"/>
  <c r="BA340"/>
  <c r="AZ340" s="1"/>
  <c r="BA341"/>
  <c r="BL341"/>
  <c r="BA343"/>
  <c r="BA345"/>
  <c r="BL355"/>
  <c r="G356"/>
  <c r="BL357"/>
  <c r="BA359"/>
  <c r="AZ359" s="1"/>
  <c r="BA360"/>
  <c r="BL360"/>
  <c r="G361"/>
  <c r="BA362"/>
  <c r="G370"/>
  <c r="BL371"/>
  <c r="G372"/>
  <c r="BL373"/>
  <c r="BA375"/>
  <c r="AZ375" s="1"/>
  <c r="BA376"/>
  <c r="BL376"/>
  <c r="G377"/>
  <c r="BA378"/>
  <c r="AZ378" s="1"/>
  <c r="BL378"/>
  <c r="G379"/>
  <c r="BA380"/>
  <c r="G388"/>
  <c r="BL389"/>
  <c r="G390"/>
  <c r="BL391"/>
  <c r="BA393"/>
  <c r="AZ393" s="1"/>
  <c r="BA394"/>
  <c r="BL394"/>
  <c r="G113"/>
  <c r="BA115"/>
  <c r="BL116"/>
  <c r="AZ116" s="1"/>
  <c r="G117"/>
  <c r="BA119"/>
  <c r="BL120"/>
  <c r="G121"/>
  <c r="BA123"/>
  <c r="AZ123" s="1"/>
  <c r="BL124"/>
  <c r="G125"/>
  <c r="BA127"/>
  <c r="AZ127" s="1"/>
  <c r="BL128"/>
  <c r="G129"/>
  <c r="BA131"/>
  <c r="AZ131" s="1"/>
  <c r="BL132"/>
  <c r="AZ132" s="1"/>
  <c r="G133"/>
  <c r="BA135"/>
  <c r="BL136"/>
  <c r="AZ136" s="1"/>
  <c r="G137"/>
  <c r="BA139"/>
  <c r="BL140"/>
  <c r="AZ140" s="1"/>
  <c r="G141"/>
  <c r="BA143"/>
  <c r="BL144"/>
  <c r="G145"/>
  <c r="BA147"/>
  <c r="BL148"/>
  <c r="G149"/>
  <c r="BA151"/>
  <c r="AZ151" s="1"/>
  <c r="BL152"/>
  <c r="G153"/>
  <c r="BA155"/>
  <c r="AZ155" s="1"/>
  <c r="BL156"/>
  <c r="G157"/>
  <c r="BA159"/>
  <c r="AZ159"/>
  <c r="BL160"/>
  <c r="G161"/>
  <c r="BA163"/>
  <c r="BL164"/>
  <c r="G165"/>
  <c r="BA167"/>
  <c r="AZ167" s="1"/>
  <c r="BL168"/>
  <c r="G169"/>
  <c r="BA171"/>
  <c r="AZ171" s="1"/>
  <c r="BL172"/>
  <c r="G173"/>
  <c r="BA175"/>
  <c r="AZ175" s="1"/>
  <c r="BL176"/>
  <c r="AZ176" s="1"/>
  <c r="G177"/>
  <c r="BA179"/>
  <c r="BL180"/>
  <c r="G181"/>
  <c r="BA183"/>
  <c r="AZ183" s="1"/>
  <c r="BL184"/>
  <c r="G185"/>
  <c r="BA187"/>
  <c r="AZ187" s="1"/>
  <c r="BL188"/>
  <c r="G189"/>
  <c r="BA191"/>
  <c r="AZ191"/>
  <c r="BL192"/>
  <c r="G193"/>
  <c r="BA195"/>
  <c r="BL196"/>
  <c r="G197"/>
  <c r="BA199"/>
  <c r="AZ199" s="1"/>
  <c r="BL200"/>
  <c r="G201"/>
  <c r="BA203"/>
  <c r="AZ203" s="1"/>
  <c r="BL204"/>
  <c r="AZ51"/>
  <c r="AZ55"/>
  <c r="AZ79"/>
  <c r="AZ83"/>
  <c r="AZ144"/>
  <c r="AZ160"/>
  <c r="AZ192"/>
  <c r="AZ85"/>
  <c r="AZ89"/>
  <c r="AZ105"/>
  <c r="AZ128"/>
  <c r="G534"/>
  <c r="G530"/>
  <c r="G522"/>
  <c r="G516"/>
  <c r="G512"/>
  <c r="G506"/>
  <c r="G498"/>
  <c r="G494"/>
  <c r="G16"/>
  <c r="G15"/>
  <c r="BA304"/>
  <c r="BA305"/>
  <c r="AZ305" s="1"/>
  <c r="BL305"/>
  <c r="G306"/>
  <c r="G309"/>
  <c r="BL310"/>
  <c r="BA312"/>
  <c r="AZ312"/>
  <c r="BA313"/>
  <c r="BL313"/>
  <c r="AZ313" s="1"/>
  <c r="G314"/>
  <c r="G317"/>
  <c r="BL318"/>
  <c r="BA320"/>
  <c r="AZ320" s="1"/>
  <c r="BA321"/>
  <c r="BL321"/>
  <c r="G322"/>
  <c r="G325"/>
  <c r="BL326"/>
  <c r="BA328"/>
  <c r="AZ328" s="1"/>
  <c r="BA329"/>
  <c r="BL329"/>
  <c r="G330"/>
  <c r="G333"/>
  <c r="BL334"/>
  <c r="BA336"/>
  <c r="BA337"/>
  <c r="BL337"/>
  <c r="G338"/>
  <c r="G341"/>
  <c r="BA342"/>
  <c r="BL342"/>
  <c r="AZ342" s="1"/>
  <c r="BA344"/>
  <c r="BL344"/>
  <c r="BA346"/>
  <c r="BA347"/>
  <c r="BL347"/>
  <c r="G350"/>
  <c r="BA351"/>
  <c r="BL351"/>
  <c r="G352"/>
  <c r="G354"/>
  <c r="BA355"/>
  <c r="AZ355" s="1"/>
  <c r="BA356"/>
  <c r="BL356"/>
  <c r="G357"/>
  <c r="G360"/>
  <c r="BL361"/>
  <c r="BA363"/>
  <c r="BA364"/>
  <c r="BL364"/>
  <c r="G365"/>
  <c r="G368"/>
  <c r="BL369"/>
  <c r="BA371"/>
  <c r="BA372"/>
  <c r="AZ372" s="1"/>
  <c r="BL372"/>
  <c r="G373"/>
  <c r="G376"/>
  <c r="BL377"/>
  <c r="BL379"/>
  <c r="BA381"/>
  <c r="AZ381" s="1"/>
  <c r="BA382"/>
  <c r="BL382"/>
  <c r="G383"/>
  <c r="G386"/>
  <c r="BL387"/>
  <c r="BA389"/>
  <c r="AZ389" s="1"/>
  <c r="BA390"/>
  <c r="BL390"/>
  <c r="G391"/>
  <c r="G394"/>
  <c r="AZ158"/>
  <c r="AZ174"/>
  <c r="AZ190"/>
  <c r="AZ500"/>
  <c r="BA16"/>
  <c r="AZ16" s="1"/>
  <c r="BL303"/>
  <c r="G304"/>
  <c r="BA306"/>
  <c r="AZ306" s="1"/>
  <c r="BL307"/>
  <c r="G308"/>
  <c r="BA310"/>
  <c r="BL311"/>
  <c r="AZ311" s="1"/>
  <c r="G312"/>
  <c r="BA314"/>
  <c r="BL315"/>
  <c r="G316"/>
  <c r="BA318"/>
  <c r="AZ318"/>
  <c r="BL319"/>
  <c r="G320"/>
  <c r="BA322"/>
  <c r="AZ322"/>
  <c r="BL323"/>
  <c r="AZ323"/>
  <c r="G324"/>
  <c r="BA326"/>
  <c r="AZ326" s="1"/>
  <c r="BL327"/>
  <c r="G328"/>
  <c r="BA330"/>
  <c r="AZ330" s="1"/>
  <c r="BL331"/>
  <c r="G332"/>
  <c r="BA334"/>
  <c r="AZ334" s="1"/>
  <c r="BL335"/>
  <c r="G336"/>
  <c r="BA338"/>
  <c r="AZ338" s="1"/>
  <c r="BL339"/>
  <c r="G340"/>
  <c r="BL343"/>
  <c r="G344"/>
  <c r="G348"/>
  <c r="G355"/>
  <c r="AZ209"/>
  <c r="AZ319"/>
  <c r="G342"/>
  <c r="BL345"/>
  <c r="AZ345" s="1"/>
  <c r="G346"/>
  <c r="BL349"/>
  <c r="BL352"/>
  <c r="AZ352" s="1"/>
  <c r="G353"/>
  <c r="BA357"/>
  <c r="AZ357" s="1"/>
  <c r="BL358"/>
  <c r="AZ358" s="1"/>
  <c r="G359"/>
  <c r="BA361"/>
  <c r="BL362"/>
  <c r="G363"/>
  <c r="BA365"/>
  <c r="AZ365" s="1"/>
  <c r="BL366"/>
  <c r="G367"/>
  <c r="BA369"/>
  <c r="AZ369"/>
  <c r="BL370"/>
  <c r="G371"/>
  <c r="BA373"/>
  <c r="AZ373"/>
  <c r="BL374"/>
  <c r="AZ374"/>
  <c r="G375"/>
  <c r="BA377"/>
  <c r="AZ377" s="1"/>
  <c r="AZ229"/>
  <c r="AZ370"/>
  <c r="BA379"/>
  <c r="AZ379" s="1"/>
  <c r="BL380"/>
  <c r="AZ380" s="1"/>
  <c r="G381"/>
  <c r="BA383"/>
  <c r="BL384"/>
  <c r="G385"/>
  <c r="BA387"/>
  <c r="AZ387" s="1"/>
  <c r="BL388"/>
  <c r="G389"/>
  <c r="BA391"/>
  <c r="AZ391" s="1"/>
  <c r="BL392"/>
  <c r="G393"/>
  <c r="BO5"/>
  <c r="BM5"/>
  <c r="BJ5"/>
  <c r="BH5"/>
  <c r="BF5"/>
  <c r="BD5"/>
  <c r="AZ309"/>
  <c r="AZ325"/>
  <c r="AZ333"/>
  <c r="AZ341"/>
  <c r="AC5"/>
  <c r="AZ506"/>
  <c r="AZ496"/>
  <c r="G548"/>
  <c r="G538"/>
  <c r="G520"/>
  <c r="G502"/>
  <c r="BS5"/>
  <c r="BP5"/>
  <c r="BN5"/>
  <c r="BK5"/>
  <c r="BI5"/>
  <c r="BG5"/>
  <c r="BE5"/>
  <c r="BC5"/>
  <c r="G17"/>
  <c r="BA17"/>
  <c r="BT5"/>
  <c r="AZ356"/>
  <c r="AZ364"/>
  <c r="BA15"/>
  <c r="BB5"/>
  <c r="E8" i="6" s="1"/>
  <c r="F27" s="1"/>
  <c r="BR5" i="3"/>
  <c r="G28" i="6" s="1"/>
  <c r="AZ384" i="3"/>
  <c r="AZ396"/>
  <c r="AZ394"/>
  <c r="AZ509"/>
  <c r="G509"/>
  <c r="BL493"/>
  <c r="AZ390"/>
  <c r="AZ493"/>
  <c r="U36" i="40"/>
  <c r="N4" i="43"/>
  <c r="F36"/>
  <c r="F81"/>
  <c r="H83" s="1"/>
  <c r="H113"/>
  <c r="F48"/>
  <c r="H52" s="1"/>
  <c r="N7"/>
  <c r="F70"/>
  <c r="H73" s="1"/>
  <c r="M6"/>
  <c r="M11"/>
  <c r="E17"/>
  <c r="F39"/>
  <c r="I17"/>
  <c r="F35"/>
  <c r="J17"/>
  <c r="F6" i="1"/>
  <c r="U17" i="39"/>
  <c r="S14" i="35"/>
  <c r="U43" i="21"/>
  <c r="U35"/>
  <c r="AC35"/>
  <c r="U10"/>
  <c r="G8" i="1"/>
  <c r="G9"/>
  <c r="G10"/>
  <c r="F48" i="9"/>
  <c r="O52" s="1"/>
  <c r="AC11" i="39"/>
  <c r="AZ563" i="3"/>
  <c r="W37" i="37"/>
  <c r="W44" i="34"/>
  <c r="AC44"/>
  <c r="U13" i="37"/>
  <c r="U12" i="40"/>
  <c r="AA12"/>
  <c r="J37" i="33"/>
  <c r="W37" s="1"/>
  <c r="AC17" i="34"/>
  <c r="J34" i="33"/>
  <c r="W34" s="1"/>
  <c r="F33" i="34"/>
  <c r="S33" s="1"/>
  <c r="H20" i="36"/>
  <c r="U20" s="1"/>
  <c r="J20"/>
  <c r="W20" s="1"/>
  <c r="J27"/>
  <c r="W27" s="1"/>
  <c r="AB25" i="37"/>
  <c r="AC33" i="40"/>
  <c r="F111"/>
  <c r="G111" s="1"/>
  <c r="H111" s="1"/>
  <c r="I111" s="1"/>
  <c r="J111" s="1"/>
  <c r="K111" s="1"/>
  <c r="L111" s="1"/>
  <c r="M111" s="1"/>
  <c r="H35"/>
  <c r="AB35" s="1"/>
  <c r="AC29" i="35"/>
  <c r="W29"/>
  <c r="H35" i="37"/>
  <c r="U35" s="1"/>
  <c r="AC14" i="35"/>
  <c r="H20"/>
  <c r="U20" s="1"/>
  <c r="F20"/>
  <c r="AA20" s="1"/>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4" i="3"/>
  <c r="AZ386"/>
  <c r="C40" i="11"/>
  <c r="AZ227" i="3"/>
  <c r="AZ256"/>
  <c r="AZ130"/>
  <c r="AZ21"/>
  <c r="AZ53"/>
  <c r="AZ58"/>
  <c r="AZ82"/>
  <c r="AZ102"/>
  <c r="H74" i="43"/>
  <c r="I20"/>
  <c r="F23" i="39"/>
  <c r="AA23" s="1"/>
  <c r="H27" i="36"/>
  <c r="U27" s="1"/>
  <c r="F27"/>
  <c r="AA27" s="1"/>
  <c r="H33" i="34"/>
  <c r="U33" s="1"/>
  <c r="F32" i="37"/>
  <c r="AA32" s="1"/>
  <c r="G96"/>
  <c r="H96" s="1"/>
  <c r="I96" s="1"/>
  <c r="J96" s="1"/>
  <c r="K96" s="1"/>
  <c r="L96" s="1"/>
  <c r="M96" s="1"/>
  <c r="F20" i="36"/>
  <c r="AA20" s="1"/>
  <c r="J33" i="34"/>
  <c r="AC33" s="1"/>
  <c r="H23" i="39"/>
  <c r="U23" s="1"/>
  <c r="D48" i="9"/>
  <c r="M52" s="1"/>
  <c r="H86" i="43"/>
  <c r="H87"/>
  <c r="K9" i="1"/>
  <c r="M9" s="1"/>
  <c r="O9" s="1"/>
  <c r="P9" s="1"/>
  <c r="AE9"/>
  <c r="U27" i="37" l="1"/>
  <c r="AB27"/>
  <c r="AC31" i="40"/>
  <c r="W31"/>
  <c r="AA38"/>
  <c r="S38"/>
  <c r="W40"/>
  <c r="AC40"/>
  <c r="AZ351" i="3"/>
  <c r="AB14" i="37"/>
  <c r="U14"/>
  <c r="AB26"/>
  <c r="U26"/>
  <c r="AC32" i="40"/>
  <c r="W32"/>
  <c r="F25" i="37"/>
  <c r="AA25" s="1"/>
  <c r="J38" i="40"/>
  <c r="AC38" s="1"/>
  <c r="F40"/>
  <c r="G582" i="3"/>
  <c r="G556"/>
  <c r="G552"/>
  <c r="G551"/>
  <c r="AZ361"/>
  <c r="AZ382"/>
  <c r="AZ347"/>
  <c r="AZ344"/>
  <c r="AZ337"/>
  <c r="AZ376"/>
  <c r="AZ360"/>
  <c r="AZ343"/>
  <c r="H43" i="33"/>
  <c r="AB43" s="1"/>
  <c r="BQ5" i="3"/>
  <c r="AZ501"/>
  <c r="AZ555"/>
  <c r="AZ565"/>
  <c r="AZ566"/>
  <c r="AZ574"/>
  <c r="AB11" i="36"/>
  <c r="AA44" i="33"/>
  <c r="F9" i="36"/>
  <c r="AA9" s="1"/>
  <c r="G398" i="3"/>
  <c r="BA399"/>
  <c r="AZ399" s="1"/>
  <c r="BL399"/>
  <c r="BA400"/>
  <c r="AZ400" s="1"/>
  <c r="BA402"/>
  <c r="BL402"/>
  <c r="BL404"/>
  <c r="G405"/>
  <c r="G407"/>
  <c r="BA408"/>
  <c r="BL408"/>
  <c r="BA409"/>
  <c r="AZ409" s="1"/>
  <c r="BA410"/>
  <c r="AZ410" s="1"/>
  <c r="BA411"/>
  <c r="AZ411" s="1"/>
  <c r="BL413"/>
  <c r="G414"/>
  <c r="BA415"/>
  <c r="BL415"/>
  <c r="BA416"/>
  <c r="AZ416" s="1"/>
  <c r="BA418"/>
  <c r="BL418"/>
  <c r="BL420"/>
  <c r="G421"/>
  <c r="G423"/>
  <c r="BL424"/>
  <c r="G425"/>
  <c r="G429"/>
  <c r="BL430"/>
  <c r="G431"/>
  <c r="G434"/>
  <c r="G436"/>
  <c r="BA437"/>
  <c r="BL437"/>
  <c r="BL439"/>
  <c r="G440"/>
  <c r="BA441"/>
  <c r="BL441"/>
  <c r="BA443"/>
  <c r="BL443"/>
  <c r="BA444"/>
  <c r="AZ444" s="1"/>
  <c r="BA446"/>
  <c r="BL446"/>
  <c r="BA447"/>
  <c r="AZ447" s="1"/>
  <c r="BA448"/>
  <c r="AZ448" s="1"/>
  <c r="BA450"/>
  <c r="BL450"/>
  <c r="BL452"/>
  <c r="G453"/>
  <c r="G455"/>
  <c r="BL456"/>
  <c r="G457"/>
  <c r="G459"/>
  <c r="G462"/>
  <c r="BL466"/>
  <c r="G467"/>
  <c r="BA468"/>
  <c r="AZ468" s="1"/>
  <c r="BL468"/>
  <c r="BL470"/>
  <c r="G471"/>
  <c r="BL472"/>
  <c r="G473"/>
  <c r="G477"/>
  <c r="G481"/>
  <c r="G484"/>
  <c r="BL485"/>
  <c r="G486"/>
  <c r="G488"/>
  <c r="BL489"/>
  <c r="G490"/>
  <c r="G492"/>
  <c r="BA303"/>
  <c r="AZ303" s="1"/>
  <c r="BA307"/>
  <c r="AZ307" s="1"/>
  <c r="BL314"/>
  <c r="AZ314" s="1"/>
  <c r="G315"/>
  <c r="BA317"/>
  <c r="AZ317" s="1"/>
  <c r="G323"/>
  <c r="BL324"/>
  <c r="AZ324" s="1"/>
  <c r="G327"/>
  <c r="BA335"/>
  <c r="AZ335" s="1"/>
  <c r="BA339"/>
  <c r="AZ339" s="1"/>
  <c r="G347"/>
  <c r="BA348"/>
  <c r="AZ348" s="1"/>
  <c r="BA349"/>
  <c r="AZ349" s="1"/>
  <c r="BL363"/>
  <c r="AZ363" s="1"/>
  <c r="G364"/>
  <c r="BA366"/>
  <c r="AZ366" s="1"/>
  <c r="BL368"/>
  <c r="G369"/>
  <c r="G384"/>
  <c r="BL385"/>
  <c r="G396"/>
  <c r="G209"/>
  <c r="G212"/>
  <c r="BA213"/>
  <c r="BL213"/>
  <c r="BA215"/>
  <c r="AZ215" s="1"/>
  <c r="BL215"/>
  <c r="BA216"/>
  <c r="AZ216" s="1"/>
  <c r="BA218"/>
  <c r="BL218"/>
  <c r="BA219"/>
  <c r="AZ219" s="1"/>
  <c r="BL221"/>
  <c r="G222"/>
  <c r="BL223"/>
  <c r="G224"/>
  <c r="G227"/>
  <c r="G231"/>
  <c r="BL232"/>
  <c r="G233"/>
  <c r="BA234"/>
  <c r="BL234"/>
  <c r="BL236"/>
  <c r="G237"/>
  <c r="BA238"/>
  <c r="BL238"/>
  <c r="BA239"/>
  <c r="AZ239" s="1"/>
  <c r="BA240"/>
  <c r="AZ240" s="1"/>
  <c r="BA241"/>
  <c r="AZ241" s="1"/>
  <c r="BA243"/>
  <c r="BL243"/>
  <c r="BA244"/>
  <c r="AZ244" s="1"/>
  <c r="BA245"/>
  <c r="AZ245" s="1"/>
  <c r="BL247"/>
  <c r="G248"/>
  <c r="BL249"/>
  <c r="G250"/>
  <c r="G252"/>
  <c r="BL253"/>
  <c r="G254"/>
  <c r="BA257"/>
  <c r="AZ257" s="1"/>
  <c r="BA259"/>
  <c r="BL259"/>
  <c r="BA260"/>
  <c r="AZ260" s="1"/>
  <c r="BA261"/>
  <c r="AZ261" s="1"/>
  <c r="BA263"/>
  <c r="BL263"/>
  <c r="BA264"/>
  <c r="AZ264" s="1"/>
  <c r="BA265"/>
  <c r="AZ265" s="1"/>
  <c r="BL267"/>
  <c r="G268"/>
  <c r="BL269"/>
  <c r="G270"/>
  <c r="G272"/>
  <c r="BL273"/>
  <c r="G274"/>
  <c r="G276"/>
  <c r="BA277"/>
  <c r="BL277"/>
  <c r="BA278"/>
  <c r="AZ278" s="1"/>
  <c r="BA279"/>
  <c r="AZ279" s="1"/>
  <c r="BA280"/>
  <c r="AZ280" s="1"/>
  <c r="BL282"/>
  <c r="G283"/>
  <c r="BA284"/>
  <c r="AZ284" s="1"/>
  <c r="BL284"/>
  <c r="BA285"/>
  <c r="AZ285" s="1"/>
  <c r="BA287"/>
  <c r="BL287"/>
  <c r="BL289"/>
  <c r="G290"/>
  <c r="G292"/>
  <c r="BA293"/>
  <c r="AZ293" s="1"/>
  <c r="BL293"/>
  <c r="BA294"/>
  <c r="AZ294" s="1"/>
  <c r="BA295"/>
  <c r="AZ295" s="1"/>
  <c r="BA296"/>
  <c r="AZ296" s="1"/>
  <c r="BL298"/>
  <c r="G299"/>
  <c r="BA300"/>
  <c r="BL300"/>
  <c r="BA301"/>
  <c r="AZ301" s="1"/>
  <c r="BA302"/>
  <c r="AZ302" s="1"/>
  <c r="BA113"/>
  <c r="AZ113" s="1"/>
  <c r="BA114"/>
  <c r="AZ114" s="1"/>
  <c r="BL115"/>
  <c r="AZ115" s="1"/>
  <c r="BL118"/>
  <c r="G119"/>
  <c r="BA120"/>
  <c r="AZ120" s="1"/>
  <c r="BA122"/>
  <c r="BL122"/>
  <c r="BA124"/>
  <c r="AZ124" s="1"/>
  <c r="G134"/>
  <c r="G136"/>
  <c r="BL137"/>
  <c r="G138"/>
  <c r="G140"/>
  <c r="BL141"/>
  <c r="G142"/>
  <c r="G144"/>
  <c r="BL145"/>
  <c r="G146"/>
  <c r="BL147"/>
  <c r="AZ147" s="1"/>
  <c r="G148"/>
  <c r="BA150"/>
  <c r="AZ150" s="1"/>
  <c r="BL150"/>
  <c r="BA152"/>
  <c r="AZ152" s="1"/>
  <c r="G155"/>
  <c r="G158"/>
  <c r="BA161"/>
  <c r="BL161"/>
  <c r="BL163"/>
  <c r="AZ163" s="1"/>
  <c r="G164"/>
  <c r="BA166"/>
  <c r="BL166"/>
  <c r="BA168"/>
  <c r="AZ168" s="1"/>
  <c r="G171"/>
  <c r="G174"/>
  <c r="BA177"/>
  <c r="AZ177" s="1"/>
  <c r="BL177"/>
  <c r="BL179"/>
  <c r="AZ179" s="1"/>
  <c r="G180"/>
  <c r="BA182"/>
  <c r="AZ182" s="1"/>
  <c r="BL182"/>
  <c r="BA184"/>
  <c r="AZ184" s="1"/>
  <c r="G187"/>
  <c r="G190"/>
  <c r="BA193"/>
  <c r="BL193"/>
  <c r="BL195"/>
  <c r="AZ195" s="1"/>
  <c r="G196"/>
  <c r="BA198"/>
  <c r="BL198"/>
  <c r="BA200"/>
  <c r="AZ200" s="1"/>
  <c r="BA202"/>
  <c r="AZ202" s="1"/>
  <c r="BL202"/>
  <c r="BA204"/>
  <c r="AZ204" s="1"/>
  <c r="BA205"/>
  <c r="AZ205" s="1"/>
  <c r="BA206"/>
  <c r="AZ206" s="1"/>
  <c r="BL18"/>
  <c r="G19"/>
  <c r="G21"/>
  <c r="G24"/>
  <c r="G27"/>
  <c r="BL28"/>
  <c r="G29"/>
  <c r="BA30"/>
  <c r="AZ30" s="1"/>
  <c r="BL30"/>
  <c r="BA32"/>
  <c r="AZ32" s="1"/>
  <c r="BL32"/>
  <c r="BA34"/>
  <c r="AZ34" s="1"/>
  <c r="BA36"/>
  <c r="AZ36" s="1"/>
  <c r="BA37"/>
  <c r="AZ37" s="1"/>
  <c r="BA39"/>
  <c r="BL39"/>
  <c r="BA40"/>
  <c r="AZ40" s="1"/>
  <c r="BA42"/>
  <c r="AZ42" s="1"/>
  <c r="BL42"/>
  <c r="BL44"/>
  <c r="G45"/>
  <c r="BA46"/>
  <c r="AZ46" s="1"/>
  <c r="BL46"/>
  <c r="BL48"/>
  <c r="G49"/>
  <c r="G51"/>
  <c r="G55"/>
  <c r="G58"/>
  <c r="G60"/>
  <c r="BL61"/>
  <c r="G62"/>
  <c r="G64"/>
  <c r="BA65"/>
  <c r="BL65"/>
  <c r="BA67"/>
  <c r="BL67"/>
  <c r="BA68"/>
  <c r="AZ68" s="1"/>
  <c r="BA69"/>
  <c r="AZ69" s="1"/>
  <c r="BA71"/>
  <c r="BL71"/>
  <c r="BL73"/>
  <c r="G74"/>
  <c r="BL75"/>
  <c r="G76"/>
  <c r="G78"/>
  <c r="G81"/>
  <c r="G85"/>
  <c r="G87"/>
  <c r="G89"/>
  <c r="G92"/>
  <c r="BL93"/>
  <c r="G94"/>
  <c r="BA95"/>
  <c r="BL95"/>
  <c r="BA96"/>
  <c r="AZ96" s="1"/>
  <c r="BA97"/>
  <c r="AZ97" s="1"/>
  <c r="BL99"/>
  <c r="G100"/>
  <c r="G102"/>
  <c r="G105"/>
  <c r="BA107"/>
  <c r="BL107"/>
  <c r="BL108"/>
  <c r="G109"/>
  <c r="BL110"/>
  <c r="G111"/>
  <c r="K100" i="43"/>
  <c r="F14" i="33"/>
  <c r="S14" s="1"/>
  <c r="U13"/>
  <c r="J14"/>
  <c r="W14" s="1"/>
  <c r="H12"/>
  <c r="W40"/>
  <c r="S26"/>
  <c r="U40"/>
  <c r="U23" i="35"/>
  <c r="AB23"/>
  <c r="AB9" i="36"/>
  <c r="U9"/>
  <c r="AC24"/>
  <c r="W24"/>
  <c r="AC43" i="39"/>
  <c r="W43"/>
  <c r="U45"/>
  <c r="AB45"/>
  <c r="AZ497" i="3"/>
  <c r="W12" i="34"/>
  <c r="AC12"/>
  <c r="U12" i="35"/>
  <c r="AB12"/>
  <c r="AB34"/>
  <c r="U34"/>
  <c r="W12" i="36"/>
  <c r="AC12"/>
  <c r="AB44" i="39"/>
  <c r="U44"/>
  <c r="AC37"/>
  <c r="W37"/>
  <c r="AC12" i="40"/>
  <c r="W12"/>
  <c r="AZ362" i="3"/>
  <c r="AZ521"/>
  <c r="AZ581"/>
  <c r="BA551"/>
  <c r="BL550"/>
  <c r="BA550"/>
  <c r="BL548"/>
  <c r="AZ548" s="1"/>
  <c r="BL15"/>
  <c r="AZ15" s="1"/>
  <c r="BA398"/>
  <c r="AZ398" s="1"/>
  <c r="G401"/>
  <c r="BL401"/>
  <c r="BL403"/>
  <c r="AZ403" s="1"/>
  <c r="BA404"/>
  <c r="AZ404" s="1"/>
  <c r="BL406"/>
  <c r="AZ406" s="1"/>
  <c r="BA407"/>
  <c r="AZ407" s="1"/>
  <c r="G410"/>
  <c r="G411"/>
  <c r="G412"/>
  <c r="BL412"/>
  <c r="BA413"/>
  <c r="AZ413" s="1"/>
  <c r="BA414"/>
  <c r="AZ414" s="1"/>
  <c r="G417"/>
  <c r="BL417"/>
  <c r="BL419"/>
  <c r="AZ419" s="1"/>
  <c r="BA420"/>
  <c r="AZ420" s="1"/>
  <c r="BL422"/>
  <c r="AZ422" s="1"/>
  <c r="BA423"/>
  <c r="AZ423" s="1"/>
  <c r="BA424"/>
  <c r="AZ424" s="1"/>
  <c r="G427"/>
  <c r="G428"/>
  <c r="BL428"/>
  <c r="BA429"/>
  <c r="AZ429" s="1"/>
  <c r="BA430"/>
  <c r="AZ430" s="1"/>
  <c r="G433"/>
  <c r="BL433"/>
  <c r="BL435"/>
  <c r="AZ435" s="1"/>
  <c r="BA436"/>
  <c r="AZ436" s="1"/>
  <c r="BL438"/>
  <c r="AZ438" s="1"/>
  <c r="BA439"/>
  <c r="AZ439" s="1"/>
  <c r="BA440"/>
  <c r="AZ440" s="1"/>
  <c r="BL442"/>
  <c r="AZ442" s="1"/>
  <c r="G445"/>
  <c r="BL445"/>
  <c r="G448"/>
  <c r="G449"/>
  <c r="BL449"/>
  <c r="BL451"/>
  <c r="AZ451" s="1"/>
  <c r="BA452"/>
  <c r="AZ452" s="1"/>
  <c r="BL454"/>
  <c r="AZ454" s="1"/>
  <c r="BA455"/>
  <c r="AZ455" s="1"/>
  <c r="BA456"/>
  <c r="AZ456" s="1"/>
  <c r="BL458"/>
  <c r="AZ458" s="1"/>
  <c r="G461"/>
  <c r="BL461"/>
  <c r="G464"/>
  <c r="G465"/>
  <c r="H82" i="43"/>
  <c r="H49"/>
  <c r="S15" i="37"/>
  <c r="F29" i="6"/>
  <c r="AZ327" i="3"/>
  <c r="AZ310"/>
  <c r="AZ371"/>
  <c r="AZ336"/>
  <c r="AZ329"/>
  <c r="AZ321"/>
  <c r="AZ304"/>
  <c r="AB33" i="40"/>
  <c r="W14" i="37"/>
  <c r="F123" i="33"/>
  <c r="G123" s="1"/>
  <c r="H123" s="1"/>
  <c r="I123" s="1"/>
  <c r="J123" s="1"/>
  <c r="K123" s="1"/>
  <c r="L123" s="1"/>
  <c r="M123" s="1"/>
  <c r="AA41" i="34"/>
  <c r="F42" i="33"/>
  <c r="AA42" s="1"/>
  <c r="AZ569" i="3"/>
  <c r="AZ577"/>
  <c r="AZ557"/>
  <c r="AZ516"/>
  <c r="AZ524"/>
  <c r="AZ532"/>
  <c r="AZ536"/>
  <c r="AZ544"/>
  <c r="AZ554"/>
  <c r="AZ558"/>
  <c r="AZ582"/>
  <c r="AC28" i="21"/>
  <c r="U31" i="33"/>
  <c r="AA14" i="34"/>
  <c r="AB46"/>
  <c r="AA14" i="33"/>
  <c r="AA13" i="35"/>
  <c r="U23" i="40"/>
  <c r="AA29" i="35"/>
  <c r="U33"/>
  <c r="S34" i="34"/>
  <c r="BL586" i="3"/>
  <c r="BL585"/>
  <c r="AZ585" s="1"/>
  <c r="F9" i="33"/>
  <c r="F15"/>
  <c r="AA15" s="1"/>
  <c r="F12" i="34"/>
  <c r="J23" i="35"/>
  <c r="J36"/>
  <c r="H12" i="36"/>
  <c r="H24"/>
  <c r="AB24" s="1"/>
  <c r="H39" i="40"/>
  <c r="G574" i="3"/>
  <c r="G558"/>
  <c r="AZ402"/>
  <c r="AZ418"/>
  <c r="AZ434"/>
  <c r="AZ443"/>
  <c r="AZ445"/>
  <c r="AZ446"/>
  <c r="AZ449"/>
  <c r="AZ450"/>
  <c r="AZ459"/>
  <c r="AZ461"/>
  <c r="AZ462"/>
  <c r="AZ477"/>
  <c r="AZ481"/>
  <c r="AZ217"/>
  <c r="BA466"/>
  <c r="AZ466" s="1"/>
  <c r="BA467"/>
  <c r="AZ467" s="1"/>
  <c r="BL469"/>
  <c r="AZ469" s="1"/>
  <c r="BA470"/>
  <c r="AZ470" s="1"/>
  <c r="BA471"/>
  <c r="AZ471" s="1"/>
  <c r="BA472"/>
  <c r="AZ472" s="1"/>
  <c r="G475"/>
  <c r="G476"/>
  <c r="BL476"/>
  <c r="AZ476" s="1"/>
  <c r="G479"/>
  <c r="G480"/>
  <c r="BL480"/>
  <c r="AZ480" s="1"/>
  <c r="G483"/>
  <c r="BA484"/>
  <c r="AZ484" s="1"/>
  <c r="BA485"/>
  <c r="AZ485" s="1"/>
  <c r="BL487"/>
  <c r="AZ487" s="1"/>
  <c r="BA488"/>
  <c r="AZ488" s="1"/>
  <c r="BA489"/>
  <c r="AZ489" s="1"/>
  <c r="BL491"/>
  <c r="AZ491" s="1"/>
  <c r="BA492"/>
  <c r="AZ492" s="1"/>
  <c r="G313"/>
  <c r="BA315"/>
  <c r="AZ315" s="1"/>
  <c r="BL316"/>
  <c r="AZ316" s="1"/>
  <c r="G318"/>
  <c r="G329"/>
  <c r="BA331"/>
  <c r="AZ331" s="1"/>
  <c r="BL332"/>
  <c r="AZ332" s="1"/>
  <c r="G334"/>
  <c r="BL346"/>
  <c r="AZ346" s="1"/>
  <c r="G349"/>
  <c r="BA350"/>
  <c r="AZ350" s="1"/>
  <c r="BL353"/>
  <c r="AZ353" s="1"/>
  <c r="G362"/>
  <c r="G366"/>
  <c r="BA368"/>
  <c r="AZ368" s="1"/>
  <c r="G378"/>
  <c r="BL383"/>
  <c r="AZ383" s="1"/>
  <c r="BA385"/>
  <c r="AZ385" s="1"/>
  <c r="BA388"/>
  <c r="AZ388" s="1"/>
  <c r="BA392"/>
  <c r="AZ392" s="1"/>
  <c r="G395"/>
  <c r="BL395"/>
  <c r="AZ395" s="1"/>
  <c r="G208"/>
  <c r="BL208"/>
  <c r="AZ208" s="1"/>
  <c r="G211"/>
  <c r="BL211"/>
  <c r="AZ211" s="1"/>
  <c r="BA212"/>
  <c r="AZ212" s="1"/>
  <c r="BL214"/>
  <c r="AZ214" s="1"/>
  <c r="G217"/>
  <c r="BL217"/>
  <c r="G220"/>
  <c r="BL220"/>
  <c r="AZ220" s="1"/>
  <c r="BA221"/>
  <c r="AZ221" s="1"/>
  <c r="BA222"/>
  <c r="AZ222" s="1"/>
  <c r="BA223"/>
  <c r="AZ223" s="1"/>
  <c r="G226"/>
  <c r="BL226"/>
  <c r="AZ226" s="1"/>
  <c r="G229"/>
  <c r="G230"/>
  <c r="BL230"/>
  <c r="AZ230" s="1"/>
  <c r="BA231"/>
  <c r="AZ231" s="1"/>
  <c r="BA232"/>
  <c r="AZ232" s="1"/>
  <c r="BA233"/>
  <c r="AZ233" s="1"/>
  <c r="BL235"/>
  <c r="AZ235" s="1"/>
  <c r="BA236"/>
  <c r="AZ236" s="1"/>
  <c r="BA237"/>
  <c r="AZ237" s="1"/>
  <c r="G240"/>
  <c r="G241"/>
  <c r="G242"/>
  <c r="BL242"/>
  <c r="AZ242" s="1"/>
  <c r="G245"/>
  <c r="G246"/>
  <c r="BL246"/>
  <c r="AZ246" s="1"/>
  <c r="BA247"/>
  <c r="AZ247" s="1"/>
  <c r="BA248"/>
  <c r="AZ248" s="1"/>
  <c r="BA249"/>
  <c r="AZ249" s="1"/>
  <c r="BL251"/>
  <c r="AZ251" s="1"/>
  <c r="BA252"/>
  <c r="AZ252" s="1"/>
  <c r="BA253"/>
  <c r="AZ253" s="1"/>
  <c r="G256"/>
  <c r="G257"/>
  <c r="G258"/>
  <c r="BL258"/>
  <c r="AZ258" s="1"/>
  <c r="G261"/>
  <c r="G262"/>
  <c r="BL262"/>
  <c r="AZ262" s="1"/>
  <c r="G265"/>
  <c r="G266"/>
  <c r="BL266"/>
  <c r="BA267"/>
  <c r="AZ267" s="1"/>
  <c r="BA268"/>
  <c r="AZ268" s="1"/>
  <c r="BA269"/>
  <c r="AZ269" s="1"/>
  <c r="BL271"/>
  <c r="AZ271" s="1"/>
  <c r="BA272"/>
  <c r="AZ272" s="1"/>
  <c r="BA273"/>
  <c r="AZ273" s="1"/>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BA188"/>
  <c r="AZ188" s="1"/>
  <c r="BL189"/>
  <c r="G192"/>
  <c r="BL194"/>
  <c r="AZ194" s="1"/>
  <c r="BA196"/>
  <c r="AZ196" s="1"/>
  <c r="BL197"/>
  <c r="G200"/>
  <c r="AZ207"/>
  <c r="AZ23"/>
  <c r="G100" i="43"/>
  <c r="G204" i="3"/>
  <c r="G206"/>
  <c r="G207"/>
  <c r="BL207"/>
  <c r="BA18"/>
  <c r="AZ18" s="1"/>
  <c r="BL20"/>
  <c r="AZ20" s="1"/>
  <c r="G23"/>
  <c r="BL23"/>
  <c r="G26"/>
  <c r="BL26"/>
  <c r="BA27"/>
  <c r="AZ27" s="1"/>
  <c r="BA28"/>
  <c r="AZ28" s="1"/>
  <c r="BA29"/>
  <c r="AZ29" s="1"/>
  <c r="BL31"/>
  <c r="AZ31" s="1"/>
  <c r="BL33"/>
  <c r="AZ33" s="1"/>
  <c r="G35"/>
  <c r="BL35"/>
  <c r="G37"/>
  <c r="G38"/>
  <c r="BL38"/>
  <c r="AZ38" s="1"/>
  <c r="G41"/>
  <c r="BL41"/>
  <c r="BL43"/>
  <c r="AZ43" s="1"/>
  <c r="BA44"/>
  <c r="AZ44" s="1"/>
  <c r="BA45"/>
  <c r="AZ45" s="1"/>
  <c r="BL47"/>
  <c r="AZ47" s="1"/>
  <c r="BA48"/>
  <c r="AZ48" s="1"/>
  <c r="BL50"/>
  <c r="AZ50" s="1"/>
  <c r="G53"/>
  <c r="G54"/>
  <c r="BL54"/>
  <c r="AZ54" s="1"/>
  <c r="G57"/>
  <c r="BL57"/>
  <c r="AZ57" s="1"/>
  <c r="BL59"/>
  <c r="AZ59" s="1"/>
  <c r="BA60"/>
  <c r="AZ60" s="1"/>
  <c r="BA61"/>
  <c r="AZ61" s="1"/>
  <c r="BL63"/>
  <c r="AZ63" s="1"/>
  <c r="M108" i="43"/>
  <c r="M100"/>
  <c r="I108"/>
  <c r="I100"/>
  <c r="E108"/>
  <c r="E100"/>
  <c r="BA64" i="3"/>
  <c r="AZ64" s="1"/>
  <c r="BL66"/>
  <c r="AZ66" s="1"/>
  <c r="G69"/>
  <c r="G70"/>
  <c r="BL70"/>
  <c r="AZ70" s="1"/>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J51" i="15"/>
  <c r="I20" i="66"/>
  <c r="A2" i="9"/>
  <c r="A4" i="52"/>
  <c r="B41" i="72" s="1"/>
  <c r="A118" i="9"/>
  <c r="U43" i="33"/>
  <c r="J41"/>
  <c r="W44"/>
  <c r="W29"/>
  <c r="S45"/>
  <c r="U46"/>
  <c r="U35"/>
  <c r="U33"/>
  <c r="AB26"/>
  <c r="H48" i="43"/>
  <c r="H50"/>
  <c r="H75"/>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AA29"/>
  <c r="AB29"/>
  <c r="W38"/>
  <c r="H41"/>
  <c r="F121"/>
  <c r="G121" s="1"/>
  <c r="H121" s="1"/>
  <c r="I121" s="1"/>
  <c r="J121" s="1"/>
  <c r="K121" s="1"/>
  <c r="L121" s="1"/>
  <c r="M121" s="1"/>
  <c r="U42"/>
  <c r="S42"/>
  <c r="G111"/>
  <c r="F36" s="1"/>
  <c r="G108"/>
  <c r="H108" s="1"/>
  <c r="I108" s="1"/>
  <c r="J108" s="1"/>
  <c r="K108" s="1"/>
  <c r="L108" s="1"/>
  <c r="M108" s="1"/>
  <c r="J35"/>
  <c r="S37"/>
  <c r="AA37"/>
  <c r="S39"/>
  <c r="F101"/>
  <c r="S46"/>
  <c r="W43"/>
  <c r="S43"/>
  <c r="F91"/>
  <c r="H27"/>
  <c r="F87"/>
  <c r="H25" s="1"/>
  <c r="F25"/>
  <c r="J23"/>
  <c r="F85"/>
  <c r="H23"/>
  <c r="F81"/>
  <c r="F19"/>
  <c r="S19" s="1"/>
  <c r="W19"/>
  <c r="J17"/>
  <c r="F79"/>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BA5" s="1"/>
  <c r="E27" i="6" s="1"/>
  <c r="E10"/>
  <c r="E11"/>
  <c r="E61" i="39" s="1"/>
  <c r="BL17" i="3"/>
  <c r="AZ17" s="1"/>
  <c r="BL13"/>
  <c r="E65" i="39"/>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E32" i="6"/>
  <c r="L19" s="1"/>
  <c r="G1" i="68"/>
  <c r="K1" i="12"/>
  <c r="F30" i="6"/>
  <c r="F31" s="1"/>
  <c r="E28"/>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S2" s="1"/>
  <c r="F103"/>
  <c r="F105"/>
  <c r="J106"/>
  <c r="N104"/>
  <c r="N107"/>
  <c r="E56" i="40"/>
  <c r="AR12" i="1"/>
  <c r="AQ12"/>
  <c r="T12"/>
  <c r="T10"/>
  <c r="E19" i="69"/>
  <c r="E19" i="68"/>
  <c r="E19" i="11"/>
  <c r="E1" i="73"/>
  <c r="K1" s="1"/>
  <c r="G41" i="69"/>
  <c r="G22"/>
  <c r="G41" i="68"/>
  <c r="G22"/>
  <c r="G27" i="12"/>
  <c r="G26"/>
  <c r="G41" i="11"/>
  <c r="G22"/>
  <c r="G25" i="12"/>
  <c r="C109" i="43"/>
  <c r="J109"/>
  <c r="C100"/>
  <c r="K109"/>
  <c r="E11"/>
  <c r="E10"/>
  <c r="E9"/>
  <c r="E8"/>
  <c r="E81"/>
  <c r="B79" s="1"/>
  <c r="F109"/>
  <c r="AJ11"/>
  <c r="AJ13" s="1"/>
  <c r="AH11"/>
  <c r="AH13" s="1"/>
  <c r="AF11"/>
  <c r="AF13" s="1"/>
  <c r="AD11"/>
  <c r="AD13" s="1"/>
  <c r="AB11"/>
  <c r="AB13" s="1"/>
  <c r="Z11"/>
  <c r="Z13" s="1"/>
  <c r="Z7"/>
  <c r="S5"/>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E7" s="1"/>
  <c r="C7" i="21"/>
  <c r="C7" i="40"/>
  <c r="C63" s="1"/>
  <c r="M47" i="9"/>
  <c r="G19" i="43"/>
  <c r="M20" s="1"/>
  <c r="T35" i="4"/>
  <c r="A19" i="51" s="1"/>
  <c r="B14" i="72" s="1"/>
  <c r="C46" i="36"/>
  <c r="D46" s="1"/>
  <c r="E46" s="1"/>
  <c r="C59" i="34"/>
  <c r="D59" s="1"/>
  <c r="C52" i="37"/>
  <c r="D52" s="1"/>
  <c r="A4" i="51"/>
  <c r="B6" i="72" s="1"/>
  <c r="C58" i="21"/>
  <c r="D58"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G1" i="73"/>
  <c r="F40" i="67"/>
  <c r="L47" i="15"/>
  <c r="M28"/>
  <c r="F7"/>
  <c r="F13" i="67"/>
  <c r="F26" i="15"/>
  <c r="M8" i="67"/>
  <c r="C76" i="15"/>
  <c r="M26"/>
  <c r="M28" i="67"/>
  <c r="M24"/>
  <c r="M23"/>
  <c r="F8"/>
  <c r="M9"/>
  <c r="F6" i="15"/>
  <c r="F38" i="67"/>
  <c r="F7"/>
  <c r="M24" i="15"/>
  <c r="M8"/>
  <c r="M22"/>
  <c r="J15" i="67"/>
  <c r="M29"/>
  <c r="F37"/>
  <c r="F36" i="15"/>
  <c r="M22" i="67"/>
  <c r="M6"/>
  <c r="F38" i="15"/>
  <c r="L47" i="67"/>
  <c r="F26"/>
  <c r="F8" i="15"/>
  <c r="F42" i="67"/>
  <c r="F36"/>
  <c r="C76"/>
  <c r="M29" i="15"/>
  <c r="M23"/>
  <c r="F9" i="67"/>
  <c r="F9" i="15"/>
  <c r="F13"/>
  <c r="F16"/>
  <c r="F43" i="67"/>
  <c r="F16"/>
  <c r="M6" i="15"/>
  <c r="M9"/>
  <c r="F42"/>
  <c r="J15"/>
  <c r="F37"/>
  <c r="L48"/>
  <c r="L48" i="67"/>
  <c r="F6"/>
  <c r="F43" i="15"/>
  <c r="M26" i="67"/>
  <c r="F40" i="15"/>
  <c r="G101" i="33" l="1"/>
  <c r="H101" s="1"/>
  <c r="I101" s="1"/>
  <c r="J101" s="1"/>
  <c r="K101" s="1"/>
  <c r="L101" s="1"/>
  <c r="M101" s="1"/>
  <c r="H32"/>
  <c r="F32"/>
  <c r="AZ95" i="3"/>
  <c r="AZ71"/>
  <c r="AZ67"/>
  <c r="AZ65"/>
  <c r="AZ39"/>
  <c r="AZ198"/>
  <c r="AZ193"/>
  <c r="AZ166"/>
  <c r="AZ161"/>
  <c r="AZ122"/>
  <c r="AZ300"/>
  <c r="AZ287"/>
  <c r="AZ277"/>
  <c r="AZ263"/>
  <c r="AZ259"/>
  <c r="AZ243"/>
  <c r="AZ218"/>
  <c r="AZ415"/>
  <c r="AA40" i="40"/>
  <c r="S40"/>
  <c r="J32" i="33"/>
  <c r="S15"/>
  <c r="U12"/>
  <c r="AB12"/>
  <c r="AR10" i="1"/>
  <c r="C7" i="43"/>
  <c r="U39" i="40"/>
  <c r="AB39"/>
  <c r="U12" i="36"/>
  <c r="AB12"/>
  <c r="AC23" i="35"/>
  <c r="W23"/>
  <c r="AC36"/>
  <c r="W36"/>
  <c r="S12" i="34"/>
  <c r="AA12"/>
  <c r="AA9" i="33"/>
  <c r="S9"/>
  <c r="W41"/>
  <c r="AC41"/>
  <c r="C58"/>
  <c r="D58" s="1"/>
  <c r="E58" s="1"/>
  <c r="F58" s="1"/>
  <c r="G58" s="1"/>
  <c r="H58" s="1"/>
  <c r="I58" s="1"/>
  <c r="J58" s="1"/>
  <c r="K58" s="1"/>
  <c r="L58" s="1"/>
  <c r="M58" s="1"/>
  <c r="N58" s="1"/>
  <c r="O58" s="1"/>
  <c r="I7"/>
  <c r="G7"/>
  <c r="D22" i="43"/>
  <c r="C4" i="4"/>
  <c r="K4" s="1"/>
  <c r="B46" i="48" s="1"/>
  <c r="C53" i="15"/>
  <c r="C10" i="67"/>
  <c r="C53"/>
  <c r="L58"/>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C28" s="1"/>
  <c r="E63" i="39"/>
  <c r="E66" s="1"/>
  <c r="T11" i="1"/>
  <c r="D9" i="69"/>
  <c r="C9" s="1"/>
  <c r="D19" i="12"/>
  <c r="C19" s="1"/>
  <c r="AQ9" i="1"/>
  <c r="AR11"/>
  <c r="E59" i="40"/>
  <c r="D68" i="39"/>
  <c r="D70" s="1"/>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C30" i="69"/>
  <c r="D9" i="68"/>
  <c r="C9" s="1"/>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S6" i="43"/>
  <c r="C23"/>
  <c r="C21" s="1"/>
  <c r="S4"/>
  <c r="S3"/>
  <c r="S7"/>
  <c r="D11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C19" i="43"/>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Q7"/>
  <c r="B40"/>
  <c r="O19" i="43"/>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S21" i="6"/>
  <c r="L27"/>
  <c r="S26"/>
  <c r="S22"/>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s="1"/>
  <c r="AP7" i="1"/>
  <c r="M7"/>
  <c r="O7" s="1"/>
  <c r="Q16"/>
  <c r="F27" i="69" s="1"/>
  <c r="H16" i="1"/>
  <c r="K16"/>
  <c r="AB45" i="21"/>
  <c r="AC33"/>
  <c r="W33"/>
  <c r="S33"/>
  <c r="AA33"/>
  <c r="W32"/>
  <c r="AC32"/>
  <c r="AB9"/>
  <c r="U9"/>
  <c r="AA32"/>
  <c r="S32"/>
  <c r="W9"/>
  <c r="AC9"/>
  <c r="AB32"/>
  <c r="U32"/>
  <c r="AA10"/>
  <c r="S10"/>
  <c r="C36" i="69"/>
  <c r="F59" i="15"/>
  <c r="F31" i="67"/>
  <c r="F31" i="15"/>
  <c r="M17" i="67"/>
  <c r="M17" i="15"/>
  <c r="F59" i="67"/>
  <c r="C16" i="15"/>
  <c r="C17"/>
  <c r="C16" i="67"/>
  <c r="AB32" i="33" l="1"/>
  <c r="U32"/>
  <c r="AA32"/>
  <c r="S32"/>
  <c r="B73" i="72"/>
  <c r="B4"/>
  <c r="F11" i="33"/>
  <c r="H11"/>
  <c r="J11"/>
  <c r="B4" i="62"/>
  <c r="C48" i="68"/>
  <c r="M19" i="6"/>
  <c r="AR6" i="1"/>
  <c r="T7"/>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D37" i="11"/>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 i="67"/>
  <c r="C32" s="1"/>
  <c r="F10" i="40"/>
  <c r="AA10" s="1"/>
  <c r="S20" i="6"/>
  <c r="I19"/>
  <c r="L18" i="9" s="1"/>
  <c r="M27" i="6"/>
  <c r="H10" i="39"/>
  <c r="J10"/>
  <c r="C49" i="15"/>
  <c r="Q60"/>
  <c r="M16" i="1"/>
  <c r="N16" s="1"/>
  <c r="Q60" i="67"/>
  <c r="Q73"/>
  <c r="F27" i="11"/>
  <c r="Q61" i="67"/>
  <c r="Q74"/>
  <c r="C49"/>
  <c r="F1"/>
  <c r="Q52"/>
  <c r="B43" i="72" l="1"/>
  <c r="B71"/>
  <c r="AB11" i="33"/>
  <c r="U11"/>
  <c r="W11"/>
  <c r="AC11"/>
  <c r="AA11"/>
  <c r="S11"/>
  <c r="Q61" i="15"/>
  <c r="E37" i="43"/>
  <c r="AA7" i="36"/>
  <c r="R36" s="1"/>
  <c r="E36" s="1"/>
  <c r="E40" s="1"/>
  <c r="F40" s="1"/>
  <c r="AC11" i="37"/>
  <c r="W11"/>
  <c r="AB7"/>
  <c r="T42" s="1"/>
  <c r="G42" s="1"/>
  <c r="G46" s="1"/>
  <c r="H46" s="1"/>
  <c r="W11" i="34"/>
  <c r="AC11"/>
  <c r="J5" i="67"/>
  <c r="J5" i="15"/>
  <c r="H20" i="6"/>
  <c r="AB7" i="36"/>
  <c r="T36" s="1"/>
  <c r="C23" i="68"/>
  <c r="C38" i="15"/>
  <c r="E38" i="43"/>
  <c r="E6" i="3"/>
  <c r="C47" i="68"/>
  <c r="D45" s="1"/>
  <c r="AA10" i="39"/>
  <c r="D10" i="68"/>
  <c r="D10" i="11"/>
  <c r="C10" s="1"/>
  <c r="D20" i="12"/>
  <c r="C20" s="1"/>
  <c r="C18" s="1"/>
  <c r="M19" i="9"/>
  <c r="C118" s="1"/>
  <c r="C14" i="74" s="1"/>
  <c r="B2" s="1"/>
  <c r="D19" i="6"/>
  <c r="D25"/>
  <c r="D26"/>
  <c r="D15"/>
  <c r="C18" i="4"/>
  <c r="D22" i="6"/>
  <c r="D8"/>
  <c r="D21"/>
  <c r="D23"/>
  <c r="D24"/>
  <c r="D14"/>
  <c r="D20"/>
  <c r="R20" s="1"/>
  <c r="R7" i="1" s="1"/>
  <c r="D5" i="6"/>
  <c r="D6"/>
  <c r="D12"/>
  <c r="D9"/>
  <c r="D11"/>
  <c r="D10"/>
  <c r="D13"/>
  <c r="D28"/>
  <c r="D29"/>
  <c r="E61" i="40"/>
  <c r="H25" i="6"/>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S27" s="1"/>
  <c r="I27"/>
  <c r="W10" i="39"/>
  <c r="AC10"/>
  <c r="U10"/>
  <c r="AB10"/>
  <c r="F50" i="11"/>
  <c r="F50" i="69"/>
  <c r="F50" i="68"/>
  <c r="C47" i="11"/>
  <c r="D45" s="1"/>
  <c r="C29"/>
  <c r="D27" s="1"/>
  <c r="C28"/>
  <c r="C27" s="1"/>
  <c r="L16" i="1"/>
  <c r="C34" i="11"/>
  <c r="R25" i="6" l="1"/>
  <c r="C36" i="11"/>
  <c r="J24" i="67"/>
  <c r="J18"/>
  <c r="J24" i="15"/>
  <c r="J18"/>
  <c r="G36" i="36"/>
  <c r="R37"/>
  <c r="AB7" i="34"/>
  <c r="T49" s="1"/>
  <c r="G49" s="1"/>
  <c r="G53" s="1"/>
  <c r="H53" s="1"/>
  <c r="W7" i="21"/>
  <c r="AA7"/>
  <c r="R48" s="1"/>
  <c r="E48" s="1"/>
  <c r="E52" s="1"/>
  <c r="F52" s="1"/>
  <c r="R26" i="6"/>
  <c r="R23"/>
  <c r="R24"/>
  <c r="R21"/>
  <c r="R8" i="1" s="1"/>
  <c r="R22" i="6"/>
  <c r="D30"/>
  <c r="D16"/>
  <c r="A7" i="51"/>
  <c r="C4" i="52"/>
  <c r="A10" i="51"/>
  <c r="D27" i="6"/>
  <c r="D19" i="68"/>
  <c r="C10"/>
  <c r="C12" i="12"/>
  <c r="C15"/>
  <c r="C34" i="68"/>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E6" i="76"/>
  <c r="B45" i="72" l="1"/>
  <c r="B9"/>
  <c r="B7"/>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M21" i="67"/>
  <c r="M21" i="15"/>
  <c r="F35"/>
  <c r="B6" i="76"/>
  <c r="F35" i="67"/>
  <c r="I5" i="6" l="1"/>
  <c r="B2" i="76"/>
  <c r="B3" s="1"/>
  <c r="B3" i="43"/>
  <c r="C49" i="21"/>
  <c r="F63" i="67"/>
  <c r="C62" s="1"/>
  <c r="C34"/>
  <c r="J20"/>
  <c r="C24" i="68"/>
  <c r="C20"/>
  <c r="C28" s="1"/>
  <c r="C27" s="1"/>
  <c r="J20" i="15"/>
  <c r="F63"/>
  <c r="C62" s="1"/>
  <c r="C34"/>
  <c r="R16" i="1"/>
  <c r="C22" i="12"/>
  <c r="C30" s="1"/>
  <c r="C28" s="1"/>
  <c r="C33" i="68"/>
  <c r="I63" i="40"/>
  <c r="H65"/>
  <c r="C39" i="11"/>
  <c r="C43" s="1"/>
  <c r="C41" s="1"/>
  <c r="I70" i="39"/>
  <c r="C25" i="68" l="1"/>
  <c r="C22" s="1"/>
  <c r="C31" s="1"/>
  <c r="C27" i="12"/>
  <c r="C25" s="1"/>
  <c r="C32" s="1"/>
  <c r="B2" s="1"/>
  <c r="B3" s="1"/>
  <c r="C39" i="68"/>
  <c r="C43" s="1"/>
  <c r="C42"/>
  <c r="J63" i="40"/>
  <c r="I65"/>
  <c r="C46" i="11"/>
  <c r="C45" s="1"/>
  <c r="C49" s="1"/>
  <c r="C51" s="1"/>
  <c r="C52" s="1"/>
  <c r="B2" s="1"/>
  <c r="B3" s="1"/>
  <c r="J70" i="39"/>
  <c r="C41" i="68" l="1"/>
  <c r="C46"/>
  <c r="C45" s="1"/>
  <c r="K63" i="40"/>
  <c r="J65"/>
  <c r="K70" i="39"/>
  <c r="C56" i="11"/>
  <c r="C57" s="1"/>
  <c r="C49" i="68" l="1"/>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C66" i="15" l="1"/>
  <c r="C60"/>
  <c r="C59" s="1"/>
  <c r="AG6" i="1"/>
  <c r="C80" i="15"/>
  <c r="C79" s="1"/>
  <c r="C65"/>
  <c r="Q68"/>
  <c r="L57"/>
  <c r="L60" s="1"/>
  <c r="M27" i="67"/>
  <c r="M27" i="15"/>
  <c r="F41" i="67"/>
  <c r="F41" i="15"/>
  <c r="L51"/>
  <c r="Q67" l="1"/>
  <c r="J26"/>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6" i="1"/>
  <c r="E2" i="69"/>
  <c r="AO7" i="1"/>
  <c r="AO8"/>
  <c r="B8" i="70" l="1"/>
  <c r="B7"/>
  <c r="B6"/>
  <c r="C46" i="15"/>
  <c r="B2" i="69"/>
  <c r="B3" s="1"/>
  <c r="B2" i="68"/>
  <c r="B3" i="67"/>
  <c r="D2" i="35"/>
  <c r="D2" i="37"/>
  <c r="D2" i="36"/>
  <c r="D2" i="21"/>
  <c r="F20" i="31"/>
  <c r="D2" i="34"/>
  <c r="C19" i="9"/>
  <c r="E2" i="68"/>
  <c r="D2" i="33"/>
  <c r="B2" i="36" l="1"/>
  <c r="B3" s="1"/>
  <c r="B2" i="35"/>
  <c r="B3" s="1"/>
  <c r="B2" i="37"/>
  <c r="B3" s="1"/>
  <c r="B2" i="34"/>
  <c r="B3" s="1"/>
  <c r="B2" i="21"/>
  <c r="B3" s="1"/>
  <c r="B2" i="70"/>
  <c r="B3" s="1"/>
  <c r="C102" i="9"/>
  <c r="C21"/>
  <c r="B3" i="68"/>
  <c r="C20" i="9"/>
  <c r="C103" l="1"/>
  <c r="D34"/>
  <c r="H109" l="1"/>
  <c r="H110" l="1"/>
  <c r="D18" i="53" s="1"/>
  <c r="D124" i="9"/>
  <c r="D16" i="53"/>
  <c r="B34" i="72" s="1"/>
  <c r="B35" l="1"/>
  <c r="D10" i="52"/>
  <c r="H14" i="74"/>
  <c r="D17" i="53"/>
  <c r="B36" i="72" s="1"/>
  <c r="D125" i="9"/>
  <c r="D11" i="52" s="1"/>
  <c r="B7" i="74" l="1"/>
  <c r="D7" s="1"/>
  <c r="C7" l="1"/>
  <c r="J7" i="33" l="1"/>
  <c r="W7" s="1"/>
  <c r="F7"/>
  <c r="S7" s="1"/>
  <c r="H7"/>
  <c r="AB7" s="1"/>
  <c r="T48" s="1"/>
  <c r="G48" s="1"/>
  <c r="F90" i="78" s="1"/>
  <c r="G52" i="33" l="1"/>
  <c r="H52" s="1"/>
  <c r="AA7"/>
  <c r="R48" s="1"/>
  <c r="U7"/>
  <c r="AC7"/>
  <c r="V48" s="1"/>
  <c r="I48" s="1"/>
  <c r="H90" i="78" s="1"/>
  <c r="I52" i="33" l="1"/>
  <c r="J52" s="1"/>
  <c r="R49"/>
  <c r="E48"/>
  <c r="D90" i="78" s="1"/>
  <c r="G53" i="33"/>
  <c r="H53" s="1"/>
  <c r="E53" l="1"/>
  <c r="F53" s="1"/>
  <c r="E52"/>
  <c r="F52" s="1"/>
  <c r="I53"/>
  <c r="J53" s="1"/>
  <c r="C48"/>
  <c r="C49"/>
  <c r="B2" s="1"/>
  <c r="J7" i="39"/>
  <c r="AC7" s="1"/>
  <c r="V47" s="1"/>
  <c r="I47" s="1"/>
  <c r="F7"/>
  <c r="S7" s="1"/>
  <c r="H7"/>
  <c r="AB7" s="1"/>
  <c r="T47" s="1"/>
  <c r="G47" s="1"/>
  <c r="D19" i="9"/>
  <c r="D102" l="1"/>
  <c r="D21"/>
  <c r="D22"/>
  <c r="G19"/>
  <c r="B3" i="33"/>
  <c r="G52" i="39"/>
  <c r="H52" s="1"/>
  <c r="G51"/>
  <c r="H51" s="1"/>
  <c r="I51"/>
  <c r="J51" s="1"/>
  <c r="W7"/>
  <c r="U7"/>
  <c r="AA7"/>
  <c r="R47" s="1"/>
  <c r="D20" i="9"/>
  <c r="D103" l="1"/>
  <c r="G20"/>
  <c r="R24" i="31" s="1"/>
  <c r="G21" i="9"/>
  <c r="C32"/>
  <c r="R48" i="39"/>
  <c r="E47"/>
  <c r="R379" i="31" l="1"/>
  <c r="S379" s="1"/>
  <c r="R381"/>
  <c r="S381" s="1"/>
  <c r="R383"/>
  <c r="S383" s="1"/>
  <c r="R385"/>
  <c r="S385" s="1"/>
  <c r="R387"/>
  <c r="S387" s="1"/>
  <c r="R389"/>
  <c r="S389" s="1"/>
  <c r="R391"/>
  <c r="S391" s="1"/>
  <c r="R393"/>
  <c r="S393" s="1"/>
  <c r="R395"/>
  <c r="S395" s="1"/>
  <c r="R397"/>
  <c r="S397" s="1"/>
  <c r="R399"/>
  <c r="S399" s="1"/>
  <c r="R401"/>
  <c r="S401" s="1"/>
  <c r="R403"/>
  <c r="S403" s="1"/>
  <c r="R405"/>
  <c r="S405" s="1"/>
  <c r="R407"/>
  <c r="S407" s="1"/>
  <c r="R409"/>
  <c r="S409" s="1"/>
  <c r="R411"/>
  <c r="S411" s="1"/>
  <c r="R413"/>
  <c r="S413" s="1"/>
  <c r="R415"/>
  <c r="S415" s="1"/>
  <c r="R417"/>
  <c r="S417" s="1"/>
  <c r="R419"/>
  <c r="S419" s="1"/>
  <c r="R421"/>
  <c r="S421" s="1"/>
  <c r="R423"/>
  <c r="S423" s="1"/>
  <c r="R425"/>
  <c r="S425" s="1"/>
  <c r="R427"/>
  <c r="S427" s="1"/>
  <c r="R429"/>
  <c r="S429" s="1"/>
  <c r="R431"/>
  <c r="S431" s="1"/>
  <c r="R433"/>
  <c r="S433" s="1"/>
  <c r="R435"/>
  <c r="S435" s="1"/>
  <c r="R437"/>
  <c r="S437" s="1"/>
  <c r="R439"/>
  <c r="S439" s="1"/>
  <c r="R441"/>
  <c r="S441" s="1"/>
  <c r="R443"/>
  <c r="S443" s="1"/>
  <c r="R445"/>
  <c r="S445" s="1"/>
  <c r="R447"/>
  <c r="S447" s="1"/>
  <c r="R449"/>
  <c r="S449" s="1"/>
  <c r="R451"/>
  <c r="S451" s="1"/>
  <c r="R453"/>
  <c r="S453" s="1"/>
  <c r="R455"/>
  <c r="S455" s="1"/>
  <c r="R457"/>
  <c r="S457" s="1"/>
  <c r="R459"/>
  <c r="S459" s="1"/>
  <c r="R461"/>
  <c r="S461" s="1"/>
  <c r="R463"/>
  <c r="S463" s="1"/>
  <c r="R465"/>
  <c r="S465" s="1"/>
  <c r="R467"/>
  <c r="S467" s="1"/>
  <c r="R469"/>
  <c r="S469" s="1"/>
  <c r="R380"/>
  <c r="S380" s="1"/>
  <c r="R382"/>
  <c r="S382" s="1"/>
  <c r="R384"/>
  <c r="S384" s="1"/>
  <c r="R386"/>
  <c r="S386" s="1"/>
  <c r="R388"/>
  <c r="S388" s="1"/>
  <c r="R390"/>
  <c r="S390" s="1"/>
  <c r="R392"/>
  <c r="S392" s="1"/>
  <c r="R394"/>
  <c r="S394" s="1"/>
  <c r="R396"/>
  <c r="S396" s="1"/>
  <c r="R398"/>
  <c r="S398" s="1"/>
  <c r="R400"/>
  <c r="S400" s="1"/>
  <c r="R402"/>
  <c r="S402" s="1"/>
  <c r="R404"/>
  <c r="S404" s="1"/>
  <c r="R406"/>
  <c r="S406" s="1"/>
  <c r="R408"/>
  <c r="S408" s="1"/>
  <c r="R410"/>
  <c r="S410" s="1"/>
  <c r="R412"/>
  <c r="S412" s="1"/>
  <c r="R414"/>
  <c r="S414" s="1"/>
  <c r="R416"/>
  <c r="S416" s="1"/>
  <c r="R418"/>
  <c r="S418" s="1"/>
  <c r="R420"/>
  <c r="S420" s="1"/>
  <c r="R422"/>
  <c r="S422" s="1"/>
  <c r="R424"/>
  <c r="S424" s="1"/>
  <c r="R426"/>
  <c r="S426" s="1"/>
  <c r="R428"/>
  <c r="S428" s="1"/>
  <c r="R430"/>
  <c r="S430" s="1"/>
  <c r="R432"/>
  <c r="S432" s="1"/>
  <c r="R434"/>
  <c r="S434" s="1"/>
  <c r="R436"/>
  <c r="S436" s="1"/>
  <c r="R438"/>
  <c r="S438" s="1"/>
  <c r="R440"/>
  <c r="S440" s="1"/>
  <c r="R442"/>
  <c r="S442" s="1"/>
  <c r="R444"/>
  <c r="S444" s="1"/>
  <c r="R446"/>
  <c r="S446" s="1"/>
  <c r="R448"/>
  <c r="S448" s="1"/>
  <c r="R450"/>
  <c r="S450" s="1"/>
  <c r="R452"/>
  <c r="S452" s="1"/>
  <c r="R454"/>
  <c r="S454" s="1"/>
  <c r="R456"/>
  <c r="S456" s="1"/>
  <c r="R458"/>
  <c r="S458" s="1"/>
  <c r="R460"/>
  <c r="S460" s="1"/>
  <c r="R462"/>
  <c r="S462" s="1"/>
  <c r="R464"/>
  <c r="S464" s="1"/>
  <c r="R466"/>
  <c r="S466" s="1"/>
  <c r="R468"/>
  <c r="S468" s="1"/>
  <c r="R470"/>
  <c r="S470" s="1"/>
  <c r="R132"/>
  <c r="S132" s="1"/>
  <c r="R134"/>
  <c r="S134" s="1"/>
  <c r="R136"/>
  <c r="S136" s="1"/>
  <c r="R138"/>
  <c r="S138" s="1"/>
  <c r="R140"/>
  <c r="S140" s="1"/>
  <c r="R142"/>
  <c r="S142" s="1"/>
  <c r="R144"/>
  <c r="S144" s="1"/>
  <c r="R146"/>
  <c r="S146" s="1"/>
  <c r="R148"/>
  <c r="S148" s="1"/>
  <c r="R150"/>
  <c r="S150" s="1"/>
  <c r="R152"/>
  <c r="S152" s="1"/>
  <c r="R154"/>
  <c r="S154" s="1"/>
  <c r="R156"/>
  <c r="S156" s="1"/>
  <c r="R158"/>
  <c r="S158" s="1"/>
  <c r="R160"/>
  <c r="S160" s="1"/>
  <c r="R162"/>
  <c r="S162" s="1"/>
  <c r="R164"/>
  <c r="S164" s="1"/>
  <c r="R166"/>
  <c r="S166" s="1"/>
  <c r="R168"/>
  <c r="S168" s="1"/>
  <c r="R170"/>
  <c r="S170" s="1"/>
  <c r="R172"/>
  <c r="S172" s="1"/>
  <c r="R174"/>
  <c r="S174" s="1"/>
  <c r="R176"/>
  <c r="S176" s="1"/>
  <c r="R178"/>
  <c r="S178" s="1"/>
  <c r="R180"/>
  <c r="S180" s="1"/>
  <c r="R182"/>
  <c r="S182" s="1"/>
  <c r="R184"/>
  <c r="S184" s="1"/>
  <c r="R186"/>
  <c r="S186" s="1"/>
  <c r="R188"/>
  <c r="S188" s="1"/>
  <c r="R190"/>
  <c r="S190" s="1"/>
  <c r="R192"/>
  <c r="S192" s="1"/>
  <c r="R194"/>
  <c r="S194" s="1"/>
  <c r="R196"/>
  <c r="S196" s="1"/>
  <c r="R198"/>
  <c r="S198" s="1"/>
  <c r="R200"/>
  <c r="S200" s="1"/>
  <c r="R202"/>
  <c r="S202" s="1"/>
  <c r="R204"/>
  <c r="S204" s="1"/>
  <c r="R206"/>
  <c r="S206" s="1"/>
  <c r="R208"/>
  <c r="S208" s="1"/>
  <c r="R210"/>
  <c r="S210" s="1"/>
  <c r="R212"/>
  <c r="S212" s="1"/>
  <c r="R214"/>
  <c r="S214" s="1"/>
  <c r="R216"/>
  <c r="S216" s="1"/>
  <c r="R218"/>
  <c r="S218" s="1"/>
  <c r="R220"/>
  <c r="S220" s="1"/>
  <c r="R222"/>
  <c r="S222" s="1"/>
  <c r="R224"/>
  <c r="S224" s="1"/>
  <c r="R226"/>
  <c r="S226" s="1"/>
  <c r="R228"/>
  <c r="S228" s="1"/>
  <c r="R230"/>
  <c r="S230" s="1"/>
  <c r="R232"/>
  <c r="S232" s="1"/>
  <c r="R234"/>
  <c r="S234" s="1"/>
  <c r="R236"/>
  <c r="S236" s="1"/>
  <c r="R238"/>
  <c r="S238" s="1"/>
  <c r="R240"/>
  <c r="S240" s="1"/>
  <c r="R242"/>
  <c r="S242" s="1"/>
  <c r="R244"/>
  <c r="S244" s="1"/>
  <c r="R246"/>
  <c r="S246" s="1"/>
  <c r="R248"/>
  <c r="S248" s="1"/>
  <c r="R250"/>
  <c r="S250" s="1"/>
  <c r="R252"/>
  <c r="S252" s="1"/>
  <c r="R254"/>
  <c r="S254" s="1"/>
  <c r="R256"/>
  <c r="S256" s="1"/>
  <c r="R258"/>
  <c r="S258" s="1"/>
  <c r="R260"/>
  <c r="S260" s="1"/>
  <c r="R262"/>
  <c r="S262" s="1"/>
  <c r="R264"/>
  <c r="S264" s="1"/>
  <c r="R266"/>
  <c r="S266" s="1"/>
  <c r="R268"/>
  <c r="S268" s="1"/>
  <c r="R270"/>
  <c r="S270" s="1"/>
  <c r="R272"/>
  <c r="S272" s="1"/>
  <c r="R274"/>
  <c r="S274" s="1"/>
  <c r="R276"/>
  <c r="S276" s="1"/>
  <c r="R278"/>
  <c r="S278" s="1"/>
  <c r="R280"/>
  <c r="S280" s="1"/>
  <c r="R282"/>
  <c r="S282" s="1"/>
  <c r="R284"/>
  <c r="S284" s="1"/>
  <c r="R286"/>
  <c r="S286" s="1"/>
  <c r="R288"/>
  <c r="S288" s="1"/>
  <c r="R290"/>
  <c r="S290" s="1"/>
  <c r="R292"/>
  <c r="S292" s="1"/>
  <c r="R294"/>
  <c r="S294" s="1"/>
  <c r="R296"/>
  <c r="S296" s="1"/>
  <c r="R298"/>
  <c r="S298" s="1"/>
  <c r="R300"/>
  <c r="S300" s="1"/>
  <c r="R302"/>
  <c r="S302" s="1"/>
  <c r="R304"/>
  <c r="S304" s="1"/>
  <c r="R306"/>
  <c r="S306" s="1"/>
  <c r="R308"/>
  <c r="S308" s="1"/>
  <c r="R310"/>
  <c r="S310" s="1"/>
  <c r="R312"/>
  <c r="S312" s="1"/>
  <c r="R314"/>
  <c r="S314" s="1"/>
  <c r="R316"/>
  <c r="S316" s="1"/>
  <c r="R318"/>
  <c r="S318" s="1"/>
  <c r="R320"/>
  <c r="S320" s="1"/>
  <c r="R322"/>
  <c r="S322" s="1"/>
  <c r="R324"/>
  <c r="S324" s="1"/>
  <c r="R326"/>
  <c r="S326" s="1"/>
  <c r="R328"/>
  <c r="S328" s="1"/>
  <c r="R330"/>
  <c r="S330" s="1"/>
  <c r="R332"/>
  <c r="S332" s="1"/>
  <c r="R334"/>
  <c r="S334" s="1"/>
  <c r="R336"/>
  <c r="S336" s="1"/>
  <c r="R338"/>
  <c r="S338" s="1"/>
  <c r="R340"/>
  <c r="S340" s="1"/>
  <c r="R342"/>
  <c r="S342" s="1"/>
  <c r="R344"/>
  <c r="S344" s="1"/>
  <c r="R346"/>
  <c r="S346" s="1"/>
  <c r="R348"/>
  <c r="S348" s="1"/>
  <c r="R350"/>
  <c r="S350" s="1"/>
  <c r="R352"/>
  <c r="S352" s="1"/>
  <c r="R354"/>
  <c r="S354" s="1"/>
  <c r="R356"/>
  <c r="S356" s="1"/>
  <c r="R358"/>
  <c r="S358" s="1"/>
  <c r="R360"/>
  <c r="S360" s="1"/>
  <c r="R362"/>
  <c r="S362" s="1"/>
  <c r="R364"/>
  <c r="S364" s="1"/>
  <c r="R366"/>
  <c r="S366" s="1"/>
  <c r="R368"/>
  <c r="S368" s="1"/>
  <c r="R370"/>
  <c r="S370" s="1"/>
  <c r="R372"/>
  <c r="S372" s="1"/>
  <c r="R374"/>
  <c r="S374" s="1"/>
  <c r="R376"/>
  <c r="S376" s="1"/>
  <c r="R378"/>
  <c r="S378" s="1"/>
  <c r="R133"/>
  <c r="S133" s="1"/>
  <c r="R135"/>
  <c r="S135" s="1"/>
  <c r="R137"/>
  <c r="S137" s="1"/>
  <c r="R139"/>
  <c r="S139" s="1"/>
  <c r="R141"/>
  <c r="S141" s="1"/>
  <c r="R143"/>
  <c r="S143" s="1"/>
  <c r="R145"/>
  <c r="S145" s="1"/>
  <c r="R147"/>
  <c r="S147" s="1"/>
  <c r="R149"/>
  <c r="S149" s="1"/>
  <c r="R151"/>
  <c r="S151" s="1"/>
  <c r="R153"/>
  <c r="S153" s="1"/>
  <c r="R155"/>
  <c r="S155" s="1"/>
  <c r="R157"/>
  <c r="S157" s="1"/>
  <c r="R159"/>
  <c r="S159" s="1"/>
  <c r="R161"/>
  <c r="S161" s="1"/>
  <c r="R163"/>
  <c r="S163" s="1"/>
  <c r="R165"/>
  <c r="S165" s="1"/>
  <c r="R167"/>
  <c r="S167" s="1"/>
  <c r="R169"/>
  <c r="S169" s="1"/>
  <c r="R171"/>
  <c r="S171" s="1"/>
  <c r="R173"/>
  <c r="S173" s="1"/>
  <c r="R175"/>
  <c r="S175" s="1"/>
  <c r="R177"/>
  <c r="S177" s="1"/>
  <c r="R179"/>
  <c r="S179" s="1"/>
  <c r="R181"/>
  <c r="S181" s="1"/>
  <c r="R183"/>
  <c r="S183" s="1"/>
  <c r="R185"/>
  <c r="S185" s="1"/>
  <c r="R187"/>
  <c r="S187" s="1"/>
  <c r="R189"/>
  <c r="S189" s="1"/>
  <c r="R191"/>
  <c r="S191" s="1"/>
  <c r="R193"/>
  <c r="S193" s="1"/>
  <c r="R195"/>
  <c r="S195" s="1"/>
  <c r="R197"/>
  <c r="S197" s="1"/>
  <c r="R199"/>
  <c r="S199" s="1"/>
  <c r="R201"/>
  <c r="S201" s="1"/>
  <c r="R203"/>
  <c r="S203" s="1"/>
  <c r="R205"/>
  <c r="S205" s="1"/>
  <c r="R207"/>
  <c r="S207" s="1"/>
  <c r="R209"/>
  <c r="S209" s="1"/>
  <c r="R211"/>
  <c r="S211" s="1"/>
  <c r="R213"/>
  <c r="S213" s="1"/>
  <c r="R215"/>
  <c r="S215" s="1"/>
  <c r="R217"/>
  <c r="S217" s="1"/>
  <c r="R219"/>
  <c r="S219" s="1"/>
  <c r="R221"/>
  <c r="S221" s="1"/>
  <c r="R223"/>
  <c r="S223" s="1"/>
  <c r="R225"/>
  <c r="S225" s="1"/>
  <c r="R227"/>
  <c r="S227" s="1"/>
  <c r="R229"/>
  <c r="S229" s="1"/>
  <c r="R231"/>
  <c r="S231" s="1"/>
  <c r="R233"/>
  <c r="S233" s="1"/>
  <c r="R235"/>
  <c r="S235" s="1"/>
  <c r="R237"/>
  <c r="S237" s="1"/>
  <c r="R239"/>
  <c r="S239" s="1"/>
  <c r="R241"/>
  <c r="S241" s="1"/>
  <c r="R243"/>
  <c r="S243" s="1"/>
  <c r="R245"/>
  <c r="S245" s="1"/>
  <c r="R247"/>
  <c r="S247" s="1"/>
  <c r="R249"/>
  <c r="S249" s="1"/>
  <c r="R251"/>
  <c r="S251" s="1"/>
  <c r="R253"/>
  <c r="S253" s="1"/>
  <c r="R255"/>
  <c r="S255" s="1"/>
  <c r="R257"/>
  <c r="S257" s="1"/>
  <c r="R259"/>
  <c r="S259" s="1"/>
  <c r="R261"/>
  <c r="S261" s="1"/>
  <c r="R263"/>
  <c r="S263" s="1"/>
  <c r="R265"/>
  <c r="S265" s="1"/>
  <c r="R267"/>
  <c r="S267" s="1"/>
  <c r="R269"/>
  <c r="S269" s="1"/>
  <c r="R271"/>
  <c r="S271" s="1"/>
  <c r="R273"/>
  <c r="S273" s="1"/>
  <c r="R275"/>
  <c r="S275" s="1"/>
  <c r="R277"/>
  <c r="S277" s="1"/>
  <c r="R279"/>
  <c r="S279" s="1"/>
  <c r="R281"/>
  <c r="S281" s="1"/>
  <c r="R283"/>
  <c r="S283" s="1"/>
  <c r="R285"/>
  <c r="S285" s="1"/>
  <c r="R287"/>
  <c r="S287" s="1"/>
  <c r="R289"/>
  <c r="S289" s="1"/>
  <c r="R291"/>
  <c r="S291" s="1"/>
  <c r="R293"/>
  <c r="S293" s="1"/>
  <c r="R295"/>
  <c r="S295" s="1"/>
  <c r="R297"/>
  <c r="S297" s="1"/>
  <c r="R299"/>
  <c r="S299" s="1"/>
  <c r="R301"/>
  <c r="S301" s="1"/>
  <c r="R303"/>
  <c r="S303" s="1"/>
  <c r="R305"/>
  <c r="S305" s="1"/>
  <c r="R307"/>
  <c r="S307" s="1"/>
  <c r="R309"/>
  <c r="S309" s="1"/>
  <c r="R311"/>
  <c r="S311" s="1"/>
  <c r="R313"/>
  <c r="S313" s="1"/>
  <c r="R315"/>
  <c r="S315" s="1"/>
  <c r="R317"/>
  <c r="S317" s="1"/>
  <c r="R319"/>
  <c r="S319" s="1"/>
  <c r="R321"/>
  <c r="S321" s="1"/>
  <c r="R323"/>
  <c r="S323" s="1"/>
  <c r="R325"/>
  <c r="S325" s="1"/>
  <c r="R327"/>
  <c r="S327" s="1"/>
  <c r="R329"/>
  <c r="S329" s="1"/>
  <c r="R331"/>
  <c r="S331" s="1"/>
  <c r="R333"/>
  <c r="S333" s="1"/>
  <c r="R335"/>
  <c r="S335" s="1"/>
  <c r="R337"/>
  <c r="S337" s="1"/>
  <c r="R339"/>
  <c r="S339" s="1"/>
  <c r="R341"/>
  <c r="S341" s="1"/>
  <c r="R343"/>
  <c r="S343" s="1"/>
  <c r="R345"/>
  <c r="S345" s="1"/>
  <c r="R347"/>
  <c r="S347" s="1"/>
  <c r="R349"/>
  <c r="S349" s="1"/>
  <c r="R351"/>
  <c r="S351" s="1"/>
  <c r="R353"/>
  <c r="S353" s="1"/>
  <c r="R355"/>
  <c r="S355" s="1"/>
  <c r="R357"/>
  <c r="S357" s="1"/>
  <c r="R359"/>
  <c r="S359" s="1"/>
  <c r="R361"/>
  <c r="S361" s="1"/>
  <c r="R363"/>
  <c r="S363" s="1"/>
  <c r="R365"/>
  <c r="S365" s="1"/>
  <c r="R367"/>
  <c r="S367" s="1"/>
  <c r="R369"/>
  <c r="S369" s="1"/>
  <c r="R371"/>
  <c r="S371" s="1"/>
  <c r="R373"/>
  <c r="S373" s="1"/>
  <c r="R375"/>
  <c r="S375" s="1"/>
  <c r="R377"/>
  <c r="S377" s="1"/>
  <c r="S24"/>
  <c r="R128"/>
  <c r="S128" s="1"/>
  <c r="R124"/>
  <c r="S124" s="1"/>
  <c r="R120"/>
  <c r="S120" s="1"/>
  <c r="R116"/>
  <c r="S116" s="1"/>
  <c r="R112"/>
  <c r="S112" s="1"/>
  <c r="R108"/>
  <c r="S108" s="1"/>
  <c r="R104"/>
  <c r="S104" s="1"/>
  <c r="R100"/>
  <c r="S100" s="1"/>
  <c r="R96"/>
  <c r="S96" s="1"/>
  <c r="R92"/>
  <c r="S92" s="1"/>
  <c r="R88"/>
  <c r="S88" s="1"/>
  <c r="R84"/>
  <c r="S84" s="1"/>
  <c r="R80"/>
  <c r="S80" s="1"/>
  <c r="R76"/>
  <c r="S76" s="1"/>
  <c r="R72"/>
  <c r="S72" s="1"/>
  <c r="R68"/>
  <c r="S68" s="1"/>
  <c r="R64"/>
  <c r="S64" s="1"/>
  <c r="R60"/>
  <c r="S60" s="1"/>
  <c r="R56"/>
  <c r="S56" s="1"/>
  <c r="R52"/>
  <c r="S52" s="1"/>
  <c r="R48"/>
  <c r="S48" s="1"/>
  <c r="R44"/>
  <c r="S44" s="1"/>
  <c r="R40"/>
  <c r="S40" s="1"/>
  <c r="R36"/>
  <c r="S36" s="1"/>
  <c r="R32"/>
  <c r="S32" s="1"/>
  <c r="R28"/>
  <c r="S28" s="1"/>
  <c r="R131"/>
  <c r="S131" s="1"/>
  <c r="R127"/>
  <c r="S127" s="1"/>
  <c r="R123"/>
  <c r="S123" s="1"/>
  <c r="R119"/>
  <c r="S119" s="1"/>
  <c r="R115"/>
  <c r="S115" s="1"/>
  <c r="R111"/>
  <c r="S111" s="1"/>
  <c r="R107"/>
  <c r="S107" s="1"/>
  <c r="R103"/>
  <c r="S103" s="1"/>
  <c r="R99"/>
  <c r="S99" s="1"/>
  <c r="R95"/>
  <c r="S95" s="1"/>
  <c r="R91"/>
  <c r="S91" s="1"/>
  <c r="R87"/>
  <c r="S87" s="1"/>
  <c r="R83"/>
  <c r="S83" s="1"/>
  <c r="R79"/>
  <c r="S79" s="1"/>
  <c r="R75"/>
  <c r="S75" s="1"/>
  <c r="R71"/>
  <c r="S71" s="1"/>
  <c r="R67"/>
  <c r="S67" s="1"/>
  <c r="R63"/>
  <c r="S63" s="1"/>
  <c r="R59"/>
  <c r="S59" s="1"/>
  <c r="R55"/>
  <c r="S55" s="1"/>
  <c r="R51"/>
  <c r="S51" s="1"/>
  <c r="R47"/>
  <c r="S47" s="1"/>
  <c r="R43"/>
  <c r="S43" s="1"/>
  <c r="R39"/>
  <c r="S39" s="1"/>
  <c r="R35"/>
  <c r="S35" s="1"/>
  <c r="R31"/>
  <c r="S31" s="1"/>
  <c r="R27"/>
  <c r="S27" s="1"/>
  <c r="R130"/>
  <c r="S130" s="1"/>
  <c r="R126"/>
  <c r="S126" s="1"/>
  <c r="R122"/>
  <c r="S122" s="1"/>
  <c r="R118"/>
  <c r="S118" s="1"/>
  <c r="R114"/>
  <c r="S114" s="1"/>
  <c r="R110"/>
  <c r="S110" s="1"/>
  <c r="R106"/>
  <c r="S106" s="1"/>
  <c r="R102"/>
  <c r="S102" s="1"/>
  <c r="R98"/>
  <c r="S98" s="1"/>
  <c r="R94"/>
  <c r="S94" s="1"/>
  <c r="R90"/>
  <c r="S90" s="1"/>
  <c r="R86"/>
  <c r="S86" s="1"/>
  <c r="R82"/>
  <c r="S82" s="1"/>
  <c r="R78"/>
  <c r="S78" s="1"/>
  <c r="R74"/>
  <c r="S74" s="1"/>
  <c r="R70"/>
  <c r="S70" s="1"/>
  <c r="R66"/>
  <c r="S66" s="1"/>
  <c r="R62"/>
  <c r="S62" s="1"/>
  <c r="R58"/>
  <c r="S58" s="1"/>
  <c r="R54"/>
  <c r="S54" s="1"/>
  <c r="R50"/>
  <c r="S50" s="1"/>
  <c r="R46"/>
  <c r="S46" s="1"/>
  <c r="R42"/>
  <c r="S42" s="1"/>
  <c r="R38"/>
  <c r="S38" s="1"/>
  <c r="R34"/>
  <c r="S34" s="1"/>
  <c r="R30"/>
  <c r="S30" s="1"/>
  <c r="R26"/>
  <c r="S26" s="1"/>
  <c r="R129"/>
  <c r="S129" s="1"/>
  <c r="R125"/>
  <c r="S125" s="1"/>
  <c r="R121"/>
  <c r="S121" s="1"/>
  <c r="R117"/>
  <c r="S117" s="1"/>
  <c r="R113"/>
  <c r="S113" s="1"/>
  <c r="R109"/>
  <c r="S109" s="1"/>
  <c r="R105"/>
  <c r="S105" s="1"/>
  <c r="R101"/>
  <c r="S101" s="1"/>
  <c r="R97"/>
  <c r="S97" s="1"/>
  <c r="R93"/>
  <c r="S93" s="1"/>
  <c r="R89"/>
  <c r="S89" s="1"/>
  <c r="R85"/>
  <c r="S85" s="1"/>
  <c r="R81"/>
  <c r="S81" s="1"/>
  <c r="R77"/>
  <c r="S77" s="1"/>
  <c r="R73"/>
  <c r="S73" s="1"/>
  <c r="R69"/>
  <c r="S69" s="1"/>
  <c r="R65"/>
  <c r="S65" s="1"/>
  <c r="R61"/>
  <c r="S61" s="1"/>
  <c r="R57"/>
  <c r="S57" s="1"/>
  <c r="R53"/>
  <c r="S53" s="1"/>
  <c r="R49"/>
  <c r="S49" s="1"/>
  <c r="R45"/>
  <c r="S45" s="1"/>
  <c r="R41"/>
  <c r="S41" s="1"/>
  <c r="R37"/>
  <c r="S37" s="1"/>
  <c r="R33"/>
  <c r="S33" s="1"/>
  <c r="R29"/>
  <c r="S29" s="1"/>
  <c r="R25"/>
  <c r="S25" s="1"/>
  <c r="C48" i="39"/>
  <c r="C47"/>
  <c r="E51"/>
  <c r="F51" s="1"/>
  <c r="E52"/>
  <c r="F52" s="1"/>
  <c r="I52"/>
  <c r="J52" s="1"/>
  <c r="S22" i="31" l="1"/>
  <c r="B61" i="39"/>
  <c r="F61" s="1"/>
  <c r="B60"/>
  <c r="F60" s="1"/>
  <c r="B56"/>
  <c r="F56" s="1"/>
  <c r="B58"/>
  <c r="F58" s="1"/>
  <c r="B59"/>
  <c r="F59" s="1"/>
  <c r="B64"/>
  <c r="F64" s="1"/>
  <c r="B65"/>
  <c r="F65" s="1"/>
  <c r="B57"/>
  <c r="F57" s="1"/>
  <c r="B63"/>
  <c r="F63" s="1"/>
  <c r="B62"/>
  <c r="F62" s="1"/>
  <c r="F117" i="78" l="1"/>
  <c r="F122" s="1"/>
  <c r="X22" i="31"/>
  <c r="Y22" s="1"/>
  <c r="L117" i="78"/>
  <c r="R22" i="31"/>
  <c r="B20"/>
  <c r="F66" i="39"/>
  <c r="B2" s="1"/>
  <c r="B3" s="1"/>
  <c r="D35" i="9"/>
  <c r="D15" i="74" l="1"/>
  <c r="G15" s="1"/>
  <c r="F15"/>
  <c r="E15"/>
  <c r="B21" i="31"/>
  <c r="G117" i="78"/>
  <c r="C35" i="9"/>
  <c r="C34" l="1"/>
  <c r="H112" l="1"/>
  <c r="D21" i="53" s="1"/>
  <c r="B39" i="72" s="1"/>
  <c r="H111" i="9"/>
  <c r="D126" s="1"/>
  <c r="D19" i="53"/>
  <c r="D59" i="9"/>
  <c r="M55"/>
  <c r="B38" i="72" l="1"/>
  <c r="D20" i="53"/>
  <c r="B40" i="72" s="1"/>
  <c r="I14" i="74"/>
  <c r="B8" s="1"/>
  <c r="D127" i="9"/>
  <c r="D13" i="52" s="1"/>
  <c r="D12"/>
  <c r="F118" i="9"/>
  <c r="G118" s="1"/>
  <c r="G4" i="52" s="1"/>
  <c r="D118" i="9"/>
  <c r="D119" s="1"/>
  <c r="D5" i="52" s="1"/>
  <c r="H118" i="9"/>
  <c r="C104" s="1"/>
  <c r="B49" i="72" l="1"/>
  <c r="B52"/>
  <c r="D8" i="74"/>
  <c r="C8"/>
  <c r="H101" i="9"/>
  <c r="M48" s="1"/>
  <c r="I118"/>
  <c r="C105" s="1"/>
  <c r="H119"/>
  <c r="H5" i="52" s="1"/>
  <c r="F4"/>
  <c r="F119" i="9"/>
  <c r="F5" i="52" s="1"/>
  <c r="D14" i="74"/>
  <c r="H4" i="52"/>
  <c r="D4"/>
  <c r="H107" i="9"/>
  <c r="M49" s="1"/>
  <c r="B53" i="72" l="1"/>
  <c r="B47"/>
  <c r="B51"/>
  <c r="L68" i="9"/>
  <c r="M68" s="1"/>
  <c r="L65"/>
  <c r="M65" s="1"/>
  <c r="L64"/>
  <c r="M64" s="1"/>
  <c r="L67"/>
  <c r="M67" s="1"/>
  <c r="L63"/>
  <c r="M63" s="1"/>
  <c r="L66"/>
  <c r="M66" s="1"/>
  <c r="D45"/>
  <c r="D53" s="1"/>
  <c r="I4" i="52"/>
  <c r="D5" i="53"/>
  <c r="H102" i="9"/>
  <c r="D7" i="53" s="1"/>
  <c r="E118" i="9"/>
  <c r="E4" i="52" s="1"/>
  <c r="D122" i="9"/>
  <c r="H108"/>
  <c r="D15" i="53" s="1"/>
  <c r="D13"/>
  <c r="E14" i="74"/>
  <c r="B5"/>
  <c r="F14"/>
  <c r="B31" i="72" l="1"/>
  <c r="B48"/>
  <c r="B20"/>
  <c r="B21"/>
  <c r="M69" i="9"/>
  <c r="N69" s="1"/>
  <c r="C93"/>
  <c r="C86" s="1"/>
  <c r="D52"/>
  <c r="C78"/>
  <c r="C73" s="1"/>
  <c r="C85"/>
  <c r="C72"/>
  <c r="D55"/>
  <c r="M53" s="1"/>
  <c r="C64"/>
  <c r="C63" s="1"/>
  <c r="D6" i="53"/>
  <c r="D5" i="74"/>
  <c r="C5"/>
  <c r="D14" i="53"/>
  <c r="B30" i="72"/>
  <c r="G14" i="74"/>
  <c r="B6" s="1"/>
  <c r="D123" i="9"/>
  <c r="D9" i="52" s="1"/>
  <c r="D8"/>
  <c r="B22" i="72" l="1"/>
  <c r="B32"/>
  <c r="C95" i="9"/>
  <c r="C67"/>
  <c r="C68" s="1"/>
  <c r="D54" s="1"/>
  <c r="C79"/>
  <c r="D6" i="74"/>
  <c r="C6"/>
  <c r="C96" i="9" l="1"/>
  <c r="E96" s="1"/>
  <c r="E97" s="1"/>
  <c r="C80"/>
  <c r="E80" s="1"/>
  <c r="E81" s="1"/>
  <c r="C81" l="1"/>
  <c r="C97"/>
  <c r="D58" s="1"/>
  <c r="D56" s="1"/>
  <c r="M54" s="1"/>
  <c r="N57" s="1"/>
  <c r="N58" l="1"/>
  <c r="N59"/>
  <c r="P57"/>
  <c r="AD3" i="71"/>
  <c r="P21" i="43" s="1"/>
  <c r="N61" i="9" l="1"/>
  <c r="N60"/>
  <c r="P22" i="43"/>
  <c r="P2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<sst xmlns="http://schemas.openxmlformats.org/spreadsheetml/2006/main" count="8883" uniqueCount="3628">
  <si>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</si>
  <si>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</si>
  <si>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</si>
  <si>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</si>
  <si>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</si>
  <si>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</si>
  <si>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</si>
  <si>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</si>
  <si>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</si>
  <si>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</si>
  <si>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</si>
  <si>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</si>
  <si>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</si>
  <si>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</si>
  <si>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</si>
  <si>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</si>
  <si>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</si>
  <si>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</si>
  <si>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</si>
  <si>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</si>
  <si>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</si>
  <si>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</si>
  <si>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</si>
  <si>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</si>
  <si>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</si>
  <si>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</si>
  <si>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</si>
  <si>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</si>
  <si>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</si>
  <si>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</si>
  <si>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</si>
  <si>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</si>
  <si>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</si>
  <si>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</si>
  <si>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</si>
  <si>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</si>
  <si>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</si>
  <si>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</si>
  <si>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</si>
  <si>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</si>
  <si>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</si>
  <si>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</si>
  <si>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</si>
  <si>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</si>
  <si>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</si>
  <si>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</si>
  <si>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</si>
  <si>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</si>
  <si>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</si>
  <si>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</si>
  <si>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</si>
  <si>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</si>
  <si>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</si>
  <si>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</si>
  <si>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</si>
  <si>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</si>
  <si>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</si>
  <si>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</si>
  <si>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</si>
  <si>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</si>
  <si>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</si>
  <si>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</si>
  <si>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</si>
  <si>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</si>
  <si>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</si>
  <si>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</si>
  <si>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</si>
  <si>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</si>
  <si>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</si>
  <si>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</si>
  <si>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</si>
  <si>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</si>
  <si>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</si>
  <si>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</si>
  <si>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</si>
  <si>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</si>
  <si>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</si>
  <si>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</si>
  <si>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</si>
  <si>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</si>
  <si>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</si>
  <si>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</si>
  <si>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</si>
  <si>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</si>
  <si>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</si>
  <si>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</si>
  <si>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</si>
  <si>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</si>
  <si>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</si>
  <si>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</si>
  <si>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</si>
  <si>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</si>
  <si>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</si>
  <si>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</si>
  <si>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</si>
  <si>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</si>
  <si>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</si>
  <si>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</si>
  <si>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</si>
  <si>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</si>
  <si>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</si>
  <si>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</si>
  <si>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</si>
  <si>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</si>
  <si>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</si>
  <si>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</si>
  <si>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</si>
  <si>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</si>
  <si>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</si>
  <si>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</si>
  <si>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</si>
  <si>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</si>
  <si>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</si>
  <si>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</si>
  <si>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</si>
  <si>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</si>
  <si>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</si>
  <si>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</si>
  <si>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</si>
  <si>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</si>
  <si>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</si>
  <si>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</si>
  <si>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</si>
  <si>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</si>
  <si>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</si>
  <si>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</si>
  <si>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</si>
  <si>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</si>
  <si>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</si>
  <si>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</si>
  <si>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</si>
  <si>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</si>
  <si>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</si>
  <si>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</si>
  <si>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</si>
  <si>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</si>
  <si>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</si>
  <si>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</si>
  <si>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</si>
  <si>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</si>
  <si>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</si>
  <si>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</si>
  <si>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</si>
  <si>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</si>
  <si>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</si>
  <si>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</si>
  <si>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</si>
  <si>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</si>
  <si>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</si>
  <si>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</si>
  <si>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</si>
  <si>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</si>
  <si>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</si>
  <si>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</si>
  <si>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</si>
  <si>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</si>
  <si>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</si>
  <si>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</si>
  <si>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</si>
  <si>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</si>
  <si>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</si>
  <si>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</si>
  <si>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</si>
  <si>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</si>
  <si>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</si>
  <si>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</si>
  <si>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</si>
  <si>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</si>
  <si>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</si>
  <si>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</si>
  <si>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</si>
  <si>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</si>
  <si>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</si>
  <si>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</si>
  <si>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</si>
  <si>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</si>
  <si>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</si>
  <si>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</si>
  <si>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</si>
  <si>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</si>
  <si>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</si>
  <si>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</si>
  <si>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</si>
  <si>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</si>
  <si>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</si>
  <si>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</si>
  <si>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</si>
  <si>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</si>
  <si>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</si>
  <si>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</si>
  <si>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</si>
  <si>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</si>
  <si>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</si>
  <si>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</si>
  <si>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</si>
  <si>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</si>
  <si>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</si>
  <si>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</si>
  <si>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</si>
  <si>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</si>
  <si>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</si>
  <si>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</si>
  <si>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</si>
  <si>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</si>
  <si>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</si>
  <si>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</si>
  <si>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</si>
  <si>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</si>
  <si>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</si>
  <si>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</si>
  <si>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</si>
  <si>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</si>
  <si>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</si>
  <si>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</si>
  <si>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</si>
  <si>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</si>
  <si>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</si>
  <si>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</si>
  <si>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</si>
  <si>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</si>
  <si>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</si>
  <si>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</si>
  <si>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</si>
  <si>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</si>
  <si>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</si>
  <si>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</si>
  <si>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</si>
  <si>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</si>
  <si>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</si>
  <si>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</si>
  <si>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</si>
  <si>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</si>
  <si>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</si>
  <si>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</si>
  <si>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</si>
  <si>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</si>
  <si>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</si>
  <si>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</si>
  <si>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</si>
  <si>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</si>
  <si>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</si>
  <si>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</si>
  <si>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</si>
  <si>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</si>
  <si>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</si>
  <si>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</si>
  <si>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</si>
  <si>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</si>
  <si>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</si>
  <si>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</si>
  <si>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</si>
  <si>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</si>
  <si>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</si>
  <si>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</si>
  <si>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</si>
  <si>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</si>
  <si>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</si>
  <si>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</si>
  <si>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</si>
  <si>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</si>
  <si>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</si>
  <si>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</si>
  <si>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</si>
  <si>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</si>
  <si>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</si>
  <si>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</si>
  <si>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</si>
  <si>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</si>
  <si>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</si>
  <si>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</si>
  <si>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</si>
  <si>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</si>
  <si>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</si>
  <si>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</si>
  <si>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</si>
  <si>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</si>
  <si>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</si>
  <si>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</si>
  <si>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</si>
  <si>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</si>
  <si>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</si>
  <si>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</si>
  <si>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</si>
  <si>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</si>
  <si>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</si>
  <si>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</si>
  <si>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</si>
  <si>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</si>
  <si>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</si>
  <si>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</si>
  <si>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</si>
  <si>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</si>
  <si>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</si>
  <si>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</si>
  <si>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</si>
  <si>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</si>
  <si>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</si>
  <si>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</si>
  <si>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</si>
  <si>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</si>
  <si>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</si>
  <si>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</si>
  <si>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</si>
  <si>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</si>
  <si>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</si>
  <si>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</si>
  <si>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</si>
  <si>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</si>
  <si>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</si>
  <si>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</si>
  <si>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</si>
  <si>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</si>
  <si>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</si>
  <si>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</si>
  <si>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</si>
  <si>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</si>
  <si>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</si>
  <si>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</si>
  <si>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</si>
  <si>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</si>
  <si>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</si>
  <si>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</si>
  <si>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</si>
  <si>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</si>
  <si>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</si>
  <si>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</si>
  <si>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</si>
  <si>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</si>
  <si>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</si>
  <si>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</si>
  <si>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</si>
  <si>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</si>
  <si>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</si>
  <si>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</si>
  <si>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</si>
  <si>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</si>
  <si>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</si>
  <si>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</si>
  <si>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</si>
  <si>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</si>
  <si>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</si>
  <si>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</si>
  <si>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</si>
  <si>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</si>
  <si>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</si>
  <si>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</si>
  <si>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</si>
  <si>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</si>
  <si>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</si>
  <si>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</si>
  <si>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</si>
  <si>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</si>
  <si>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</si>
  <si>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</si>
  <si>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</si>
  <si>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</si>
  <si>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</si>
  <si>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</si>
  <si>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</si>
  <si>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</si>
  <si>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</si>
  <si>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</si>
  <si>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</si>
  <si>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</si>
  <si>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</si>
  <si>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</si>
  <si>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</si>
  <si>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</si>
  <si>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</si>
  <si>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</si>
  <si>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</si>
  <si>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</si>
  <si>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</si>
  <si>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</si>
  <si>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</si>
  <si>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</si>
  <si>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</si>
  <si>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</si>
  <si>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</si>
  <si>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</si>
  <si>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</si>
  <si>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</si>
  <si>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</si>
  <si>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</si>
  <si>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</si>
  <si>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</si>
  <si>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</si>
  <si>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</si>
  <si>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</si>
  <si>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</si>
  <si>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</si>
  <si>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</si>
  <si>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</si>
  <si>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</si>
  <si>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</si>
  <si>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</si>
  <si>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</si>
  <si>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</si>
  <si>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</si>
  <si>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</si>
  <si>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</si>
  <si>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</si>
  <si>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</si>
  <si>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</si>
  <si>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</si>
  <si>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</si>
  <si>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</si>
  <si>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</si>
  <si>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</si>
  <si>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</si>
  <si>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</si>
  <si>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</si>
  <si>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</si>
  <si>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</si>
  <si>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</si>
  <si>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</si>
  <si>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</si>
  <si>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</si>
  <si>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</si>
  <si>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</si>
  <si>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</si>
  <si>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</si>
  <si>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</si>
  <si>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</si>
  <si>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</si>
  <si>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</si>
  <si>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</si>
  <si>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</si>
  <si>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</si>
  <si>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</si>
  <si>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</si>
  <si>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</si>
  <si>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</si>
  <si>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</si>
  <si>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</si>
  <si>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</si>
  <si>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</si>
  <si>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</si>
  <si>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</si>
  <si>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</si>
  <si>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</si>
  <si>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</si>
  <si>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</si>
  <si>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</si>
  <si>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</si>
  <si>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</si>
  <si>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</si>
  <si>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</si>
  <si>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</si>
  <si>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</si>
  <si>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</si>
  <si>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</si>
  <si>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</si>
  <si>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</si>
  <si>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</si>
  <si>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</si>
  <si>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</si>
  <si>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</si>
  <si>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</si>
  <si>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</si>
  <si>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</si>
  <si>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</si>
  <si>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</si>
  <si>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</si>
  <si>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</si>
  <si>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</si>
  <si>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</si>
  <si>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</si>
  <si>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</si>
  <si>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</si>
  <si>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</si>
  <si>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</si>
  <si>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</si>
  <si>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</si>
  <si>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</si>
  <si>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</si>
  <si>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</si>
  <si>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</si>
  <si>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</si>
  <si>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</si>
  <si>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</si>
  <si>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</si>
  <si>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</si>
  <si>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</si>
  <si>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</si>
  <si>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</si>
  <si>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</si>
  <si>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</si>
  <si>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</si>
  <si>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</si>
  <si>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</si>
  <si>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</si>
  <si>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</si>
  <si>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</si>
  <si>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</si>
  <si>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</si>
  <si>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</si>
  <si>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</si>
  <si>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</si>
  <si>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</si>
  <si>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</si>
  <si>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</si>
  <si>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</si>
  <si>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</si>
  <si>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</si>
  <si>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</si>
  <si>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</si>
  <si>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</si>
  <si>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</si>
  <si>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</si>
  <si>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</si>
  <si>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</si>
  <si>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</si>
  <si>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</si>
  <si>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</si>
  <si>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</si>
  <si>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</si>
  <si>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</si>
  <si>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</si>
  <si>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</si>
  <si>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</si>
  <si>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</si>
  <si>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</si>
  <si>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</si>
  <si>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</si>
  <si>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</si>
  <si>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</si>
  <si>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</si>
  <si>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</si>
  <si>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</si>
  <si>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</si>
  <si>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</si>
  <si>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</si>
  <si>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</si>
  <si>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</si>
  <si>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</si>
  <si>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</si>
  <si>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</si>
  <si>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</si>
  <si>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</si>
  <si>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</si>
  <si>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</si>
  <si>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</si>
  <si>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</si>
  <si>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</si>
  <si>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</si>
  <si>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</si>
  <si>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</si>
  <si>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</si>
  <si>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</si>
  <si>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</si>
  <si>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</si>
  <si>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</si>
  <si>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</si>
  <si>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</si>
  <si>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</si>
  <si>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</si>
  <si>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</si>
  <si>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</si>
  <si>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</si>
  <si>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</si>
  <si>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</si>
  <si>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</si>
  <si>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</si>
  <si>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</si>
  <si>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</si>
  <si>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</si>
  <si>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</si>
  <si>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</si>
  <si>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</si>
  <si>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</si>
  <si>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</si>
  <si>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</si>
  <si>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</si>
  <si>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</si>
  <si>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</si>
  <si>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</si>
  <si>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</si>
  <si>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</si>
  <si>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</si>
  <si>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</si>
  <si>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</si>
  <si>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</si>
  <si>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</si>
  <si>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</si>
  <si>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</si>
  <si>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</si>
  <si>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</si>
  <si>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</si>
  <si>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</si>
  <si>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</si>
  <si>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</si>
  <si>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</si>
  <si>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</si>
  <si>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</si>
  <si>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</si>
  <si>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</si>
  <si>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</si>
  <si>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</si>
  <si>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</si>
  <si>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</si>
  <si>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</si>
  <si>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</si>
  <si>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</si>
  <si>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</si>
  <si>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</si>
  <si>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</si>
  <si>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</si>
  <si>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</si>
  <si>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</si>
  <si>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</si>
  <si>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</si>
  <si>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</si>
  <si>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</si>
  <si>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</si>
  <si>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</si>
  <si>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</si>
  <si>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</si>
  <si>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</si>
  <si>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</si>
  <si>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</si>
  <si>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</si>
  <si>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</si>
  <si>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</si>
  <si>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</si>
  <si>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</si>
  <si>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</si>
  <si>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</si>
  <si>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</si>
  <si>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</si>
  <si>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</si>
  <si>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</si>
  <si>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</si>
  <si>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</si>
  <si>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</si>
  <si>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</si>
  <si>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</si>
  <si>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</si>
  <si>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</si>
  <si>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</si>
  <si>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</si>
  <si>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</si>
  <si>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</si>
  <si>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</si>
  <si>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</si>
  <si>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</si>
  <si>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</si>
  <si>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</si>
  <si>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</si>
  <si>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</si>
  <si>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</si>
  <si>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</si>
  <si>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</si>
  <si>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</si>
  <si>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</si>
  <si>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</si>
  <si>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</si>
  <si>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</si>
  <si>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</si>
  <si>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</si>
  <si>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</si>
  <si>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</si>
  <si>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</si>
  <si>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</si>
  <si>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</si>
  <si>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</si>
  <si>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</si>
  <si>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</si>
  <si>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</si>
  <si>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</si>
  <si>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</si>
  <si>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</si>
  <si>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</si>
  <si>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</si>
  <si>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</si>
  <si>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</si>
  <si>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</si>
  <si>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</si>
  <si>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</si>
  <si>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</si>
  <si>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</si>
  <si>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</si>
  <si>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</si>
  <si>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</si>
  <si>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</si>
  <si>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</si>
  <si>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</si>
  <si>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</si>
  <si>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</si>
  <si>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</si>
  <si>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</si>
  <si>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</si>
  <si>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</si>
  <si>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</si>
  <si>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</si>
  <si>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</si>
  <si>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</si>
  <si>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</si>
  <si>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</si>
  <si>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</si>
  <si>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</si>
  <si>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</si>
  <si>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</si>
  <si>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</si>
  <si>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</si>
  <si>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</si>
  <si>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</si>
  <si>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</si>
  <si>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</si>
  <si>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</si>
  <si>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</si>
  <si>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</si>
  <si>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</si>
  <si>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</si>
  <si>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</si>
  <si>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</si>
  <si>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</si>
  <si>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</si>
  <si>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</si>
  <si>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</si>
  <si>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</si>
  <si>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</si>
  <si>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</si>
  <si>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</si>
  <si>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</si>
  <si>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</si>
  <si>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</si>
  <si>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</si>
  <si>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</si>
  <si>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</si>
  <si>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</si>
  <si>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</si>
  <si>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</si>
  <si>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</si>
  <si>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</si>
  <si>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</si>
  <si>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</si>
  <si>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</si>
  <si>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</si>
  <si>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</si>
  <si>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</si>
  <si>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</si>
  <si>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</si>
  <si>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</si>
  <si>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</si>
  <si>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</si>
  <si>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</si>
  <si>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</si>
  <si>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</si>
  <si>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</si>
  <si>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</si>
  <si>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</si>
  <si>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</si>
  <si>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</si>
  <si>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</si>
  <si>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</si>
  <si>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</si>
  <si>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</si>
  <si>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</si>
  <si>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</si>
  <si>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</si>
  <si>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</si>
  <si>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</si>
  <si>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</si>
  <si>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</si>
  <si>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</si>
  <si>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</si>
  <si>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</si>
  <si>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</si>
  <si>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</si>
  <si>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</si>
  <si>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</si>
  <si>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</si>
  <si>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</si>
  <si>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</si>
  <si>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</si>
  <si>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</si>
  <si>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</si>
  <si>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</si>
  <si>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</si>
  <si>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</si>
  <si>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</si>
  <si>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</si>
  <si>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</si>
  <si>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</si>
  <si>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</si>
  <si>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</si>
  <si>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</si>
  <si>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</si>
  <si>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</si>
  <si>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</si>
  <si>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</si>
  <si>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</si>
  <si>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</si>
  <si>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</si>
  <si>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</si>
  <si>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</si>
  <si>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</si>
  <si>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</si>
  <si>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</si>
  <si>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</si>
  <si>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</si>
  <si>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</si>
  <si>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</si>
  <si>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</si>
  <si>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</si>
  <si>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</si>
  <si>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</si>
  <si>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</si>
  <si>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</si>
  <si>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</si>
  <si>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</si>
  <si>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</si>
  <si>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</si>
  <si>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</si>
  <si>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</si>
  <si>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</si>
  <si>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</si>
  <si>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</si>
  <si>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</si>
  <si>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</si>
  <si>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</si>
  <si>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</si>
  <si>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</si>
  <si>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</si>
  <si>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</si>
  <si>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</si>
  <si>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</si>
  <si>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</si>
  <si>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</si>
  <si>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</si>
  <si>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</si>
  <si>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</si>
  <si>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</si>
  <si>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</si>
  <si>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</si>
  <si>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</si>
  <si>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</si>
  <si>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</si>
  <si>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</si>
  <si>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</si>
  <si>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</si>
  <si>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</si>
  <si>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</si>
  <si>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</si>
  <si>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</si>
  <si>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</si>
  <si>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</si>
  <si>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</si>
  <si>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</si>
  <si>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</si>
  <si>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</si>
  <si>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</si>
  <si>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</si>
  <si>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</si>
  <si>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</si>
  <si>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</si>
  <si>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</si>
  <si>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</si>
  <si>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</si>
  <si>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</si>
  <si>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</si>
  <si>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</si>
  <si>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</si>
  <si>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</si>
  <si>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</si>
  <si>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</si>
  <si>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</si>
  <si>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</si>
  <si>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</si>
  <si>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</si>
  <si>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</si>
  <si>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</si>
  <si>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</si>
  <si>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</si>
  <si>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</si>
  <si>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</si>
  <si>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</si>
  <si>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</si>
  <si>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</si>
  <si>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</si>
  <si>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</si>
  <si>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</si>
  <si>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</si>
  <si>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</si>
  <si>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</si>
  <si>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</si>
  <si>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</si>
  <si>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</si>
  <si>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</si>
  <si>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</si>
  <si>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</si>
  <si>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</si>
  <si>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</si>
  <si>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</si>
  <si>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</si>
  <si>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</si>
  <si>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</si>
  <si>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</si>
  <si>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</si>
  <si>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</si>
  <si>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</si>
  <si>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</si>
  <si>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</si>
  <si>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</si>
  <si>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</si>
  <si>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</si>
  <si>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</si>
  <si>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</si>
  <si>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</si>
  <si>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</si>
  <si>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</si>
  <si>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</si>
  <si>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</si>
  <si>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</si>
  <si>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</si>
  <si>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</si>
  <si>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</si>
  <si>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</si>
  <si>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</si>
  <si>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</si>
  <si>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</si>
  <si>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</si>
  <si>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</si>
  <si>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</si>
  <si>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</si>
  <si>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</si>
  <si>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</si>
  <si>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</si>
  <si>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</si>
  <si>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</si>
  <si>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</si>
  <si>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</si>
  <si>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</si>
  <si>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</si>
  <si>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</si>
  <si>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</si>
  <si>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</si>
  <si>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</si>
  <si>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</si>
  <si>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</si>
  <si>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</si>
  <si>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</si>
  <si>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</si>
  <si>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</si>
  <si>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</si>
  <si>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</si>
  <si>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</si>
  <si>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</si>
  <si>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</si>
  <si>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</si>
  <si>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</si>
  <si>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</si>
  <si>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</si>
  <si>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</si>
  <si>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</si>
  <si>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</si>
  <si>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</si>
  <si>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</si>
  <si>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</si>
  <si>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</si>
  <si>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</si>
  <si>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</si>
  <si>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</si>
  <si>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</si>
  <si>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</si>
  <si>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</si>
  <si>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</si>
  <si>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</si>
  <si>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</si>
  <si>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</si>
  <si>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</si>
  <si>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</si>
  <si>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</si>
  <si>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</si>
  <si>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</si>
  <si>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</si>
  <si>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</si>
  <si>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</si>
  <si>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</si>
  <si>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</si>
  <si>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</si>
  <si>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</si>
  <si>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</si>
  <si>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</si>
  <si>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</si>
  <si>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</si>
  <si>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</si>
  <si>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</si>
  <si>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</si>
  <si>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</si>
  <si>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</si>
  <si>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</si>
  <si>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</si>
  <si>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</si>
  <si>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</si>
  <si>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</si>
  <si>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</si>
  <si>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</si>
  <si>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</si>
  <si>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</si>
  <si>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</si>
  <si>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</si>
  <si>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</si>
  <si>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</si>
  <si>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</si>
  <si>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</si>
  <si>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</si>
  <si>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</si>
  <si>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</si>
  <si>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</si>
  <si>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</si>
  <si>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</si>
  <si>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</si>
  <si>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</si>
  <si>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</si>
  <si>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</si>
  <si>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</si>
  <si>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</si>
  <si>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</si>
  <si>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</si>
  <si>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</si>
  <si>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</si>
  <si>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</si>
  <si>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</si>
  <si>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</si>
  <si>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</si>
  <si>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</si>
  <si>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</si>
  <si>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</si>
  <si>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</si>
  <si>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</si>
  <si>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</si>
  <si>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</si>
  <si>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</si>
  <si>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</si>
  <si>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</si>
  <si>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</si>
  <si>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</si>
  <si>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</si>
  <si>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</si>
  <si>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</si>
  <si>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</si>
  <si>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</si>
  <si>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</si>
  <si>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</si>
  <si>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</si>
  <si>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</si>
  <si>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</si>
  <si>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</si>
  <si>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</si>
  <si>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</si>
  <si>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</si>
  <si>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</si>
  <si>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</si>
  <si>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</si>
  <si>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</si>
  <si>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</si>
  <si>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</si>
  <si>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</si>
  <si>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</si>
  <si>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</si>
  <si>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</si>
  <si>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</si>
  <si>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</si>
  <si>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</si>
  <si>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</si>
  <si>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</si>
  <si>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</si>
  <si>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</si>
  <si>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</si>
  <si>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</si>
  <si>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</si>
  <si>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</si>
  <si>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</si>
  <si>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</si>
  <si>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</si>
  <si>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</si>
  <si>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</si>
  <si>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</si>
  <si>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</si>
  <si>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</si>
  <si>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</si>
  <si>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</si>
  <si>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</si>
  <si>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</si>
  <si>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</si>
  <si>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</si>
  <si>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</si>
  <si>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</si>
  <si>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</si>
  <si>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</si>
  <si>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</si>
  <si>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</si>
  <si>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</si>
  <si>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</si>
  <si>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</si>
  <si>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</si>
  <si>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</si>
  <si>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</si>
  <si>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</si>
  <si>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</si>
  <si>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</si>
  <si>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</si>
  <si>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</si>
  <si>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</si>
  <si>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</si>
  <si>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</si>
  <si>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</si>
  <si>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</si>
  <si>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</si>
  <si>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</si>
  <si>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</si>
  <si>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</si>
  <si>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</si>
  <si>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</si>
  <si>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</si>
  <si>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</si>
  <si>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</si>
  <si>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</si>
  <si>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</si>
  <si>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</si>
  <si>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</si>
  <si>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</si>
  <si>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</si>
  <si>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</si>
  <si>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</si>
  <si>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</si>
  <si>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</si>
  <si>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</si>
  <si>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</si>
  <si>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</si>
  <si>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</si>
  <si>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</si>
  <si>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</si>
  <si>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</si>
  <si>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</si>
  <si>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</si>
  <si>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</si>
  <si>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</si>
  <si>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</si>
  <si>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</si>
  <si>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</si>
  <si>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</si>
  <si>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</si>
  <si>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</si>
  <si>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</si>
  <si>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</si>
  <si>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</si>
  <si>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</si>
  <si>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</si>
  <si>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</si>
  <si>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</si>
  <si>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</si>
  <si>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</si>
  <si>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</si>
  <si>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</si>
  <si>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</si>
  <si>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</si>
  <si>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</si>
  <si>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</si>
  <si>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</si>
  <si>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</si>
  <si>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</si>
  <si>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</si>
  <si>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</si>
  <si>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</si>
  <si>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</si>
  <si>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</si>
  <si>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</si>
  <si>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</si>
  <si>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</si>
  <si>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</si>
  <si>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</si>
  <si>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</si>
  <si>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</si>
  <si>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</si>
  <si>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</si>
  <si>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</si>
  <si>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</si>
  <si>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</si>
  <si>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</si>
  <si>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</si>
  <si>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</si>
  <si>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</si>
  <si>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</si>
  <si>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</si>
  <si>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</si>
  <si>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</si>
  <si>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</si>
  <si>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</si>
  <si>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</si>
  <si>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</si>
  <si>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</si>
  <si>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</si>
  <si>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</si>
  <si>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</si>
  <si>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</si>
  <si>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</si>
  <si>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</si>
  <si>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</si>
  <si>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</si>
  <si>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</si>
  <si>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</si>
  <si>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</si>
  <si>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</si>
  <si>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</si>
  <si>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</si>
  <si>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</si>
  <si>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</si>
  <si>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</si>
  <si>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</si>
  <si>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</si>
  <si>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</si>
  <si>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</si>
  <si>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</si>
  <si>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</si>
  <si>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</si>
  <si>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</si>
  <si>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</si>
  <si>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</si>
  <si>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</si>
  <si>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</si>
  <si>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</si>
  <si>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</si>
  <si>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</si>
  <si>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</si>
  <si>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</si>
  <si>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</si>
  <si>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</si>
  <si>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</si>
  <si>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</si>
  <si>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</si>
  <si>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</si>
  <si>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</si>
  <si>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</si>
  <si>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</si>
  <si>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</si>
  <si>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</si>
  <si>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</si>
  <si>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</si>
  <si>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</si>
  <si>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</si>
  <si>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</si>
  <si>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</si>
  <si>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</si>
  <si>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</si>
  <si>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</si>
  <si>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</si>
  <si>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</si>
  <si>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</si>
  <si>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</si>
  <si>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</si>
  <si>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</si>
  <si>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</si>
  <si>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</si>
  <si>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</si>
  <si>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</si>
  <si>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</si>
  <si>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</si>
  <si>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</si>
  <si>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</si>
  <si>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</si>
  <si>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</si>
  <si>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</si>
  <si>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</si>
  <si>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</si>
  <si>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</si>
  <si>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</si>
  <si>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</si>
  <si>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</si>
  <si>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</si>
  <si>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</si>
  <si>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</si>
  <si>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</si>
  <si>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</si>
  <si>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</si>
  <si>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</si>
  <si>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</si>
  <si>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</si>
  <si>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</si>
  <si>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</si>
  <si>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</si>
  <si>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</si>
  <si>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</si>
  <si>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</si>
  <si>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</si>
  <si>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</si>
  <si>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</si>
  <si>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</si>
  <si>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</si>
  <si>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</si>
  <si>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</si>
  <si>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</si>
  <si>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</si>
  <si>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</si>
  <si>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</si>
  <si>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</si>
  <si>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</si>
  <si>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</si>
  <si>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</si>
  <si>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</si>
  <si>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</si>
  <si>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</si>
  <si>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</si>
  <si>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</si>
  <si>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</si>
  <si>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</si>
  <si>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</si>
  <si>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</si>
  <si>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</si>
  <si>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</si>
  <si>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</si>
  <si>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</si>
  <si>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</si>
  <si>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</si>
  <si>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</si>
  <si>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</si>
  <si>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</si>
  <si>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</si>
  <si>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</si>
  <si>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</si>
  <si>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</si>
  <si>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</si>
  <si>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</si>
  <si>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</si>
  <si>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</si>
  <si>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</si>
  <si>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</si>
  <si>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</si>
  <si>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</si>
  <si>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</si>
  <si>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</si>
  <si>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</si>
  <si>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</si>
  <si>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</si>
  <si>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</si>
  <si>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</si>
  <si>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</si>
  <si>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</si>
  <si>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</si>
  <si>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</si>
  <si>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</si>
  <si>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</si>
  <si>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</si>
  <si>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</si>
  <si>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</si>
  <si>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</si>
  <si>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</si>
  <si>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</si>
  <si>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</si>
  <si>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</si>
  <si>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</si>
  <si>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</si>
  <si>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</si>
  <si>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</si>
  <si>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</si>
  <si>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</si>
  <si>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</si>
  <si>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</si>
  <si>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</si>
  <si>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</si>
  <si>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</si>
  <si>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</si>
  <si>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</si>
  <si>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</si>
  <si>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</si>
  <si>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</si>
  <si>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</si>
  <si>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</si>
  <si>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</si>
  <si>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</si>
  <si>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</si>
  <si>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</si>
  <si>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</si>
  <si>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</si>
  <si>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</si>
  <si>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</si>
  <si>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</si>
  <si>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</si>
  <si>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</si>
  <si>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</si>
  <si>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</si>
  <si>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</si>
  <si>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</si>
  <si>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</si>
  <si>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</si>
  <si>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</si>
  <si>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</si>
  <si>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</si>
  <si>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</si>
  <si>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</si>
  <si>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</si>
  <si>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</si>
  <si>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</si>
  <si>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</si>
  <si>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</si>
  <si>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</si>
  <si>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</si>
  <si>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</si>
  <si>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</si>
  <si>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</si>
  <si>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</si>
  <si>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</si>
  <si>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</si>
  <si>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</si>
  <si>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</si>
  <si>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</si>
  <si>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</si>
  <si>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</si>
  <si>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</si>
  <si>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</si>
  <si>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</si>
  <si>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</si>
  <si>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</si>
  <si>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</si>
  <si>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</si>
  <si>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</si>
  <si>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</si>
  <si>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</si>
  <si>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</si>
  <si>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</si>
  <si>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</si>
  <si>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</si>
  <si>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</si>
  <si>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</si>
  <si>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</si>
  <si>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</si>
  <si>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</si>
  <si>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</si>
  <si>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</si>
  <si>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</si>
  <si>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</si>
  <si>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</si>
  <si>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</si>
  <si>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</si>
  <si>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</si>
  <si>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</si>
  <si>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</si>
  <si>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</si>
  <si>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</si>
  <si>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</si>
  <si>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</si>
  <si>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</si>
  <si>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</si>
  <si>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</si>
  <si>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</si>
  <si>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</si>
  <si>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</si>
  <si>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</si>
  <si>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</si>
  <si>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</si>
  <si>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</si>
  <si>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</si>
  <si>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</si>
  <si>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</si>
  <si>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</si>
  <si>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</si>
  <si>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</si>
  <si>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</si>
  <si>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</si>
  <si>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</si>
  <si>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</si>
  <si>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</si>
  <si>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</si>
  <si>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</si>
  <si>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</si>
  <si>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</si>
  <si>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</si>
  <si>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</si>
  <si>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</si>
  <si>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</si>
  <si>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</si>
  <si>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</si>
  <si>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</si>
  <si>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</si>
  <si>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</si>
  <si>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</si>
  <si>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</si>
  <si>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</si>
  <si>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</si>
  <si>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</si>
  <si>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</si>
  <si>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</si>
  <si>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</si>
  <si>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</si>
  <si>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</si>
  <si>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</si>
  <si>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</si>
  <si>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</si>
  <si>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</si>
  <si>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</si>
  <si>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</si>
  <si>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</si>
  <si>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</si>
  <si>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</si>
  <si>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</si>
  <si>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</si>
  <si>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</si>
  <si>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</si>
  <si>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</si>
  <si>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</si>
  <si>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</si>
  <si>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</si>
  <si>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</si>
  <si>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</si>
  <si>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</si>
  <si>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</si>
  <si>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</si>
  <si>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</si>
  <si>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</si>
  <si>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</si>
  <si>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</si>
  <si>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</si>
  <si>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</si>
  <si>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</si>
  <si>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</si>
  <si>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</si>
  <si>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</si>
  <si>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</si>
  <si>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</si>
  <si>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</si>
  <si>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</si>
  <si>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</si>
  <si>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</si>
  <si>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</si>
  <si>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</si>
  <si>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</si>
  <si>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</si>
  <si>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</si>
  <si>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</si>
  <si>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</si>
  <si>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</si>
  <si>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</si>
  <si>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</si>
  <si>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</si>
  <si>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</si>
  <si>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</si>
  <si>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</si>
  <si>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</si>
  <si>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</si>
  <si>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</si>
  <si>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</si>
  <si>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</si>
  <si>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</si>
  <si>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</si>
  <si>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</si>
  <si>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</si>
  <si>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</si>
  <si>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</si>
  <si>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</si>
  <si>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</si>
  <si>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</si>
  <si>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</si>
  <si>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</si>
  <si>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</si>
  <si>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</si>
  <si>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</si>
  <si>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</si>
  <si>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</si>
  <si>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</si>
  <si>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</si>
  <si>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</si>
  <si>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</si>
  <si>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</si>
  <si>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</si>
  <si>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</si>
  <si>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</si>
  <si>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</si>
  <si>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</si>
  <si>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</si>
  <si>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</si>
  <si>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</si>
  <si>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</si>
  <si>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</si>
  <si>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</si>
  <si>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</si>
  <si>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</si>
  <si>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</si>
  <si>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</si>
  <si>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</si>
  <si>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</si>
  <si>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</si>
  <si>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</si>
  <si>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</si>
  <si>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</si>
  <si>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</si>
  <si>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</si>
  <si>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</si>
  <si>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</si>
  <si>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</si>
  <si>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</si>
  <si>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</si>
  <si>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</si>
  <si>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</si>
  <si>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</si>
  <si>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</si>
  <si>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</si>
  <si>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</si>
  <si>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</si>
  <si>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</si>
  <si>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</si>
  <si>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</si>
  <si>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</si>
  <si>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</si>
  <si>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</si>
  <si>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</si>
  <si>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</si>
  <si>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</si>
  <si>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</si>
  <si>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</si>
  <si>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</si>
  <si>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</si>
  <si>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</si>
  <si>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</si>
  <si>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</si>
  <si>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</si>
  <si>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</si>
  <si>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</si>
  <si>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</si>
  <si>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</si>
  <si>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</si>
  <si>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</si>
  <si>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</si>
  <si>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</si>
  <si>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</si>
  <si>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</si>
  <si>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</si>
  <si>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</si>
  <si>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</si>
  <si>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</si>
  <si>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</si>
  <si>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</si>
  <si>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</si>
  <si>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</si>
  <si>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</si>
  <si>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</si>
  <si>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</si>
  <si>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</si>
  <si>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</si>
  <si>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</si>
  <si>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</si>
  <si>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</si>
  <si>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</si>
  <si>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</si>
  <si>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</si>
  <si>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</si>
  <si>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</si>
  <si>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</si>
  <si>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</si>
  <si>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</si>
  <si>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</si>
  <si>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</si>
  <si>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</si>
  <si>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</si>
  <si>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</si>
  <si>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</si>
  <si>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</si>
  <si>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</si>
  <si>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</si>
  <si>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</si>
  <si>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</si>
  <si>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</si>
  <si>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</si>
  <si>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</si>
  <si>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</si>
  <si>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</si>
  <si>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</si>
  <si>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</si>
  <si>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</si>
  <si>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</si>
  <si>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</si>
  <si>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</si>
  <si>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</si>
  <si>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</si>
  <si>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</si>
  <si>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</si>
  <si>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</si>
  <si>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</si>
  <si>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</si>
  <si>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</si>
  <si>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</si>
  <si>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</si>
  <si>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</si>
  <si>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</si>
  <si>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</si>
  <si>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</si>
  <si>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</si>
  <si>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</si>
  <si>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</si>
  <si>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</si>
  <si>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</si>
  <si>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</si>
  <si>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</si>
  <si>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</si>
  <si>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</si>
  <si>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</si>
  <si>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</si>
  <si>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</si>
  <si>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</si>
  <si>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</si>
  <si>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</si>
  <si>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</si>
  <si>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</si>
  <si>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</si>
  <si>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</si>
  <si>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</si>
  <si>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</si>
  <si>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</si>
  <si>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</si>
  <si>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</si>
  <si>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</si>
  <si>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</si>
  <si>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</si>
  <si>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</si>
  <si>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</si>
  <si>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</si>
  <si>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</si>
  <si>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</si>
  <si>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</si>
  <si>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</si>
  <si>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</si>
  <si>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</si>
  <si>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</si>
  <si>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</si>
  <si>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</si>
  <si>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</si>
  <si>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</si>
  <si>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</si>
  <si>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</si>
  <si>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</si>
  <si>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</si>
  <si>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</si>
  <si>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</si>
  <si>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</si>
  <si>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</si>
  <si>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</si>
  <si>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</si>
  <si>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</si>
  <si>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</si>
  <si>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</si>
  <si>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</si>
  <si>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</si>
  <si>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</si>
  <si>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</si>
  <si>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</si>
  <si>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</si>
  <si>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</si>
  <si>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</si>
  <si>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</si>
  <si>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</si>
  <si>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</si>
  <si>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</si>
  <si>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</si>
  <si>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</si>
  <si>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</si>
  <si>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</si>
  <si>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</si>
  <si>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</si>
  <si>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</si>
  <si>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</si>
  <si>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</si>
  <si>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</si>
  <si>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</si>
  <si>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</si>
  <si>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</si>
  <si>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</si>
  <si>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</si>
  <si>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</si>
  <si>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</si>
  <si>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</si>
  <si>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</si>
  <si>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</si>
  <si>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</si>
  <si>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</si>
  <si>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</si>
  <si>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</si>
  <si>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</si>
  <si>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</si>
  <si>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</si>
  <si>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</si>
  <si>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</si>
  <si>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</si>
  <si>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</si>
  <si>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</si>
  <si>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</si>
  <si>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</si>
  <si>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</si>
  <si>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</si>
  <si>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</si>
  <si>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</si>
  <si>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</si>
  <si>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</si>
  <si>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</si>
  <si>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</si>
  <si>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</si>
  <si>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</si>
  <si>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</si>
  <si>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</si>
  <si>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</si>
  <si>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</si>
  <si>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</si>
  <si>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</si>
  <si>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</si>
  <si>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</si>
  <si>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</si>
  <si>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</si>
  <si>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</si>
  <si>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</si>
  <si>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</si>
  <si>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</si>
  <si>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</si>
  <si>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</si>
  <si>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</si>
  <si>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</si>
  <si>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</si>
  <si>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</si>
  <si>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</si>
  <si>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</si>
  <si>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</si>
  <si>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</si>
  <si>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</si>
  <si>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</si>
  <si>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</si>
  <si>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</si>
  <si>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</si>
  <si>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</si>
  <si>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</si>
  <si>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</si>
  <si>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</si>
  <si>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</si>
  <si>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</si>
  <si>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</si>
  <si>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</si>
  <si>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</si>
  <si>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</si>
  <si>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</si>
  <si>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</si>
  <si>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</si>
  <si>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</si>
  <si>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</si>
  <si>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</si>
  <si>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</si>
  <si>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</si>
  <si>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</si>
  <si>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</si>
  <si>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</si>
  <si>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</si>
  <si>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</si>
  <si>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</si>
  <si>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</si>
  <si>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</si>
  <si>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</si>
  <si>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</si>
  <si>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</si>
  <si>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</si>
  <si>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</si>
  <si>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</si>
  <si>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</si>
  <si>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</si>
  <si>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</si>
  <si>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</si>
  <si>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</si>
  <si>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</si>
  <si>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</si>
  <si>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</si>
  <si>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</si>
  <si>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</si>
  <si>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</si>
  <si>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</si>
  <si>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</si>
  <si>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</si>
  <si>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</si>
  <si>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</si>
  <si>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</si>
  <si>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</si>
  <si>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</si>
  <si>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</si>
  <si>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</si>
  <si>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</si>
  <si>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</si>
  <si>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</si>
  <si>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</si>
  <si>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</si>
  <si>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</si>
  <si>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</si>
  <si>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</si>
  <si>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</si>
  <si>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</si>
  <si>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</si>
  <si>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</si>
  <si>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</si>
  <si>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</si>
  <si>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</si>
  <si>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</si>
  <si>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</si>
  <si>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</si>
  <si>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</si>
  <si>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</si>
  <si>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</si>
  <si>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</si>
  <si>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</si>
  <si>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</si>
  <si>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</si>
  <si>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</si>
  <si>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</si>
  <si>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</si>
  <si>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</si>
  <si>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</si>
  <si>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</si>
  <si>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</si>
  <si>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</si>
  <si>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</si>
  <si>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</si>
  <si>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</si>
  <si>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</si>
  <si>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</si>
  <si>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</si>
  <si>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</si>
  <si>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</si>
  <si>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</si>
  <si>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</si>
  <si>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</si>
  <si>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</si>
  <si>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</si>
  <si>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</si>
  <si>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</si>
  <si>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</si>
  <si>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</si>
  <si>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</si>
  <si>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</si>
  <si>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</si>
  <si>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</si>
  <si>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</si>
  <si>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</si>
  <si>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</si>
  <si>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</si>
  <si>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</si>
  <si>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</si>
  <si>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</si>
  <si>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</si>
  <si>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</si>
  <si>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</si>
  <si>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</si>
  <si>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</si>
  <si>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</si>
  <si>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</si>
  <si>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</si>
  <si>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</si>
  <si>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</si>
  <si>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</si>
  <si>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</si>
  <si>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</si>
  <si>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</si>
  <si>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</si>
  <si>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</si>
  <si>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</si>
  <si>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</si>
  <si>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</si>
  <si>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</si>
  <si>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</si>
  <si>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</si>
  <si>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</si>
  <si>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</si>
  <si>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</si>
  <si>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</si>
  <si>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</si>
  <si>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</si>
  <si>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</si>
  <si>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</si>
  <si>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</si>
  <si>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</si>
  <si>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</si>
  <si>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</si>
  <si>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</si>
  <si>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</si>
  <si>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</si>
  <si>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</si>
  <si>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</si>
  <si>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</si>
  <si>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</si>
  <si>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</si>
  <si>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</si>
  <si>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</si>
  <si>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</si>
  <si>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</si>
  <si>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</si>
  <si>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</si>
  <si>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</si>
  <si>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</si>
  <si>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</si>
  <si>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</si>
  <si>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</si>
  <si>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</si>
  <si>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</si>
  <si>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</si>
  <si>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</si>
  <si>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</si>
  <si>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</si>
  <si>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</si>
  <si>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</si>
  <si>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</si>
  <si>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</si>
  <si>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</si>
  <si>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</si>
  <si>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</si>
  <si>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</si>
  <si>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</si>
  <si>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</si>
  <si>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</si>
  <si>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</si>
  <si>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</si>
  <si>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</si>
  <si>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</si>
  <si>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</si>
  <si>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</si>
  <si>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</si>
  <si>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</si>
  <si>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</si>
  <si>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</si>
  <si>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</si>
  <si>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</si>
  <si>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</si>
  <si>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</si>
  <si>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</si>
  <si>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</si>
  <si>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</si>
  <si>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</si>
  <si>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</si>
  <si>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</si>
  <si>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</si>
  <si>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</si>
  <si>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</si>
  <si>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</si>
  <si>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</si>
  <si>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</si>
  <si>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</si>
  <si>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</si>
  <si>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</si>
  <si>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</si>
  <si>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</si>
  <si>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</si>
  <si>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</si>
  <si>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</si>
  <si>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</si>
  <si>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</si>
  <si>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</si>
  <si>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</si>
  <si>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</si>
  <si>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</si>
  <si>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</si>
  <si>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</si>
  <si>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</si>
  <si>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</si>
  <si>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</si>
  <si>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</si>
  <si>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</si>
  <si>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</si>
  <si>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</si>
  <si>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</si>
  <si>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</si>
  <si>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</si>
  <si>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</si>
  <si>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</si>
  <si>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</si>
  <si>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</si>
  <si>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</si>
  <si>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</si>
  <si>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</si>
  <si>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</si>
  <si>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</si>
  <si>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</si>
  <si>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</si>
  <si>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</si>
  <si>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</si>
  <si>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</si>
  <si>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</si>
  <si>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</si>
  <si>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</si>
  <si>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</si>
  <si>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</si>
  <si>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</si>
  <si>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</si>
  <si>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</si>
  <si>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</si>
  <si>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</si>
  <si>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</si>
  <si>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</si>
  <si>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</si>
  <si>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</si>
  <si>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</si>
  <si>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</si>
  <si>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</si>
  <si>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</si>
  <si>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</si>
  <si>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</si>
  <si>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</si>
  <si>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</si>
  <si>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</si>
  <si>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</si>
  <si>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</si>
  <si>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</si>
  <si>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</si>
  <si>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</si>
  <si>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</si>
  <si>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</si>
  <si>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</si>
  <si>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</si>
  <si>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</si>
  <si>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</si>
  <si>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</si>
  <si>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</si>
  <si>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</si>
  <si>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</si>
  <si>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</si>
  <si>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</si>
  <si>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</si>
  <si>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</si>
  <si>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</si>
  <si>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</si>
  <si>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</si>
  <si>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</si>
  <si>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</si>
  <si>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</si>
  <si>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</si>
  <si>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</si>
  <si>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</si>
  <si>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</si>
  <si>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</si>
  <si>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</si>
  <si>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</si>
  <si>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</si>
  <si>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</si>
  <si>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</si>
  <si>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</si>
  <si>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</si>
  <si>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</si>
  <si>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</si>
  <si>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</si>
  <si>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</si>
  <si>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</si>
  <si>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</si>
  <si>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</si>
  <si>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</si>
  <si>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</si>
  <si>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</si>
  <si>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</si>
  <si>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</si>
  <si>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</si>
  <si>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</si>
  <si>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</si>
  <si>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</si>
  <si>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</si>
  <si>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</si>
  <si>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</si>
  <si>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</si>
  <si>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</si>
  <si>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</si>
  <si>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</si>
  <si>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</si>
  <si>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</si>
  <si>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</si>
  <si>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</si>
  <si>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</si>
  <si>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</si>
  <si>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</si>
  <si>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</si>
  <si>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</si>
  <si>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</si>
  <si>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</si>
  <si>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</si>
  <si>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</si>
  <si>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</si>
  <si>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</si>
  <si>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</si>
  <si>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</si>
  <si>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</si>
  <si>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</si>
  <si>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</si>
  <si>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</si>
  <si>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</si>
  <si>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</si>
  <si>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</si>
  <si>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</si>
  <si>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</si>
  <si>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</si>
  <si>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</si>
  <si>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</si>
  <si>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</si>
  <si>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</si>
  <si>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</si>
  <si>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</si>
  <si>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</si>
  <si>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</si>
  <si>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</si>
  <si>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</si>
  <si>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</si>
  <si>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</si>
  <si>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</si>
  <si>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</si>
  <si>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</si>
  <si>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</si>
  <si>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</si>
  <si>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</si>
  <si>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</si>
  <si>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</si>
  <si>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</si>
  <si>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</si>
  <si>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</si>
  <si>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</si>
  <si>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</si>
  <si>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</si>
  <si>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</si>
  <si>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</si>
  <si>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</si>
  <si>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</si>
  <si>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</si>
  <si>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</si>
  <si>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</si>
  <si>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</si>
  <si>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</si>
  <si>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</si>
  <si>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</si>
  <si>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</si>
  <si>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</si>
  <si>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</si>
  <si>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</si>
  <si>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</si>
  <si>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</si>
  <si>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</si>
  <si>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</si>
  <si>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</si>
  <si>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</si>
  <si>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</si>
  <si>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</si>
  <si>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</si>
  <si>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</si>
  <si>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</si>
  <si>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</si>
  <si>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</si>
  <si>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</si>
  <si>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</si>
  <si>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</si>
  <si>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</si>
  <si>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</si>
  <si>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</si>
  <si>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</si>
  <si>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</si>
  <si>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</si>
  <si>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</si>
  <si>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</si>
  <si>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</si>
  <si>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</si>
  <si>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</si>
  <si>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</si>
  <si>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</si>
  <si>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</si>
  <si>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</si>
  <si>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</si>
  <si>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</si>
  <si>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</si>
  <si>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</si>
  <si>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</si>
  <si>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</si>
  <si>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</si>
  <si>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</si>
  <si>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</si>
  <si>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</si>
  <si>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</si>
  <si>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</si>
  <si>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</si>
  <si>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</si>
  <si>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</si>
  <si>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</si>
  <si>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</si>
  <si>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</si>
  <si>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</si>
  <si>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</si>
  <si>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</si>
  <si>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</si>
  <si>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</si>
  <si>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</si>
  <si>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</si>
  <si>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</si>
  <si>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</si>
  <si>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</si>
  <si>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</si>
  <si>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</si>
  <si>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</si>
  <si>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</si>
  <si>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</si>
  <si>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</si>
  <si>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</si>
  <si>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</si>
  <si>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</si>
  <si>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</si>
  <si>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</si>
  <si>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</si>
  <si>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</si>
  <si>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</si>
  <si>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</si>
  <si>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</si>
  <si>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</si>
  <si>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</si>
  <si>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</si>
  <si>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</si>
  <si>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</si>
  <si>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</si>
  <si>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</si>
  <si>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</si>
  <si>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</si>
  <si>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</si>
  <si>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</si>
  <si>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</si>
  <si>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</si>
  <si>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</si>
  <si>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</si>
  <si>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</si>
  <si>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</si>
  <si>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</si>
  <si>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</si>
  <si>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</si>
  <si>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</si>
  <si>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</si>
  <si>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</si>
  <si>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</si>
  <si>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</si>
  <si>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</si>
  <si>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</si>
  <si>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</si>
  <si>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</si>
  <si>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</si>
  <si>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</si>
  <si>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</si>
  <si>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</si>
  <si>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</si>
  <si>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</si>
  <si>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</si>
  <si>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</si>
  <si>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</si>
  <si>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</si>
  <si>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</si>
  <si>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</si>
  <si>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</si>
  <si>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</si>
  <si>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</si>
  <si>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</si>
  <si>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</si>
  <si>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</si>
  <si>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</si>
  <si>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</si>
  <si>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</si>
  <si>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</si>
  <si>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</si>
  <si>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</si>
  <si>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</si>
  <si>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</si>
  <si>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</si>
  <si>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</si>
  <si>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</si>
  <si>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</si>
  <si>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</si>
  <si>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</si>
  <si>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</si>
  <si>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</si>
  <si>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</si>
  <si>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</si>
  <si>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</si>
  <si>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</si>
  <si>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</si>
  <si>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</si>
  <si>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</si>
  <si>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</si>
  <si>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</si>
  <si>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</si>
  <si>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</si>
  <si>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</si>
  <si>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</si>
  <si>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</si>
  <si>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</si>
  <si>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</si>
  <si>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</si>
  <si>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</si>
  <si>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</si>
  <si>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</si>
  <si>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</si>
  <si>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</si>
  <si>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</si>
  <si>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</si>
  <si>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</si>
  <si>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</si>
  <si>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</si>
  <si>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</si>
  <si>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</si>
  <si>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</si>
  <si>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</si>
  <si>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</si>
  <si>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</si>
  <si>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</si>
  <si>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</si>
  <si>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</si>
  <si>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</si>
  <si>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</si>
  <si>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</si>
  <si>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</si>
  <si>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</si>
  <si>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</si>
  <si>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</si>
  <si>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</si>
  <si>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</si>
  <si>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</si>
  <si>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</si>
  <si>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</si>
  <si>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</si>
  <si>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</si>
  <si>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</si>
  <si>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</si>
  <si>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</si>
  <si>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</si>
  <si>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</si>
  <si>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</si>
  <si>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</si>
  <si>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</si>
  <si>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</si>
  <si>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</si>
  <si>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</si>
  <si>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</si>
  <si>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</si>
  <si>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</si>
  <si>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</si>
  <si>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</si>
  <si>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</si>
  <si>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</si>
  <si>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</si>
  <si>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</si>
  <si>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</si>
  <si>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</si>
  <si>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</si>
  <si>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</si>
  <si>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</si>
  <si>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</si>
  <si>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</si>
  <si>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</si>
  <si>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</si>
  <si>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</si>
  <si>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</si>
  <si>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</si>
  <si>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</si>
  <si>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</si>
  <si>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</si>
  <si>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</si>
  <si>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</si>
  <si>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</si>
  <si>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</si>
  <si>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</si>
  <si>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</si>
  <si>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</si>
  <si>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</si>
  <si>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</si>
  <si>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</si>
  <si>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</si>
  <si>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</si>
  <si>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</si>
  <si>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</si>
  <si>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</si>
  <si>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</si>
  <si>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</si>
  <si>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</si>
  <si>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</si>
  <si>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</si>
  <si>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</si>
  <si>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</si>
  <si>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</si>
  <si>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</si>
  <si>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</si>
  <si>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</si>
  <si>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</si>
  <si>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</si>
  <si>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</si>
  <si>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</si>
  <si>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</si>
  <si>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</si>
  <si>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</si>
  <si>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</si>
  <si>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</si>
  <si>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</si>
  <si>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</si>
  <si>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</si>
  <si>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</si>
  <si>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</si>
  <si>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</si>
  <si>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</si>
  <si>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</si>
  <si>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</si>
  <si>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</si>
  <si>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</si>
  <si>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</si>
  <si>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</si>
  <si>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</si>
  <si>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</si>
  <si>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</si>
  <si>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</si>
  <si>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</si>
  <si>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</si>
  <si>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</si>
  <si>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</si>
  <si>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</si>
  <si>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</si>
  <si>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</si>
  <si>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</si>
  <si>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</si>
  <si>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</si>
  <si>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</si>
  <si>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</si>
  <si>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</si>
  <si>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</si>
  <si>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</si>
  <si>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</si>
  <si>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</si>
  <si>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</si>
  <si>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</si>
  <si>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</si>
  <si>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</si>
  <si>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</si>
  <si>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</si>
  <si>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</si>
  <si>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</si>
  <si>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</si>
  <si>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</si>
  <si>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</si>
  <si>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</si>
  <si>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</si>
  <si>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</si>
  <si>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</si>
  <si>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</si>
  <si>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</si>
  <si>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</si>
  <si>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</si>
  <si>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</si>
  <si>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</si>
  <si>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</si>
  <si>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</si>
  <si>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</si>
  <si>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</si>
  <si>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</si>
  <si>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</si>
  <si>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</si>
  <si>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</si>
  <si>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</si>
  <si>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</si>
  <si>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</si>
  <si>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</si>
  <si>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</si>
  <si>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</si>
  <si>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</si>
  <si>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</si>
  <si>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</si>
  <si>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</si>
  <si>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</si>
  <si>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</si>
  <si>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</si>
  <si>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</si>
  <si>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</si>
  <si>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</si>
  <si>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</si>
  <si>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</si>
  <si>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</si>
  <si>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</si>
  <si>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</si>
  <si>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</si>
  <si>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</si>
  <si>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</si>
  <si>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</si>
  <si>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</si>
  <si>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</si>
  <si>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</si>
  <si>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</si>
  <si>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</si>
  <si>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</si>
  <si>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</si>
  <si>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</si>
  <si>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</si>
  <si>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</si>
  <si>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</si>
  <si>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</si>
  <si>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</si>
  <si>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</si>
  <si>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</si>
  <si>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</si>
  <si>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</si>
  <si>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</si>
  <si>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</si>
  <si>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</si>
  <si>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</si>
  <si>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</si>
  <si>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</si>
  <si>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</si>
  <si>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</si>
  <si>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</si>
  <si>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</si>
  <si>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</si>
  <si>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</si>
  <si>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</si>
  <si>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</si>
  <si>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</si>
  <si>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</si>
  <si>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</si>
  <si>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</si>
  <si>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</si>
  <si>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</si>
  <si>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</si>
  <si>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</si>
  <si>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</si>
  <si>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</si>
  <si>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</si>
  <si>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</si>
  <si>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</si>
  <si>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</si>
  <si>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</si>
  <si>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</si>
  <si>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</si>
  <si>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</si>
  <si>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</si>
  <si>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</si>
  <si>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</si>
  <si>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</si>
  <si>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</si>
  <si>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</si>
  <si>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</si>
  <si>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</si>
  <si>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</si>
  <si>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</si>
  <si>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</si>
  <si>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</si>
  <si>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</si>
  <si>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</si>
  <si>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</si>
  <si>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</si>
  <si>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</si>
  <si>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</si>
  <si>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</si>
  <si>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</si>
  <si>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</si>
  <si>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</si>
  <si>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</si>
  <si>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</si>
  <si>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</si>
  <si>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</si>
  <si>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</si>
  <si>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</si>
  <si>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</si>
  <si>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</si>
  <si>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</si>
  <si>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</si>
  <si>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</si>
  <si>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</si>
  <si>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</si>
  <si>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</si>
  <si>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</si>
  <si>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</si>
  <si>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</si>
  <si>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</si>
  <si>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</si>
  <si>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</si>
  <si>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</si>
  <si>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</si>
  <si>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</si>
  <si>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</si>
  <si>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</si>
  <si>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</si>
  <si>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</si>
  <si>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</si>
  <si>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</si>
  <si>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</si>
  <si>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</si>
  <si>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</si>
  <si>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</si>
  <si>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</si>
  <si>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</si>
  <si>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</si>
  <si>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</si>
  <si>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</si>
  <si>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</si>
  <si>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</si>
  <si>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</si>
  <si>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</si>
  <si>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</si>
  <si>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</si>
  <si>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</si>
  <si>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</si>
  <si>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</si>
  <si>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</si>
  <si>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</si>
  <si>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</si>
  <si>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</si>
  <si>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</si>
  <si>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</si>
  <si>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</si>
  <si>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</si>
  <si>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</si>
  <si>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</si>
  <si>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</si>
  <si>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</si>
  <si>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</si>
  <si>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</si>
  <si>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</si>
  <si>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</si>
  <si>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</si>
  <si>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</si>
  <si>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</si>
  <si>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</si>
  <si>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</si>
  <si>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</si>
  <si>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</si>
  <si>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</si>
  <si>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</si>
  <si>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</si>
  <si>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</si>
  <si>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</si>
  <si>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</si>
  <si>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</si>
  <si>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</si>
  <si>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</si>
  <si>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</si>
  <si>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</si>
  <si>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</si>
  <si>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</si>
  <si>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</si>
  <si>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</si>
  <si>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</si>
  <si>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</si>
  <si>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</si>
  <si>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</si>
  <si>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</si>
  <si>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</si>
  <si>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</si>
  <si>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</si>
  <si>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</si>
  <si>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</si>
  <si>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</si>
  <si>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</si>
  <si>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</si>
  <si>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</si>
  <si>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</si>
  <si>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</si>
  <si>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</si>
  <si>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</si>
  <si>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</si>
  <si>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</si>
  <si>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</si>
  <si>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</si>
  <si>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</si>
  <si>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</si>
  <si>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</si>
  <si>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</si>
  <si>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</si>
  <si>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</si>
  <si>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</si>
  <si>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</si>
  <si>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</si>
  <si>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</si>
  <si>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</si>
  <si>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</si>
  <si>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</si>
  <si>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</si>
  <si>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</si>
  <si>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</si>
  <si>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</si>
  <si>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</si>
  <si>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</si>
  <si>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</si>
  <si>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</si>
  <si>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</si>
  <si>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</si>
  <si>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</si>
  <si>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</si>
  <si>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</si>
  <si>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</si>
  <si>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</si>
  <si>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</si>
  <si>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</si>
  <si>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</si>
  <si>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</si>
  <si>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</si>
  <si>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</si>
  <si>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</si>
  <si>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</si>
  <si>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</si>
  <si>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</si>
  <si>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</si>
  <si>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</si>
  <si>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</si>
  <si>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</si>
  <si>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</si>
  <si>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</si>
  <si>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</si>
  <si>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</si>
  <si>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</si>
  <si>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</si>
  <si>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</si>
  <si>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</si>
  <si>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</si>
  <si>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</si>
  <si>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</si>
  <si>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</si>
  <si>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</si>
  <si>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</si>
  <si>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</si>
  <si>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</si>
  <si>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</si>
  <si>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</si>
  <si>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</si>
  <si>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</si>
  <si>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</si>
  <si>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</si>
  <si>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</si>
  <si>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</si>
  <si>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</si>
  <si>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</si>
  <si>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</si>
  <si>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</si>
  <si>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</si>
  <si>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</si>
  <si>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</si>
  <si>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</si>
  <si>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</si>
  <si>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</si>
  <si>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</si>
  <si>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</si>
  <si>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</si>
  <si>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</si>
  <si>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</si>
  <si>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</si>
  <si>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</si>
  <si>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</si>
  <si>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</si>
  <si>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</si>
  <si>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</si>
  <si>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</si>
  <si>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</si>
  <si>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</si>
  <si>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</si>
  <si>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</si>
  <si>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</si>
  <si>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</si>
  <si>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</si>
  <si>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</si>
  <si>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</si>
  <si>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</si>
  <si>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</si>
  <si>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</si>
  <si>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</si>
  <si>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</si>
  <si>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</si>
  <si>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</si>
  <si>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</si>
  <si>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</si>
  <si>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</si>
  <si>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</si>
  <si>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</si>
  <si>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</si>
  <si>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</si>
  <si>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</si>
  <si>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</si>
  <si>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</si>
  <si>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</si>
  <si>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</si>
  <si>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</si>
  <si>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</si>
  <si>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</si>
  <si>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</si>
  <si>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</si>
  <si>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</si>
  <si>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</si>
  <si>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</si>
  <si>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</si>
  <si>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</si>
  <si>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</si>
  <si>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</si>
  <si>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</si>
  <si>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</si>
  <si>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</si>
  <si>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</si>
  <si>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</si>
  <si>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</si>
  <si>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</si>
  <si>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</si>
  <si>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</si>
  <si>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</si>
  <si>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</si>
  <si>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</si>
  <si>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</si>
  <si>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</si>
  <si>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</si>
  <si>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</si>
  <si>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</si>
  <si>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</si>
  <si>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</si>
  <si>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</si>
  <si>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</si>
  <si>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</si>
  <si>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</si>
  <si>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</si>
  <si>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</si>
  <si>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</si>
  <si>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</si>
  <si>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</si>
  <si>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</si>
  <si>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</si>
  <si>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</si>
  <si>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</si>
  <si>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</si>
  <si>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</si>
  <si>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</si>
  <si>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</si>
  <si>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</si>
  <si>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</si>
  <si>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</si>
  <si>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</si>
  <si>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</si>
  <si>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</si>
  <si>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</si>
  <si>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</si>
  <si>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</si>
  <si>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</si>
  <si>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</si>
  <si>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</si>
  <si>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</si>
  <si>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</si>
  <si>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</si>
  <si>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</si>
  <si>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</si>
  <si>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</si>
  <si>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</si>
  <si>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</si>
  <si>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</si>
  <si>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</si>
  <si>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</si>
  <si>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</si>
  <si>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</si>
  <si>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</si>
  <si>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</si>
  <si>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</si>
  <si>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</si>
  <si>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</si>
  <si>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</si>
  <si>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</si>
  <si>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</si>
  <si>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</si>
  <si>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</si>
  <si>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</si>
  <si>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</si>
  <si>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</si>
  <si>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</si>
  <si>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</si>
  <si>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</si>
  <si>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</si>
  <si>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</si>
  <si>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</si>
  <si>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</si>
  <si>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</si>
  <si>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</si>
  <si>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</si>
  <si>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</si>
  <si>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</si>
  <si>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</si>
  <si>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</si>
  <si>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</si>
  <si>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</si>
  <si>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</si>
  <si>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</si>
  <si>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</si>
  <si>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</si>
  <si>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</si>
  <si>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</si>
  <si>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</si>
  <si>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</si>
  <si>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</si>
  <si>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</si>
  <si>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</si>
  <si>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</si>
  <si>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</si>
  <si>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</si>
  <si>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</si>
  <si>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</si>
  <si>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</si>
  <si>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</si>
  <si>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</si>
  <si>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</si>
  <si>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</si>
  <si>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</si>
  <si>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</si>
  <si>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</si>
  <si>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</si>
  <si>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</si>
  <si>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</si>
  <si>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</si>
  <si>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</si>
  <si>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</si>
  <si>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</si>
  <si>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</si>
  <si>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</si>
  <si>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</si>
  <si>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</si>
  <si>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</si>
  <si>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</si>
  <si>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</si>
  <si>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</si>
  <si>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</si>
  <si>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</si>
  <si>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</si>
  <si>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</si>
  <si>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</si>
  <si>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</si>
  <si>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</si>
  <si>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</si>
  <si>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</si>
  <si>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</si>
  <si>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</si>
  <si>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</si>
  <si>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</si>
  <si>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</si>
  <si>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</si>
  <si>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</si>
  <si>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</si>
  <si>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</si>
  <si>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</si>
  <si>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</si>
  <si>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</si>
  <si>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</si>
  <si>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</si>
  <si>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</si>
  <si>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</si>
  <si>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</si>
  <si>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</si>
  <si>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</si>
  <si>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</si>
  <si>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</si>
  <si>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</si>
  <si>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</si>
  <si>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</si>
  <si>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</si>
  <si>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</si>
  <si>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</si>
  <si>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抵押</t>
  </si>
  <si>
    <t>房地产抵押价值</t>
  </si>
  <si>
    <t>其他：</t>
  </si>
  <si>
    <t>企业</t>
  </si>
  <si>
    <t>商业</t>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</si>
  <si>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</si>
  <si>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</si>
  <si>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</si>
  <si>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</si>
  <si>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</si>
  <si>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</si>
  <si>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</si>
  <si>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</si>
  <si>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</si>
  <si>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</si>
  <si>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</si>
  <si>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</si>
  <si>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</si>
  <si>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</si>
  <si>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</si>
  <si>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序号</t>
  </si>
  <si>
    <t>楼层</t>
    <phoneticPr fontId="143" type="noConversion"/>
  </si>
  <si>
    <t>典型户型商业</t>
  </si>
  <si>
    <t>典型户型商业</t>
    <phoneticPr fontId="7" type="noConversion"/>
  </si>
  <si>
    <t>商业剩余</t>
    <phoneticPr fontId="7" type="noConversion"/>
  </si>
  <si>
    <t>成新度</t>
  </si>
  <si>
    <t>收益法</t>
  </si>
  <si>
    <t>钢混</t>
  </si>
  <si>
    <t>非生产用房</t>
  </si>
  <si>
    <t>收益还原</t>
  </si>
  <si>
    <t>售价</t>
  </si>
  <si>
    <t>比较法-商业</t>
  </si>
  <si>
    <t>正常</t>
  </si>
  <si>
    <t>商业</t>
    <phoneticPr fontId="31" type="noConversion"/>
  </si>
  <si>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</si>
  <si>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</si>
  <si>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</si>
  <si>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</si>
  <si>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</si>
  <si>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</si>
  <si>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</si>
  <si>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</si>
  <si>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</si>
  <si>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</si>
  <si>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</si>
  <si>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</si>
  <si>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</si>
  <si>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</si>
  <si>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</si>
  <si>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</si>
  <si>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综合体商业</t>
    <phoneticPr fontId="31" type="noConversion"/>
  </si>
  <si>
    <t>商业街商业</t>
    <phoneticPr fontId="31" type="noConversion"/>
  </si>
  <si>
    <t>独栋商业楼</t>
    <phoneticPr fontId="31" type="noConversion"/>
  </si>
  <si>
    <t>住宅底商</t>
  </si>
  <si>
    <t>住宅底商</t>
    <phoneticPr fontId="31" type="noConversion"/>
  </si>
  <si>
    <t>钢</t>
    <phoneticPr fontId="31" type="noConversion"/>
  </si>
  <si>
    <t>钢混</t>
    <phoneticPr fontId="31" type="noConversion"/>
  </si>
  <si>
    <t>混合</t>
    <phoneticPr fontId="31" type="noConversion"/>
  </si>
  <si>
    <t>砖</t>
    <phoneticPr fontId="31" type="noConversion"/>
  </si>
  <si>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</si>
  <si>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</si>
  <si>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</si>
  <si>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</si>
  <si>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</si>
  <si>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</si>
  <si>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</si>
  <si>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</si>
  <si>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</si>
  <si>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</si>
  <si>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phoneticPr fontId="31" type="noConversion"/>
  </si>
  <si>
    <t>专业性市场</t>
    <phoneticPr fontId="31" type="noConversion"/>
  </si>
  <si>
    <t>社区零售商业</t>
  </si>
  <si>
    <t>社区零售商业</t>
    <phoneticPr fontId="31" type="noConversion"/>
  </si>
  <si>
    <t>挑高层高</t>
  </si>
  <si>
    <t>挑高层高</t>
    <phoneticPr fontId="31" type="noConversion"/>
  </si>
  <si>
    <t>标准层高</t>
    <phoneticPr fontId="31" type="noConversion"/>
  </si>
  <si>
    <t>1层</t>
  </si>
  <si>
    <t>项目局部</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</si>
  <si>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</si>
  <si>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</si>
  <si>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</si>
  <si>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成本法</t>
  </si>
  <si>
    <t>按租金收入计税</t>
  </si>
  <si>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</si>
  <si>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</si>
  <si>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</si>
  <si>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</si>
  <si>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</si>
  <si>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</si>
  <si>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</si>
  <si>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</si>
  <si>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</si>
  <si>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</si>
  <si>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</si>
  <si>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</si>
  <si>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建筑结构</t>
  </si>
  <si>
    <t>公共部分装修</t>
  </si>
  <si>
    <t>成新率</t>
  </si>
  <si>
    <t>市政基础设施</t>
  </si>
  <si>
    <t>内部装修</t>
  </si>
  <si>
    <t>内部装修维护状况</t>
  </si>
  <si>
    <t>30-40（含）</t>
    <phoneticPr fontId="143" type="noConversion"/>
  </si>
  <si>
    <t>权益状况</t>
  </si>
  <si>
    <t>权益状况</t>
    <phoneticPr fontId="143" type="noConversion"/>
  </si>
  <si>
    <t>容积率</t>
    <phoneticPr fontId="143" type="noConversion"/>
  </si>
  <si>
    <t>商业繁华度</t>
    <phoneticPr fontId="143" type="noConversion"/>
  </si>
  <si>
    <t>交通便捷度</t>
    <phoneticPr fontId="143" type="noConversion"/>
  </si>
  <si>
    <t>自然及人文环境</t>
    <phoneticPr fontId="143" type="noConversion"/>
  </si>
  <si>
    <t>临街状况</t>
    <phoneticPr fontId="143" type="noConversion"/>
  </si>
  <si>
    <t>单面临街</t>
    <phoneticPr fontId="143" type="noConversion"/>
  </si>
  <si>
    <t>可视性</t>
    <phoneticPr fontId="143" type="noConversion"/>
  </si>
  <si>
    <t>较好</t>
    <phoneticPr fontId="143" type="noConversion"/>
  </si>
  <si>
    <t>人流量</t>
    <phoneticPr fontId="143" type="noConversion"/>
  </si>
  <si>
    <t>1层</t>
    <phoneticPr fontId="143" type="noConversion"/>
  </si>
  <si>
    <t>商业类型</t>
    <phoneticPr fontId="143" type="noConversion"/>
  </si>
  <si>
    <t>住宅底商</t>
    <phoneticPr fontId="143" type="noConversion"/>
  </si>
  <si>
    <t>业态</t>
    <phoneticPr fontId="143" type="noConversion"/>
  </si>
  <si>
    <t>社区零售商业</t>
    <phoneticPr fontId="143" type="noConversion"/>
  </si>
  <si>
    <t>层高</t>
    <phoneticPr fontId="143" type="noConversion"/>
  </si>
  <si>
    <t>挑高层高</t>
    <phoneticPr fontId="143" type="noConversion"/>
  </si>
  <si>
    <t>进深比</t>
    <phoneticPr fontId="143" type="noConversion"/>
  </si>
  <si>
    <t>较好</t>
    <phoneticPr fontId="143" type="noConversion"/>
  </si>
  <si>
    <t>毛坯</t>
    <phoneticPr fontId="143" type="noConversion"/>
  </si>
  <si>
    <t>商业</t>
    <phoneticPr fontId="143" type="noConversion"/>
  </si>
  <si>
    <t>单套建筑面积（平方米）</t>
    <phoneticPr fontId="143" type="noConversion"/>
  </si>
  <si>
    <t>交易情况</t>
  </si>
  <si>
    <t>100/</t>
  </si>
  <si>
    <t>销售价格（元/平方米）</t>
  </si>
  <si>
    <t>比较价值（元/平方米）</t>
  </si>
  <si>
    <t>中信信托有限责任公司</t>
    <phoneticPr fontId="6" type="noConversion"/>
  </si>
  <si>
    <t>武汉统建</t>
    <phoneticPr fontId="6" type="noConversion"/>
  </si>
  <si>
    <t>湖北省武汉市</t>
    <phoneticPr fontId="6" type="noConversion"/>
  </si>
  <si>
    <t>东方雅园</t>
    <phoneticPr fontId="3" type="noConversion"/>
  </si>
  <si>
    <t>项目名称</t>
  </si>
  <si>
    <t>商铺坐落</t>
  </si>
  <si>
    <t>资产类别</t>
  </si>
  <si>
    <t>商铺面积</t>
  </si>
  <si>
    <t>销售单价</t>
  </si>
  <si>
    <t>销售价格</t>
  </si>
  <si>
    <t>已办证</t>
  </si>
  <si>
    <t>暂未办证</t>
  </si>
  <si>
    <t>需确认办证</t>
  </si>
  <si>
    <t>不能办证</t>
  </si>
  <si>
    <t>东方雅园一期</t>
  </si>
  <si>
    <t>商铺</t>
  </si>
  <si>
    <t>1-7</t>
  </si>
  <si>
    <t>1-8</t>
  </si>
  <si>
    <t>1-10</t>
  </si>
  <si>
    <t>1-11</t>
  </si>
  <si>
    <t>1-13</t>
  </si>
  <si>
    <t>1-14</t>
  </si>
  <si>
    <t>1-15</t>
  </si>
  <si>
    <t>1-16</t>
  </si>
  <si>
    <t>5-1</t>
  </si>
  <si>
    <t>5-2</t>
  </si>
  <si>
    <t>5-3</t>
  </si>
  <si>
    <t>5-6</t>
  </si>
  <si>
    <t>5-7</t>
  </si>
  <si>
    <t>5-8</t>
  </si>
  <si>
    <t>5-9</t>
  </si>
  <si>
    <t>5-10</t>
  </si>
  <si>
    <t>5-11</t>
  </si>
  <si>
    <t>5-12</t>
  </si>
  <si>
    <t>5-13</t>
  </si>
  <si>
    <t>5-14</t>
  </si>
  <si>
    <t>6-1</t>
  </si>
  <si>
    <t>6-2</t>
  </si>
  <si>
    <t>6-3</t>
  </si>
  <si>
    <t>6-4</t>
  </si>
  <si>
    <t>6-5</t>
  </si>
  <si>
    <t>6-6</t>
  </si>
  <si>
    <t>7-1</t>
  </si>
  <si>
    <t>7-2</t>
  </si>
  <si>
    <t>7-3</t>
  </si>
  <si>
    <t>7-4</t>
  </si>
  <si>
    <t>7-5</t>
  </si>
  <si>
    <t>7-6</t>
  </si>
  <si>
    <t>7-7</t>
  </si>
  <si>
    <t>7-8</t>
  </si>
  <si>
    <t>8-1</t>
  </si>
  <si>
    <t>8-2</t>
  </si>
  <si>
    <t>8-3</t>
  </si>
  <si>
    <t>8-4</t>
  </si>
  <si>
    <t>8-5</t>
  </si>
  <si>
    <t>9-1</t>
  </si>
  <si>
    <t>9-2</t>
  </si>
  <si>
    <t>9-3</t>
  </si>
  <si>
    <t>9-4</t>
  </si>
  <si>
    <t>9-5</t>
  </si>
  <si>
    <t>9-6</t>
  </si>
  <si>
    <t>9-7</t>
  </si>
  <si>
    <t>9-8</t>
  </si>
  <si>
    <t>9-9</t>
  </si>
  <si>
    <t>9-10</t>
  </si>
  <si>
    <t>9-11</t>
  </si>
  <si>
    <t>9-12</t>
  </si>
  <si>
    <t>9-13</t>
  </si>
  <si>
    <t>9-16</t>
  </si>
  <si>
    <t>9-17</t>
  </si>
  <si>
    <t>9-19</t>
  </si>
  <si>
    <t>9-20</t>
  </si>
  <si>
    <t>9-21</t>
  </si>
  <si>
    <t>9-22</t>
  </si>
  <si>
    <t>10-5</t>
  </si>
  <si>
    <t>10-6</t>
  </si>
  <si>
    <t>11-1</t>
  </si>
  <si>
    <t>11-2</t>
  </si>
  <si>
    <t>11-3</t>
  </si>
  <si>
    <t>11-4</t>
  </si>
  <si>
    <t>11-5</t>
  </si>
  <si>
    <t>11-6</t>
  </si>
  <si>
    <t>12-1</t>
  </si>
  <si>
    <t>12-2</t>
  </si>
  <si>
    <t>12-3</t>
  </si>
  <si>
    <t>12-9</t>
  </si>
  <si>
    <t>12-10</t>
  </si>
  <si>
    <t>12-11</t>
  </si>
  <si>
    <t>12-12</t>
  </si>
  <si>
    <t>12-13</t>
  </si>
  <si>
    <t>13-7</t>
  </si>
  <si>
    <t>13-8</t>
  </si>
  <si>
    <t>13-9</t>
  </si>
  <si>
    <t>13-10</t>
  </si>
  <si>
    <t>13-11</t>
  </si>
  <si>
    <t>13-12</t>
  </si>
  <si>
    <t>13-13</t>
  </si>
  <si>
    <t>13-14</t>
  </si>
  <si>
    <t>13-15</t>
  </si>
  <si>
    <t>16-1</t>
  </si>
  <si>
    <t>16-2</t>
  </si>
  <si>
    <t>16-3</t>
  </si>
  <si>
    <t>16-4</t>
  </si>
  <si>
    <t>东方雅园二期</t>
  </si>
  <si>
    <t>17-1</t>
  </si>
  <si>
    <t>17-2</t>
  </si>
  <si>
    <t>17-3</t>
  </si>
  <si>
    <t>17-4</t>
  </si>
  <si>
    <t>17-5</t>
  </si>
  <si>
    <t>17-6</t>
  </si>
  <si>
    <t>17-7</t>
  </si>
  <si>
    <t>17-8</t>
  </si>
  <si>
    <t>17-9</t>
  </si>
  <si>
    <t>17-10</t>
  </si>
  <si>
    <t>17-11</t>
  </si>
  <si>
    <t>17-12</t>
  </si>
  <si>
    <t>17-13</t>
  </si>
  <si>
    <t>17-14</t>
  </si>
  <si>
    <t>18-1</t>
  </si>
  <si>
    <t>18-2</t>
  </si>
  <si>
    <t>18-3</t>
  </si>
  <si>
    <t>18-4</t>
  </si>
  <si>
    <t>18-5</t>
  </si>
  <si>
    <t>18-6</t>
  </si>
  <si>
    <t>18-7</t>
  </si>
  <si>
    <t>18-8</t>
  </si>
  <si>
    <t>18-9</t>
  </si>
  <si>
    <t>18-10</t>
  </si>
  <si>
    <t>18-11</t>
  </si>
  <si>
    <t>18-12</t>
  </si>
  <si>
    <t>18-13</t>
  </si>
  <si>
    <t>18-14</t>
  </si>
  <si>
    <t>19-1</t>
  </si>
  <si>
    <t>19-2</t>
  </si>
  <si>
    <t>19-3</t>
  </si>
  <si>
    <t>19-4</t>
  </si>
  <si>
    <t>19-5</t>
  </si>
  <si>
    <t>19-6</t>
  </si>
  <si>
    <t>19-7</t>
  </si>
  <si>
    <t>19-8</t>
  </si>
  <si>
    <t>19-9</t>
  </si>
  <si>
    <t>19-10</t>
  </si>
  <si>
    <t>19-11</t>
  </si>
  <si>
    <t>19-12</t>
  </si>
  <si>
    <t>19-13</t>
  </si>
  <si>
    <t>20-1</t>
  </si>
  <si>
    <t>20-2</t>
  </si>
  <si>
    <t>20-3</t>
  </si>
  <si>
    <t>20-4</t>
  </si>
  <si>
    <t>20-5</t>
  </si>
  <si>
    <t>20-6</t>
  </si>
  <si>
    <t>21-1</t>
  </si>
  <si>
    <t>21-2</t>
  </si>
  <si>
    <t>21-3</t>
  </si>
  <si>
    <t>21-4</t>
  </si>
  <si>
    <t>21-5</t>
  </si>
  <si>
    <t>21-6</t>
  </si>
  <si>
    <t>21-7</t>
  </si>
  <si>
    <t>21-8</t>
  </si>
  <si>
    <t>21-9</t>
  </si>
  <si>
    <t>21-10</t>
  </si>
  <si>
    <t>21-11</t>
  </si>
  <si>
    <t>21-12</t>
  </si>
  <si>
    <t>21-13</t>
  </si>
  <si>
    <t>21-14</t>
  </si>
  <si>
    <t>21-15</t>
  </si>
  <si>
    <t>21-16</t>
  </si>
  <si>
    <t>21-17</t>
  </si>
  <si>
    <t>21-18</t>
  </si>
  <si>
    <t>21-19</t>
  </si>
  <si>
    <t>22-1</t>
  </si>
  <si>
    <t>22-2</t>
  </si>
  <si>
    <t>22-3</t>
  </si>
  <si>
    <t>22-4</t>
  </si>
  <si>
    <t>22-5</t>
  </si>
  <si>
    <t>22-6</t>
  </si>
  <si>
    <t>22-7</t>
  </si>
  <si>
    <t>23-1</t>
  </si>
  <si>
    <t>23-2</t>
  </si>
  <si>
    <t>23-3</t>
  </si>
  <si>
    <t>23-4</t>
  </si>
  <si>
    <t>23-5</t>
  </si>
  <si>
    <t>23-6</t>
  </si>
  <si>
    <t>24-1</t>
  </si>
  <si>
    <t>24-2</t>
  </si>
  <si>
    <t>24-3</t>
  </si>
  <si>
    <t>24-4</t>
  </si>
  <si>
    <t>24-5</t>
  </si>
  <si>
    <t>24-6</t>
  </si>
  <si>
    <t>24-7</t>
  </si>
  <si>
    <t>24-8</t>
  </si>
  <si>
    <t>24-9</t>
  </si>
  <si>
    <t>24-10</t>
  </si>
  <si>
    <t>24-11</t>
  </si>
  <si>
    <t>24-12</t>
  </si>
  <si>
    <t>24-13</t>
  </si>
  <si>
    <t>24-14</t>
  </si>
  <si>
    <t>24-15</t>
  </si>
  <si>
    <t>24-16</t>
  </si>
  <si>
    <t>24-17</t>
  </si>
  <si>
    <t>24-18</t>
  </si>
  <si>
    <t>24-19</t>
  </si>
  <si>
    <t>24-20</t>
  </si>
  <si>
    <t>24-21</t>
  </si>
  <si>
    <t>25-1</t>
  </si>
  <si>
    <t>25-2</t>
  </si>
  <si>
    <t>25-3</t>
  </si>
  <si>
    <t>25-4</t>
  </si>
  <si>
    <t>25-5</t>
  </si>
  <si>
    <t>25-6</t>
  </si>
  <si>
    <t>25-7</t>
  </si>
  <si>
    <t>25-8</t>
  </si>
  <si>
    <t>25-9</t>
  </si>
  <si>
    <t>25-10</t>
  </si>
  <si>
    <t>26-1</t>
  </si>
  <si>
    <t>26-2</t>
  </si>
  <si>
    <t>26-3</t>
  </si>
  <si>
    <t>26-4</t>
  </si>
  <si>
    <t>26-5</t>
  </si>
  <si>
    <t>26-6</t>
  </si>
  <si>
    <t>26-7</t>
  </si>
  <si>
    <t>26-8</t>
  </si>
  <si>
    <t>26-9</t>
  </si>
  <si>
    <t>27-1</t>
  </si>
  <si>
    <t>27-2</t>
  </si>
  <si>
    <t>27-3</t>
  </si>
  <si>
    <t>27-4</t>
  </si>
  <si>
    <t>27-5</t>
  </si>
  <si>
    <t>27-6</t>
  </si>
  <si>
    <t>27-7</t>
  </si>
  <si>
    <t>27-8</t>
  </si>
  <si>
    <t>27-9</t>
  </si>
  <si>
    <t>27-10</t>
  </si>
  <si>
    <t>27-11</t>
  </si>
  <si>
    <t>27-12</t>
  </si>
  <si>
    <t>27-13</t>
  </si>
  <si>
    <t>27-14</t>
  </si>
  <si>
    <t>28-1</t>
  </si>
  <si>
    <t>28-2</t>
  </si>
  <si>
    <t>28-3</t>
  </si>
  <si>
    <t>28-4</t>
  </si>
  <si>
    <t>28-5</t>
  </si>
  <si>
    <t>28-6</t>
  </si>
  <si>
    <t>28-7</t>
  </si>
  <si>
    <t>28-8</t>
  </si>
  <si>
    <t>28-9</t>
  </si>
  <si>
    <t>28-10</t>
  </si>
  <si>
    <t>29-1</t>
  </si>
  <si>
    <t>29-2</t>
  </si>
  <si>
    <t>29-3</t>
  </si>
  <si>
    <t>29-4</t>
  </si>
  <si>
    <t>29-5</t>
  </si>
  <si>
    <t>30-1</t>
  </si>
  <si>
    <t>30-2</t>
  </si>
  <si>
    <t>30-3</t>
  </si>
  <si>
    <t>30-4</t>
  </si>
  <si>
    <t>30-5</t>
  </si>
  <si>
    <t>30-6</t>
  </si>
  <si>
    <t>30-7</t>
  </si>
  <si>
    <t>30-8</t>
  </si>
  <si>
    <t>31-1</t>
  </si>
  <si>
    <t>31-2</t>
  </si>
  <si>
    <t>31-3</t>
  </si>
  <si>
    <t>31-4</t>
  </si>
  <si>
    <t>31-5</t>
  </si>
  <si>
    <t>31-6</t>
  </si>
  <si>
    <t>31-7</t>
  </si>
  <si>
    <t>31-8</t>
  </si>
  <si>
    <t>31-9</t>
  </si>
  <si>
    <t>32-1</t>
  </si>
  <si>
    <t>32-2</t>
  </si>
  <si>
    <t>32-3</t>
  </si>
  <si>
    <t>32-4</t>
  </si>
  <si>
    <t>32-5</t>
  </si>
  <si>
    <t>32-6</t>
  </si>
  <si>
    <t>32-7</t>
  </si>
  <si>
    <t>32-8</t>
  </si>
  <si>
    <t>32-9</t>
  </si>
  <si>
    <t>32-10</t>
  </si>
  <si>
    <t>33-1</t>
  </si>
  <si>
    <t>33-2</t>
  </si>
  <si>
    <t>33-3</t>
  </si>
  <si>
    <t>33-4</t>
  </si>
  <si>
    <t>34-1</t>
  </si>
  <si>
    <t>34-2</t>
  </si>
  <si>
    <t>34-3</t>
  </si>
  <si>
    <t>34-4</t>
  </si>
  <si>
    <t>34-5</t>
  </si>
  <si>
    <t>东方雅园三期</t>
  </si>
  <si>
    <r>
      <t>1</t>
    </r>
    <r>
      <rPr>
        <sz val="11"/>
        <color theme="1"/>
        <rFont val="宋体"/>
        <family val="3"/>
        <charset val="134"/>
        <scheme val="minor"/>
      </rPr>
      <t>-1</t>
    </r>
  </si>
  <si>
    <r>
      <t>1</t>
    </r>
    <r>
      <rPr>
        <sz val="11"/>
        <color theme="1"/>
        <rFont val="宋体"/>
        <family val="3"/>
        <charset val="134"/>
        <scheme val="minor"/>
      </rPr>
      <t>-2</t>
    </r>
  </si>
  <si>
    <r>
      <t>1</t>
    </r>
    <r>
      <rPr>
        <sz val="11"/>
        <color theme="1"/>
        <rFont val="宋体"/>
        <family val="3"/>
        <charset val="134"/>
        <scheme val="minor"/>
      </rPr>
      <t>-3</t>
    </r>
  </si>
  <si>
    <r>
      <t>1</t>
    </r>
    <r>
      <rPr>
        <sz val="11"/>
        <color theme="1"/>
        <rFont val="宋体"/>
        <family val="3"/>
        <charset val="134"/>
        <scheme val="minor"/>
      </rPr>
      <t>-4</t>
    </r>
  </si>
  <si>
    <r>
      <t>1</t>
    </r>
    <r>
      <rPr>
        <sz val="11"/>
        <color theme="1"/>
        <rFont val="宋体"/>
        <family val="3"/>
        <charset val="134"/>
        <scheme val="minor"/>
      </rPr>
      <t>-5</t>
    </r>
  </si>
  <si>
    <r>
      <t>1</t>
    </r>
    <r>
      <rPr>
        <sz val="11"/>
        <color theme="1"/>
        <rFont val="宋体"/>
        <family val="3"/>
        <charset val="134"/>
        <scheme val="minor"/>
      </rPr>
      <t>-6</t>
    </r>
  </si>
  <si>
    <r>
      <t>1</t>
    </r>
    <r>
      <rPr>
        <sz val="11"/>
        <color theme="1"/>
        <rFont val="宋体"/>
        <family val="3"/>
        <charset val="134"/>
        <scheme val="minor"/>
      </rPr>
      <t>-7</t>
    </r>
  </si>
  <si>
    <r>
      <t>2</t>
    </r>
    <r>
      <rPr>
        <sz val="11"/>
        <color theme="1"/>
        <rFont val="宋体"/>
        <family val="3"/>
        <charset val="134"/>
        <scheme val="minor"/>
      </rPr>
      <t>-1</t>
    </r>
  </si>
  <si>
    <r>
      <t>2</t>
    </r>
    <r>
      <rPr>
        <sz val="11"/>
        <color theme="1"/>
        <rFont val="宋体"/>
        <family val="3"/>
        <charset val="134"/>
        <scheme val="minor"/>
      </rPr>
      <t>-2</t>
    </r>
  </si>
  <si>
    <r>
      <t>2</t>
    </r>
    <r>
      <rPr>
        <sz val="11"/>
        <color theme="1"/>
        <rFont val="宋体"/>
        <family val="3"/>
        <charset val="134"/>
        <scheme val="minor"/>
      </rPr>
      <t>-3</t>
    </r>
  </si>
  <si>
    <r>
      <t>2</t>
    </r>
    <r>
      <rPr>
        <sz val="11"/>
        <color theme="1"/>
        <rFont val="宋体"/>
        <family val="3"/>
        <charset val="134"/>
        <scheme val="minor"/>
      </rPr>
      <t>-4</t>
    </r>
  </si>
  <si>
    <r>
      <t>2</t>
    </r>
    <r>
      <rPr>
        <sz val="11"/>
        <color theme="1"/>
        <rFont val="宋体"/>
        <family val="3"/>
        <charset val="134"/>
        <scheme val="minor"/>
      </rPr>
      <t>-5</t>
    </r>
  </si>
  <si>
    <r>
      <t>2</t>
    </r>
    <r>
      <rPr>
        <sz val="11"/>
        <color theme="1"/>
        <rFont val="宋体"/>
        <family val="3"/>
        <charset val="134"/>
        <scheme val="minor"/>
      </rPr>
      <t>-6</t>
    </r>
  </si>
  <si>
    <r>
      <t>2</t>
    </r>
    <r>
      <rPr>
        <sz val="11"/>
        <color theme="1"/>
        <rFont val="宋体"/>
        <family val="3"/>
        <charset val="134"/>
        <scheme val="minor"/>
      </rPr>
      <t>-7</t>
    </r>
  </si>
  <si>
    <r>
      <t>2</t>
    </r>
    <r>
      <rPr>
        <sz val="11"/>
        <color theme="1"/>
        <rFont val="宋体"/>
        <family val="3"/>
        <charset val="134"/>
        <scheme val="minor"/>
      </rPr>
      <t>-8</t>
    </r>
  </si>
  <si>
    <r>
      <t>2</t>
    </r>
    <r>
      <rPr>
        <sz val="11"/>
        <color theme="1"/>
        <rFont val="宋体"/>
        <family val="3"/>
        <charset val="134"/>
        <scheme val="minor"/>
      </rPr>
      <t>-9</t>
    </r>
  </si>
  <si>
    <r>
      <t>2</t>
    </r>
    <r>
      <rPr>
        <sz val="11"/>
        <color theme="1"/>
        <rFont val="宋体"/>
        <family val="3"/>
        <charset val="134"/>
        <scheme val="minor"/>
      </rPr>
      <t>-10</t>
    </r>
  </si>
  <si>
    <r>
      <t>2</t>
    </r>
    <r>
      <rPr>
        <sz val="11"/>
        <color theme="1"/>
        <rFont val="宋体"/>
        <family val="3"/>
        <charset val="134"/>
        <scheme val="minor"/>
      </rPr>
      <t>-11</t>
    </r>
  </si>
  <si>
    <r>
      <t>2</t>
    </r>
    <r>
      <rPr>
        <sz val="11"/>
        <color theme="1"/>
        <rFont val="宋体"/>
        <family val="3"/>
        <charset val="134"/>
        <scheme val="minor"/>
      </rPr>
      <t>-12</t>
    </r>
  </si>
  <si>
    <r>
      <t>3</t>
    </r>
    <r>
      <rPr>
        <sz val="11"/>
        <color theme="1"/>
        <rFont val="宋体"/>
        <family val="3"/>
        <charset val="134"/>
        <scheme val="minor"/>
      </rPr>
      <t>-1复式</t>
    </r>
  </si>
  <si>
    <r>
      <t>3</t>
    </r>
    <r>
      <rPr>
        <sz val="11"/>
        <color theme="1"/>
        <rFont val="宋体"/>
        <family val="3"/>
        <charset val="134"/>
        <scheme val="minor"/>
      </rPr>
      <t>-2复式</t>
    </r>
  </si>
  <si>
    <r>
      <t>3</t>
    </r>
    <r>
      <rPr>
        <sz val="11"/>
        <color theme="1"/>
        <rFont val="宋体"/>
        <family val="3"/>
        <charset val="134"/>
        <scheme val="minor"/>
      </rPr>
      <t>-3复式</t>
    </r>
  </si>
  <si>
    <r>
      <t>3</t>
    </r>
    <r>
      <rPr>
        <sz val="11"/>
        <color theme="1"/>
        <rFont val="宋体"/>
        <family val="3"/>
        <charset val="134"/>
        <scheme val="minor"/>
      </rPr>
      <t>-4复式</t>
    </r>
  </si>
  <si>
    <r>
      <t>3</t>
    </r>
    <r>
      <rPr>
        <sz val="11"/>
        <color theme="1"/>
        <rFont val="宋体"/>
        <family val="3"/>
        <charset val="134"/>
        <scheme val="minor"/>
      </rPr>
      <t>-5复式</t>
    </r>
  </si>
  <si>
    <r>
      <t>3</t>
    </r>
    <r>
      <rPr>
        <sz val="11"/>
        <color theme="1"/>
        <rFont val="宋体"/>
        <family val="3"/>
        <charset val="134"/>
        <scheme val="minor"/>
      </rPr>
      <t>-6</t>
    </r>
  </si>
  <si>
    <r>
      <t>3</t>
    </r>
    <r>
      <rPr>
        <sz val="11"/>
        <color theme="1"/>
        <rFont val="宋体"/>
        <family val="3"/>
        <charset val="134"/>
        <scheme val="minor"/>
      </rPr>
      <t>-7</t>
    </r>
  </si>
  <si>
    <r>
      <t>3</t>
    </r>
    <r>
      <rPr>
        <sz val="11"/>
        <color theme="1"/>
        <rFont val="宋体"/>
        <family val="3"/>
        <charset val="134"/>
        <scheme val="minor"/>
      </rPr>
      <t>-8</t>
    </r>
  </si>
  <si>
    <r>
      <t>5</t>
    </r>
    <r>
      <rPr>
        <sz val="11"/>
        <color theme="1"/>
        <rFont val="宋体"/>
        <family val="3"/>
        <charset val="134"/>
        <scheme val="minor"/>
      </rPr>
      <t>-1</t>
    </r>
  </si>
  <si>
    <r>
      <t>5</t>
    </r>
    <r>
      <rPr>
        <sz val="11"/>
        <color theme="1"/>
        <rFont val="宋体"/>
        <family val="3"/>
        <charset val="134"/>
        <scheme val="minor"/>
      </rPr>
      <t>-2</t>
    </r>
  </si>
  <si>
    <r>
      <t>5</t>
    </r>
    <r>
      <rPr>
        <sz val="11"/>
        <color theme="1"/>
        <rFont val="宋体"/>
        <family val="3"/>
        <charset val="134"/>
        <scheme val="minor"/>
      </rPr>
      <t>-3</t>
    </r>
  </si>
  <si>
    <r>
      <t>5</t>
    </r>
    <r>
      <rPr>
        <sz val="11"/>
        <color theme="1"/>
        <rFont val="宋体"/>
        <family val="3"/>
        <charset val="134"/>
        <scheme val="minor"/>
      </rPr>
      <t>-4</t>
    </r>
  </si>
  <si>
    <r>
      <t>5</t>
    </r>
    <r>
      <rPr>
        <sz val="11"/>
        <color theme="1"/>
        <rFont val="宋体"/>
        <family val="3"/>
        <charset val="134"/>
        <scheme val="minor"/>
      </rPr>
      <t>-5</t>
    </r>
  </si>
  <si>
    <r>
      <t>5</t>
    </r>
    <r>
      <rPr>
        <sz val="11"/>
        <color theme="1"/>
        <rFont val="宋体"/>
        <family val="3"/>
        <charset val="134"/>
        <scheme val="minor"/>
      </rPr>
      <t>-6</t>
    </r>
  </si>
  <si>
    <r>
      <t>5</t>
    </r>
    <r>
      <rPr>
        <sz val="11"/>
        <color theme="1"/>
        <rFont val="宋体"/>
        <family val="3"/>
        <charset val="134"/>
        <scheme val="minor"/>
      </rPr>
      <t>-7</t>
    </r>
  </si>
  <si>
    <r>
      <t>6</t>
    </r>
    <r>
      <rPr>
        <sz val="11"/>
        <color theme="1"/>
        <rFont val="宋体"/>
        <family val="3"/>
        <charset val="134"/>
        <scheme val="minor"/>
      </rPr>
      <t>-1</t>
    </r>
  </si>
  <si>
    <r>
      <t>6</t>
    </r>
    <r>
      <rPr>
        <sz val="11"/>
        <color theme="1"/>
        <rFont val="宋体"/>
        <family val="3"/>
        <charset val="134"/>
        <scheme val="minor"/>
      </rPr>
      <t>-2</t>
    </r>
  </si>
  <si>
    <r>
      <t>6</t>
    </r>
    <r>
      <rPr>
        <sz val="11"/>
        <color theme="1"/>
        <rFont val="宋体"/>
        <family val="3"/>
        <charset val="134"/>
        <scheme val="minor"/>
      </rPr>
      <t>-3</t>
    </r>
  </si>
  <si>
    <r>
      <t>9</t>
    </r>
    <r>
      <rPr>
        <sz val="11"/>
        <color theme="1"/>
        <rFont val="宋体"/>
        <family val="3"/>
        <charset val="134"/>
        <scheme val="minor"/>
      </rPr>
      <t>-2</t>
    </r>
  </si>
  <si>
    <r>
      <t>9</t>
    </r>
    <r>
      <rPr>
        <sz val="11"/>
        <color theme="1"/>
        <rFont val="宋体"/>
        <family val="3"/>
        <charset val="134"/>
        <scheme val="minor"/>
      </rPr>
      <t>-3</t>
    </r>
  </si>
  <si>
    <r>
      <t>9</t>
    </r>
    <r>
      <rPr>
        <sz val="11"/>
        <color theme="1"/>
        <rFont val="宋体"/>
        <family val="3"/>
        <charset val="134"/>
        <scheme val="minor"/>
      </rPr>
      <t>-4</t>
    </r>
  </si>
  <si>
    <r>
      <t>9</t>
    </r>
    <r>
      <rPr>
        <sz val="11"/>
        <color theme="1"/>
        <rFont val="宋体"/>
        <family val="3"/>
        <charset val="134"/>
        <scheme val="minor"/>
      </rPr>
      <t>-5</t>
    </r>
  </si>
  <si>
    <r>
      <t>9</t>
    </r>
    <r>
      <rPr>
        <sz val="11"/>
        <color theme="1"/>
        <rFont val="宋体"/>
        <family val="3"/>
        <charset val="134"/>
        <scheme val="minor"/>
      </rPr>
      <t>-6</t>
    </r>
  </si>
  <si>
    <r>
      <t>9</t>
    </r>
    <r>
      <rPr>
        <sz val="11"/>
        <color theme="1"/>
        <rFont val="宋体"/>
        <family val="3"/>
        <charset val="134"/>
        <scheme val="minor"/>
      </rPr>
      <t>-7</t>
    </r>
  </si>
  <si>
    <r>
      <t>1</t>
    </r>
    <r>
      <rPr>
        <sz val="11"/>
        <color theme="1"/>
        <rFont val="宋体"/>
        <family val="3"/>
        <charset val="134"/>
        <scheme val="minor"/>
      </rPr>
      <t>0-1</t>
    </r>
  </si>
  <si>
    <r>
      <t>1</t>
    </r>
    <r>
      <rPr>
        <sz val="11"/>
        <color theme="1"/>
        <rFont val="宋体"/>
        <family val="3"/>
        <charset val="134"/>
        <scheme val="minor"/>
      </rPr>
      <t>0-2</t>
    </r>
  </si>
  <si>
    <r>
      <t>1</t>
    </r>
    <r>
      <rPr>
        <sz val="11"/>
        <color theme="1"/>
        <rFont val="宋体"/>
        <family val="3"/>
        <charset val="134"/>
        <scheme val="minor"/>
      </rPr>
      <t>0-3</t>
    </r>
  </si>
  <si>
    <r>
      <t>1</t>
    </r>
    <r>
      <rPr>
        <sz val="11"/>
        <color theme="1"/>
        <rFont val="宋体"/>
        <family val="3"/>
        <charset val="134"/>
        <scheme val="minor"/>
      </rPr>
      <t>0-4</t>
    </r>
  </si>
  <si>
    <r>
      <t>1</t>
    </r>
    <r>
      <rPr>
        <sz val="11"/>
        <color theme="1"/>
        <rFont val="宋体"/>
        <family val="3"/>
        <charset val="134"/>
        <scheme val="minor"/>
      </rPr>
      <t>1-1</t>
    </r>
  </si>
  <si>
    <r>
      <t>1</t>
    </r>
    <r>
      <rPr>
        <sz val="11"/>
        <color theme="1"/>
        <rFont val="宋体"/>
        <family val="3"/>
        <charset val="134"/>
        <scheme val="minor"/>
      </rPr>
      <t>1-3</t>
    </r>
  </si>
  <si>
    <r>
      <t>1</t>
    </r>
    <r>
      <rPr>
        <sz val="11"/>
        <color theme="1"/>
        <rFont val="宋体"/>
        <family val="3"/>
        <charset val="134"/>
        <scheme val="minor"/>
      </rPr>
      <t>1-4</t>
    </r>
  </si>
  <si>
    <r>
      <t>1</t>
    </r>
    <r>
      <rPr>
        <sz val="11"/>
        <color theme="1"/>
        <rFont val="宋体"/>
        <family val="3"/>
        <charset val="134"/>
        <scheme val="minor"/>
      </rPr>
      <t>1-5</t>
    </r>
  </si>
  <si>
    <r>
      <t>1</t>
    </r>
    <r>
      <rPr>
        <sz val="11"/>
        <color theme="1"/>
        <rFont val="宋体"/>
        <family val="3"/>
        <charset val="134"/>
        <scheme val="minor"/>
      </rPr>
      <t>1-6</t>
    </r>
  </si>
  <si>
    <r>
      <t>1</t>
    </r>
    <r>
      <rPr>
        <sz val="11"/>
        <color theme="1"/>
        <rFont val="宋体"/>
        <family val="3"/>
        <charset val="134"/>
        <scheme val="minor"/>
      </rPr>
      <t>1-7</t>
    </r>
  </si>
  <si>
    <r>
      <t>1</t>
    </r>
    <r>
      <rPr>
        <sz val="11"/>
        <color theme="1"/>
        <rFont val="宋体"/>
        <family val="3"/>
        <charset val="134"/>
        <scheme val="minor"/>
      </rPr>
      <t>1-8</t>
    </r>
  </si>
  <si>
    <r>
      <t>1</t>
    </r>
    <r>
      <rPr>
        <sz val="11"/>
        <color theme="1"/>
        <rFont val="宋体"/>
        <family val="3"/>
        <charset val="134"/>
        <scheme val="minor"/>
      </rPr>
      <t>2-1复式</t>
    </r>
  </si>
  <si>
    <r>
      <t>1</t>
    </r>
    <r>
      <rPr>
        <sz val="11"/>
        <color theme="1"/>
        <rFont val="宋体"/>
        <family val="3"/>
        <charset val="134"/>
        <scheme val="minor"/>
      </rPr>
      <t>2-2复式</t>
    </r>
  </si>
  <si>
    <r>
      <t>1</t>
    </r>
    <r>
      <rPr>
        <sz val="11"/>
        <color theme="1"/>
        <rFont val="宋体"/>
        <family val="3"/>
        <charset val="134"/>
        <scheme val="minor"/>
      </rPr>
      <t>2-3复式</t>
    </r>
  </si>
  <si>
    <r>
      <t>1</t>
    </r>
    <r>
      <rPr>
        <sz val="11"/>
        <color theme="1"/>
        <rFont val="宋体"/>
        <family val="3"/>
        <charset val="134"/>
        <scheme val="minor"/>
      </rPr>
      <t>2-4复式</t>
    </r>
  </si>
  <si>
    <r>
      <t>1</t>
    </r>
    <r>
      <rPr>
        <sz val="11"/>
        <color theme="1"/>
        <rFont val="宋体"/>
        <family val="3"/>
        <charset val="134"/>
        <scheme val="minor"/>
      </rPr>
      <t>2-5</t>
    </r>
  </si>
  <si>
    <r>
      <t>1</t>
    </r>
    <r>
      <rPr>
        <sz val="11"/>
        <color theme="1"/>
        <rFont val="宋体"/>
        <family val="3"/>
        <charset val="134"/>
        <scheme val="minor"/>
      </rPr>
      <t>2-6</t>
    </r>
  </si>
  <si>
    <r>
      <t>1</t>
    </r>
    <r>
      <rPr>
        <sz val="11"/>
        <color theme="1"/>
        <rFont val="宋体"/>
        <family val="3"/>
        <charset val="134"/>
        <scheme val="minor"/>
      </rPr>
      <t>2-7</t>
    </r>
  </si>
  <si>
    <r>
      <t>1</t>
    </r>
    <r>
      <rPr>
        <sz val="11"/>
        <color theme="1"/>
        <rFont val="宋体"/>
        <family val="3"/>
        <charset val="134"/>
        <scheme val="minor"/>
      </rPr>
      <t>2-8</t>
    </r>
  </si>
  <si>
    <r>
      <t>1</t>
    </r>
    <r>
      <rPr>
        <sz val="11"/>
        <color theme="1"/>
        <rFont val="宋体"/>
        <family val="3"/>
        <charset val="134"/>
        <scheme val="minor"/>
      </rPr>
      <t>2-9</t>
    </r>
  </si>
  <si>
    <r>
      <t>1</t>
    </r>
    <r>
      <rPr>
        <sz val="11"/>
        <color theme="1"/>
        <rFont val="宋体"/>
        <family val="3"/>
        <charset val="134"/>
        <scheme val="minor"/>
      </rPr>
      <t>2-10</t>
    </r>
  </si>
  <si>
    <r>
      <t>1</t>
    </r>
    <r>
      <rPr>
        <sz val="11"/>
        <color theme="1"/>
        <rFont val="宋体"/>
        <family val="3"/>
        <charset val="134"/>
        <scheme val="minor"/>
      </rPr>
      <t>3-1</t>
    </r>
  </si>
  <si>
    <r>
      <t>1</t>
    </r>
    <r>
      <rPr>
        <sz val="11"/>
        <color theme="1"/>
        <rFont val="宋体"/>
        <family val="3"/>
        <charset val="134"/>
        <scheme val="minor"/>
      </rPr>
      <t>3-2</t>
    </r>
  </si>
  <si>
    <r>
      <t>1</t>
    </r>
    <r>
      <rPr>
        <sz val="11"/>
        <color theme="1"/>
        <rFont val="宋体"/>
        <family val="3"/>
        <charset val="134"/>
        <scheme val="minor"/>
      </rPr>
      <t>3-3</t>
    </r>
  </si>
  <si>
    <r>
      <t>1</t>
    </r>
    <r>
      <rPr>
        <sz val="11"/>
        <color theme="1"/>
        <rFont val="宋体"/>
        <family val="3"/>
        <charset val="134"/>
        <scheme val="minor"/>
      </rPr>
      <t>3-4</t>
    </r>
  </si>
  <si>
    <r>
      <t>1</t>
    </r>
    <r>
      <rPr>
        <sz val="11"/>
        <color theme="1"/>
        <rFont val="宋体"/>
        <family val="3"/>
        <charset val="134"/>
        <scheme val="minor"/>
      </rPr>
      <t>3-5复式</t>
    </r>
  </si>
  <si>
    <r>
      <t>1</t>
    </r>
    <r>
      <rPr>
        <sz val="11"/>
        <color theme="1"/>
        <rFont val="宋体"/>
        <family val="3"/>
        <charset val="134"/>
        <scheme val="minor"/>
      </rPr>
      <t>3-6复式</t>
    </r>
  </si>
  <si>
    <r>
      <t>1</t>
    </r>
    <r>
      <rPr>
        <sz val="11"/>
        <color theme="1"/>
        <rFont val="宋体"/>
        <family val="3"/>
        <charset val="134"/>
        <scheme val="minor"/>
      </rPr>
      <t>3-7复式</t>
    </r>
  </si>
  <si>
    <r>
      <t>1</t>
    </r>
    <r>
      <rPr>
        <sz val="11"/>
        <color theme="1"/>
        <rFont val="宋体"/>
        <family val="3"/>
        <charset val="134"/>
        <scheme val="minor"/>
      </rPr>
      <t>3-8复式</t>
    </r>
  </si>
  <si>
    <r>
      <t>1</t>
    </r>
    <r>
      <rPr>
        <sz val="11"/>
        <color theme="1"/>
        <rFont val="宋体"/>
        <family val="3"/>
        <charset val="134"/>
        <scheme val="minor"/>
      </rPr>
      <t>4-1</t>
    </r>
  </si>
  <si>
    <r>
      <t>1</t>
    </r>
    <r>
      <rPr>
        <sz val="11"/>
        <color theme="1"/>
        <rFont val="宋体"/>
        <family val="3"/>
        <charset val="134"/>
        <scheme val="minor"/>
      </rPr>
      <t>4-2</t>
    </r>
  </si>
  <si>
    <r>
      <t>1</t>
    </r>
    <r>
      <rPr>
        <sz val="11"/>
        <color theme="1"/>
        <rFont val="宋体"/>
        <family val="3"/>
        <charset val="134"/>
        <scheme val="minor"/>
      </rPr>
      <t>4-3</t>
    </r>
  </si>
  <si>
    <r>
      <t>1</t>
    </r>
    <r>
      <rPr>
        <sz val="11"/>
        <color theme="1"/>
        <rFont val="宋体"/>
        <family val="3"/>
        <charset val="134"/>
        <scheme val="minor"/>
      </rPr>
      <t>4-4</t>
    </r>
  </si>
  <si>
    <r>
      <t>1</t>
    </r>
    <r>
      <rPr>
        <sz val="11"/>
        <color theme="1"/>
        <rFont val="宋体"/>
        <family val="3"/>
        <charset val="134"/>
        <scheme val="minor"/>
      </rPr>
      <t>4-5</t>
    </r>
  </si>
  <si>
    <r>
      <t>1</t>
    </r>
    <r>
      <rPr>
        <sz val="11"/>
        <color theme="1"/>
        <rFont val="宋体"/>
        <family val="3"/>
        <charset val="134"/>
        <scheme val="minor"/>
      </rPr>
      <t>4-6</t>
    </r>
  </si>
  <si>
    <r>
      <t>1</t>
    </r>
    <r>
      <rPr>
        <sz val="11"/>
        <color theme="1"/>
        <rFont val="宋体"/>
        <family val="3"/>
        <charset val="134"/>
        <scheme val="minor"/>
      </rPr>
      <t>4-7</t>
    </r>
  </si>
  <si>
    <r>
      <t>1</t>
    </r>
    <r>
      <rPr>
        <sz val="11"/>
        <color theme="1"/>
        <rFont val="宋体"/>
        <family val="3"/>
        <charset val="134"/>
        <scheme val="minor"/>
      </rPr>
      <t>4-8</t>
    </r>
  </si>
  <si>
    <r>
      <t>1</t>
    </r>
    <r>
      <rPr>
        <sz val="11"/>
        <color theme="1"/>
        <rFont val="宋体"/>
        <family val="3"/>
        <charset val="134"/>
        <scheme val="minor"/>
      </rPr>
      <t>7-1复式</t>
    </r>
  </si>
  <si>
    <r>
      <t>1</t>
    </r>
    <r>
      <rPr>
        <sz val="11"/>
        <color theme="1"/>
        <rFont val="宋体"/>
        <family val="3"/>
        <charset val="134"/>
        <scheme val="minor"/>
      </rPr>
      <t>7-2复式</t>
    </r>
  </si>
  <si>
    <r>
      <t>1</t>
    </r>
    <r>
      <rPr>
        <sz val="11"/>
        <color theme="1"/>
        <rFont val="宋体"/>
        <family val="3"/>
        <charset val="134"/>
        <scheme val="minor"/>
      </rPr>
      <t>7-3复式</t>
    </r>
  </si>
  <si>
    <r>
      <t>1</t>
    </r>
    <r>
      <rPr>
        <sz val="11"/>
        <color theme="1"/>
        <rFont val="宋体"/>
        <family val="3"/>
        <charset val="134"/>
        <scheme val="minor"/>
      </rPr>
      <t>7-4复式</t>
    </r>
  </si>
  <si>
    <r>
      <t>1</t>
    </r>
    <r>
      <rPr>
        <sz val="11"/>
        <color theme="1"/>
        <rFont val="宋体"/>
        <family val="3"/>
        <charset val="134"/>
        <scheme val="minor"/>
      </rPr>
      <t>7-5复式</t>
    </r>
  </si>
  <si>
    <r>
      <t>1</t>
    </r>
    <r>
      <rPr>
        <sz val="11"/>
        <color theme="1"/>
        <rFont val="宋体"/>
        <family val="3"/>
        <charset val="134"/>
        <scheme val="minor"/>
      </rPr>
      <t>7-6复式</t>
    </r>
  </si>
  <si>
    <t>东方雅园未售资产统计表</t>
    <phoneticPr fontId="143" type="noConversion"/>
  </si>
  <si>
    <t>底商</t>
  </si>
  <si>
    <t>请录依据文件名称：</t>
    <phoneticPr fontId="3" type="noConversion"/>
  </si>
  <si>
    <t>押一</t>
  </si>
  <si>
    <t>武汉市洪山区工业三路</t>
    <phoneticPr fontId="3" type="noConversion"/>
  </si>
  <si>
    <t>一般</t>
  </si>
  <si>
    <t>较差</t>
  </si>
  <si>
    <t>武汉市青山区仁和路</t>
    <phoneticPr fontId="3" type="noConversion"/>
  </si>
  <si>
    <r>
      <t>1-2</t>
    </r>
    <r>
      <rPr>
        <sz val="10"/>
        <color indexed="8"/>
        <rFont val="宋体"/>
        <family val="3"/>
        <charset val="134"/>
      </rPr>
      <t>层</t>
    </r>
    <phoneticPr fontId="25" type="noConversion"/>
  </si>
  <si>
    <r>
      <t>4</t>
    </r>
    <r>
      <rPr>
        <sz val="10"/>
        <color indexed="8"/>
        <rFont val="宋体"/>
        <family val="3"/>
        <charset val="134"/>
      </rPr>
      <t>层</t>
    </r>
    <phoneticPr fontId="25" type="noConversion"/>
  </si>
  <si>
    <t>1-2层</t>
  </si>
  <si>
    <t>武汉市青山区友谊大道1062号</t>
    <phoneticPr fontId="3" type="noConversion"/>
  </si>
  <si>
    <t>项目名称</t>
    <phoneticPr fontId="143" type="noConversion"/>
  </si>
  <si>
    <t>面积</t>
    <phoneticPr fontId="143" type="noConversion"/>
  </si>
  <si>
    <t>价值</t>
    <phoneticPr fontId="143" type="noConversion"/>
  </si>
  <si>
    <t>东方雅园</t>
    <phoneticPr fontId="143" type="noConversion"/>
  </si>
  <si>
    <t>同安家园</t>
    <phoneticPr fontId="143" type="noConversion"/>
  </si>
  <si>
    <t>单价</t>
    <phoneticPr fontId="143" type="noConversion"/>
  </si>
  <si>
    <t>新干线</t>
    <phoneticPr fontId="143" type="noConversion"/>
  </si>
  <si>
    <t>备注</t>
    <phoneticPr fontId="143" type="noConversion"/>
  </si>
  <si>
    <r>
      <t>办公楼商1、商</t>
    </r>
    <r>
      <rPr>
        <sz val="11"/>
        <color theme="1"/>
        <rFont val="宋体"/>
        <family val="3"/>
        <charset val="134"/>
        <scheme val="minor"/>
      </rPr>
      <t>2、商3需企业确定</t>
    </r>
    <phoneticPr fontId="143" type="noConversion"/>
  </si>
  <si>
    <t>合计</t>
    <phoneticPr fontId="143" type="noConversion"/>
  </si>
  <si>
    <t>艳阳天分层面积没有，现为各层均分</t>
    <phoneticPr fontId="143" type="noConversion"/>
  </si>
  <si>
    <t>划拨</t>
  </si>
  <si>
    <t>天成美景</t>
    <phoneticPr fontId="143" type="noConversion"/>
  </si>
  <si>
    <t>天成美雅</t>
    <phoneticPr fontId="143" type="noConversion"/>
  </si>
  <si>
    <t>1-6</t>
    <phoneticPr fontId="143" type="noConversion"/>
  </si>
  <si>
    <r>
      <t>湖北省武汉市洪山区天成美景项目</t>
    </r>
    <r>
      <rPr>
        <sz val="9"/>
        <color theme="1"/>
        <rFont val="Arial"/>
        <family val="2"/>
      </rPr>
      <t>1#</t>
    </r>
    <r>
      <rPr>
        <sz val="9"/>
        <color theme="1"/>
        <rFont val="华文细黑"/>
        <family val="3"/>
        <charset val="134"/>
      </rPr>
      <t>商</t>
    </r>
    <r>
      <rPr>
        <sz val="9"/>
        <color theme="1"/>
        <rFont val="Arial"/>
        <family val="2"/>
      </rPr>
      <t>1</t>
    </r>
    <r>
      <rPr>
        <sz val="9"/>
        <color theme="1"/>
        <rFont val="华文细黑"/>
        <family val="3"/>
        <charset val="134"/>
      </rPr>
      <t>号等</t>
    </r>
    <r>
      <rPr>
        <sz val="9"/>
        <color theme="1"/>
        <rFont val="Arial"/>
        <family val="2"/>
      </rPr>
      <t>100</t>
    </r>
    <r>
      <rPr>
        <sz val="9"/>
        <color theme="1"/>
        <rFont val="华文细黑"/>
        <family val="3"/>
        <charset val="134"/>
      </rPr>
      <t>套商业用房房地产</t>
    </r>
  </si>
  <si>
    <r>
      <t>30-40</t>
    </r>
    <r>
      <rPr>
        <sz val="9"/>
        <color theme="1"/>
        <rFont val="华文细黑"/>
        <family val="3"/>
        <charset val="134"/>
      </rPr>
      <t>（含）</t>
    </r>
  </si>
  <si>
    <t>商业繁华度</t>
  </si>
  <si>
    <t>交通便捷度</t>
  </si>
  <si>
    <t>自然及人文环境</t>
  </si>
  <si>
    <t>临街状况</t>
  </si>
  <si>
    <t>可视性</t>
  </si>
  <si>
    <t>人流量</t>
  </si>
  <si>
    <t>楼层</t>
  </si>
  <si>
    <r>
      <t>1</t>
    </r>
    <r>
      <rPr>
        <sz val="9"/>
        <color theme="1"/>
        <rFont val="华文细黑"/>
        <family val="3"/>
        <charset val="134"/>
      </rPr>
      <t>层</t>
    </r>
  </si>
  <si>
    <t>商业类型</t>
  </si>
  <si>
    <t>业态</t>
  </si>
  <si>
    <t>层高</t>
  </si>
  <si>
    <t>单套建筑面积（平方米）</t>
  </si>
  <si>
    <t>进深比</t>
  </si>
  <si>
    <t>东方雅园</t>
    <phoneticPr fontId="143" type="noConversion"/>
  </si>
  <si>
    <t>东方丽锦</t>
    <phoneticPr fontId="143" type="noConversion"/>
  </si>
  <si>
    <t>武汉市洪山区工业三路</t>
    <phoneticPr fontId="143" type="noConversion"/>
  </si>
  <si>
    <t>福星惠誉.青城华府</t>
    <phoneticPr fontId="143" type="noConversion"/>
  </si>
  <si>
    <t>武汉市青山区仁和路</t>
    <phoneticPr fontId="143" type="noConversion"/>
  </si>
  <si>
    <t>钢花南苑</t>
    <phoneticPr fontId="143" type="noConversion"/>
  </si>
  <si>
    <t>武汉市青山区友谊大道1062号</t>
    <phoneticPr fontId="143" type="noConversion"/>
  </si>
  <si>
    <t>周边有东方丽锦、福星惠誉.青城华府、钢花南苑等项目，商业繁华度一般；</t>
    <phoneticPr fontId="143" type="noConversion"/>
  </si>
  <si>
    <t>周边有东方雅园、福星惠誉.青城华府、钢花南苑等项目，商业繁华度一般；</t>
    <phoneticPr fontId="143" type="noConversion"/>
  </si>
  <si>
    <t>周边有东方雅园、东方丽锦、钢花南苑等项目，商业繁华度一般；</t>
    <phoneticPr fontId="143" type="noConversion"/>
  </si>
  <si>
    <t>周边有东方雅园、东方丽锦、福星惠誉.青城华府等项目，商业繁华度一般；</t>
    <phoneticPr fontId="143" type="noConversion"/>
  </si>
  <si>
    <t>估价对象周边路网密集度一般、停车较便捷、周边有349路等多条公共线路经过，交通状况一般；</t>
    <phoneticPr fontId="143" type="noConversion"/>
  </si>
  <si>
    <t>估价对象周边路网密集度一般、停车较便捷、周边有545、616路等多条公共线路经过，交通状况一般；</t>
    <phoneticPr fontId="143" type="noConversion"/>
  </si>
  <si>
    <r>
      <t>估价对象周边</t>
    </r>
    <r>
      <rPr>
        <sz val="9"/>
        <color theme="1"/>
        <rFont val="Arial"/>
        <family val="2"/>
      </rPr>
      <t>1</t>
    </r>
    <r>
      <rPr>
        <sz val="9"/>
        <color theme="1"/>
        <rFont val="华文细黑"/>
        <family val="3"/>
        <charset val="134"/>
      </rPr>
      <t>公里内的公共服务配套设施齐备，有超市（中百超市、中百仓储超市等）、银行（华夏银行、武汉农村商业银行等）、学校（洪山区北洋桥小学、武汉市钢城第十六中学等）、餐饮（简朴寨、老乡长等）；</t>
    </r>
    <phoneticPr fontId="143" type="noConversion"/>
  </si>
  <si>
    <r>
      <t>估价对象周边</t>
    </r>
    <r>
      <rPr>
        <sz val="9"/>
        <color theme="1"/>
        <rFont val="Arial"/>
        <family val="2"/>
      </rPr>
      <t>1</t>
    </r>
    <r>
      <rPr>
        <sz val="9"/>
        <color theme="1"/>
        <rFont val="华文细黑"/>
        <family val="3"/>
        <charset val="134"/>
      </rPr>
      <t>公里内的公共服务配套设施齐备，有超市（中百超市、中百仓储超市等）、银行（华夏银行、武汉农村商业银行等）、学校（洪山区北洋桥小学、武汉市钢城第十六中学等）、餐饮（简朴寨、老乡长等）；</t>
    </r>
    <phoneticPr fontId="143" type="noConversion"/>
  </si>
  <si>
    <r>
      <t>周边有</t>
    </r>
    <r>
      <rPr>
        <sz val="9"/>
        <color theme="1"/>
        <rFont val="Arial"/>
        <family val="2"/>
      </rPr>
      <t>2</t>
    </r>
    <r>
      <rPr>
        <sz val="9"/>
        <color theme="1"/>
        <rFont val="华文细黑"/>
        <family val="3"/>
        <charset val="134"/>
      </rPr>
      <t>公里有南干渠游园公园等设施，环境状况一般；</t>
    </r>
    <phoneticPr fontId="143" type="noConversion"/>
  </si>
  <si>
    <t>较差</t>
    <phoneticPr fontId="143" type="noConversion"/>
  </si>
  <si>
    <t>一般</t>
    <phoneticPr fontId="143" type="noConversion"/>
  </si>
  <si>
    <r>
      <rPr>
        <b/>
        <sz val="10"/>
        <color rgb="FFFF0000"/>
        <rFont val="宋体"/>
        <family val="3"/>
        <charset val="134"/>
      </rPr>
      <t>合计</t>
    </r>
    <phoneticPr fontId="25" type="noConversion"/>
  </si>
  <si>
    <t>30-40（含）</t>
  </si>
  <si>
    <t>东方雅园</t>
    <phoneticPr fontId="3" type="noConversion"/>
  </si>
  <si>
    <t>湖北省武汉市青山区智和路“东方雅园”项目1-6号房地产</t>
    <phoneticPr fontId="143" type="noConversion"/>
  </si>
  <si>
    <t>估价对象周边商业以东方丽锦、福星惠誉.青城华府等住宅社区的住宅底商为主，无大型商业综合体等综合性商业，商业繁华度一般；</t>
    <phoneticPr fontId="143" type="noConversion"/>
  </si>
  <si>
    <t>周边商业项目以住宅底商为主，无大型商业综合体，商业繁华度一般</t>
    <phoneticPr fontId="143" type="noConversion"/>
  </si>
  <si>
    <t>周边商业项目以住宅底商为主，无大型商业综合体，商业繁华度一般；</t>
    <phoneticPr fontId="143" type="noConversion"/>
  </si>
  <si>
    <t>周边路网密集度一般、停车较便捷、周边有349路等多条公共线路经过，交通状况一般；</t>
    <phoneticPr fontId="143" type="noConversion"/>
  </si>
  <si>
    <t>周边路网密集度一般，行车出入较便捷，周边有349路公共线路经过，交通状况一般；</t>
    <phoneticPr fontId="143" type="noConversion"/>
  </si>
  <si>
    <t xml:space="preserve">
周边2公里内的公共服务配套设施较齐备，有购物场所（鑫源百货）、银行（华夏银行、武汉农村商业银行）、学校（洪山区北洋桥小学、武汉市钢城第16中学等）、餐饮等公共服务配套设施，公共配套设施情况一般；</t>
    <phoneticPr fontId="143" type="noConversion"/>
  </si>
  <si>
    <t>周边2公里内的公共服务配套设施较齐备，有购物场所（鑫源百货）、银行（华夏银行、武汉农村商业银行）、学校（洪山区北洋桥小学、武汉市钢城第16中学等）、餐饮等公共服务配套设施，公共配套设施情况一般；</t>
    <phoneticPr fontId="143" type="noConversion"/>
  </si>
  <si>
    <t xml:space="preserve">
周边2公里内的公共服务配套设施情况一般，有购物场所（中百超市）、银行（华夏银行、武汉农村商业银行）、学校（洪山区北洋桥小学、武汉市钢城第16中学）、餐饮等公共服务配套设施，公共配套设施情况一般；</t>
    <phoneticPr fontId="143" type="noConversion"/>
  </si>
  <si>
    <t>周边有八叠山生命公园及中国武钢博物馆人文设施，自然及人文环境一般；</t>
    <phoneticPr fontId="143" type="noConversion"/>
  </si>
  <si>
    <t>周边有八叠山生命公园等绿化设施，自然环境较好，有中国武钢博物馆、无音乐厅等人文设施，环境状况一般；</t>
    <phoneticPr fontId="143" type="noConversion"/>
  </si>
  <si>
    <t>普通装修</t>
    <phoneticPr fontId="143" type="noConversion"/>
  </si>
  <si>
    <t>较差</t>
    <phoneticPr fontId="143" type="noConversion"/>
  </si>
  <si>
    <t>一般</t>
    <phoneticPr fontId="143" type="noConversion"/>
  </si>
  <si>
    <t>东方丽锦</t>
    <phoneticPr fontId="3" type="noConversion"/>
  </si>
  <si>
    <t>福星惠誉.青城华府</t>
    <phoneticPr fontId="3" type="noConversion"/>
  </si>
  <si>
    <t>钢花南苑</t>
    <phoneticPr fontId="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</si>
</sst>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18"/>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top style="medium">
        <color rgb="FF404040"/>
      </top>
      <bottom style="medium">
        <color indexed="64"/>
      </bottom>
      <diagonal/>
    </border>
    <border>
      <left/>
      <right style="medium">
        <color rgb="FF404040"/>
      </right>
      <top style="medium">
        <color rgb="FF404040"/>
      </top>
      <bottom style="medium">
        <color indexed="64"/>
      </bottom>
      <diagonal/>
    </border>
    <border>
      <left style="medium">
        <color rgb="FF404040"/>
      </left>
      <right style="medium">
        <color rgb="FF404040"/>
      </right>
      <top style="medium">
        <color indexed="64"/>
      </top>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4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254" fillId="0" borderId="162" xfId="0" applyFont="1" applyBorder="1" applyAlignment="1">
      <alignment vertical="center" wrapText="1"/>
    </xf>
    <xf numFmtId="0" fontId="254" fillId="0" borderId="161" xfId="0" applyFont="1" applyBorder="1" applyAlignment="1">
      <alignment horizontal="justify" vertical="center" wrapText="1"/>
    </xf>
    <xf numFmtId="0" fontId="254" fillId="0" borderId="161" xfId="0" applyFont="1" applyBorder="1" applyAlignment="1">
      <alignment vertical="top" wrapText="1"/>
    </xf>
    <xf numFmtId="0" fontId="254" fillId="0" borderId="161" xfId="0" applyFont="1" applyBorder="1" applyAlignment="1">
      <alignment vertical="center" wrapText="1"/>
    </xf>
    <xf numFmtId="57" fontId="254" fillId="0" borderId="161" xfId="0" applyNumberFormat="1" applyFont="1" applyBorder="1" applyAlignment="1">
      <alignment vertical="center" wrapText="1"/>
    </xf>
    <xf numFmtId="0" fontId="254" fillId="0" borderId="43" xfId="0" applyFont="1" applyBorder="1">
      <alignment vertical="center"/>
    </xf>
    <xf numFmtId="0" fontId="254" fillId="0" borderId="161" xfId="0" applyFont="1" applyBorder="1">
      <alignment vertical="center"/>
    </xf>
    <xf numFmtId="9" fontId="254" fillId="0" borderId="161" xfId="0" applyNumberFormat="1" applyFont="1" applyBorder="1" applyAlignment="1">
      <alignment horizontal="justify" vertical="center" wrapText="1"/>
    </xf>
    <xf numFmtId="0" fontId="254" fillId="0" borderId="161" xfId="0" applyFont="1" applyBorder="1" applyAlignment="1">
      <alignment horizontal="left" vertical="center" wrapText="1"/>
    </xf>
    <xf numFmtId="0" fontId="255" fillId="0" borderId="161" xfId="0" applyFont="1" applyBorder="1" applyAlignment="1">
      <alignment vertical="center" wrapText="1"/>
    </xf>
    <xf numFmtId="0" fontId="254" fillId="0" borderId="1" xfId="0" applyFont="1" applyBorder="1" applyAlignment="1">
      <alignment vertical="center" wrapText="1"/>
    </xf>
    <xf numFmtId="0" fontId="255" fillId="0" borderId="1" xfId="0" applyFont="1" applyBorder="1" applyAlignment="1">
      <alignment vertical="center" wrapText="1"/>
    </xf>
    <xf numFmtId="0" fontId="254" fillId="0" borderId="1" xfId="0" applyFont="1" applyBorder="1">
      <alignment vertical="center"/>
    </xf>
    <xf numFmtId="0" fontId="255" fillId="0" borderId="170"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56" fillId="7" borderId="24" xfId="0" applyFont="1" applyFill="1" applyBorder="1" applyAlignment="1" applyProtection="1">
      <alignment horizontal="center" vertical="center"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144" fillId="0" borderId="1" xfId="0" applyFont="1" applyBorder="1" applyAlignment="1">
      <alignment horizontal="center"/>
    </xf>
    <xf numFmtId="0" fontId="144" fillId="0" borderId="1" xfId="0" applyFont="1" applyBorder="1" applyAlignment="1">
      <alignment horizontal="center" vertical="center"/>
    </xf>
    <xf numFmtId="0" fontId="144" fillId="0" borderId="1" xfId="0" applyFont="1" applyBorder="1" applyAlignment="1"/>
    <xf numFmtId="0" fontId="144" fillId="0" borderId="0" xfId="0" applyFont="1" applyAlignment="1"/>
    <xf numFmtId="0" fontId="0" fillId="5" borderId="1" xfId="0" applyFill="1" applyBorder="1" applyAlignment="1">
      <alignment horizontal="center" vertical="center"/>
    </xf>
    <xf numFmtId="49" fontId="190" fillId="5" borderId="1" xfId="0" applyNumberFormat="1" applyFont="1" applyFill="1" applyBorder="1" applyAlignment="1">
      <alignment horizontal="center" vertical="center" wrapText="1"/>
    </xf>
    <xf numFmtId="0" fontId="0" fillId="5" borderId="1" xfId="0" applyFont="1" applyFill="1" applyBorder="1" applyAlignment="1">
      <alignment horizontal="center" vertical="center"/>
    </xf>
    <xf numFmtId="179" fontId="0" fillId="5" borderId="1" xfId="0" applyNumberFormat="1" applyFill="1" applyBorder="1" applyAlignment="1">
      <alignment horizontal="center" vertical="center"/>
    </xf>
    <xf numFmtId="0" fontId="0" fillId="5" borderId="1" xfId="0" applyFill="1" applyBorder="1" applyAlignment="1"/>
    <xf numFmtId="0" fontId="0" fillId="5" borderId="1" xfId="0" applyFill="1" applyBorder="1" applyAlignment="1">
      <alignment horizontal="center"/>
    </xf>
    <xf numFmtId="0" fontId="0" fillId="5" borderId="0" xfId="0" applyFill="1" applyAlignment="1"/>
    <xf numFmtId="0" fontId="0" fillId="5" borderId="13" xfId="0" applyFill="1" applyBorder="1" applyAlignment="1">
      <alignment horizontal="center" vertical="center"/>
    </xf>
    <xf numFmtId="0" fontId="0" fillId="5" borderId="13" xfId="0" applyFill="1" applyBorder="1" applyAlignment="1"/>
    <xf numFmtId="0" fontId="144" fillId="5" borderId="1" xfId="0" applyFont="1" applyFill="1" applyBorder="1" applyAlignment="1"/>
    <xf numFmtId="0" fontId="144" fillId="5" borderId="0" xfId="0" applyFont="1" applyFill="1" applyAlignment="1"/>
    <xf numFmtId="49" fontId="190" fillId="5" borderId="5" xfId="0" applyNumberFormat="1" applyFont="1" applyFill="1" applyBorder="1" applyAlignment="1">
      <alignment horizontal="center" vertical="center" wrapText="1"/>
    </xf>
    <xf numFmtId="0" fontId="0" fillId="5" borderId="1" xfId="0" applyFont="1" applyFill="1" applyBorder="1" applyAlignment="1">
      <alignment horizontal="center" vertical="center" wrapText="1"/>
    </xf>
    <xf numFmtId="0" fontId="0" fillId="5" borderId="2" xfId="0" applyFill="1" applyBorder="1" applyAlignment="1">
      <alignment horizontal="center" vertical="center"/>
    </xf>
    <xf numFmtId="49" fontId="190" fillId="5" borderId="13" xfId="0" applyNumberFormat="1" applyFont="1" applyFill="1" applyBorder="1" applyAlignment="1">
      <alignment horizontal="center" vertical="center" wrapText="1"/>
    </xf>
    <xf numFmtId="0" fontId="0" fillId="18" borderId="1" xfId="0" applyFill="1" applyBorder="1" applyAlignment="1">
      <alignment horizontal="center" vertical="center"/>
    </xf>
    <xf numFmtId="49" fontId="190" fillId="18" borderId="1" xfId="0" applyNumberFormat="1" applyFont="1" applyFill="1" applyBorder="1" applyAlignment="1">
      <alignment horizontal="center" wrapText="1"/>
    </xf>
    <xf numFmtId="0" fontId="0" fillId="18" borderId="1" xfId="0" applyFont="1" applyFill="1" applyBorder="1" applyAlignment="1">
      <alignment horizontal="center" vertical="center"/>
    </xf>
    <xf numFmtId="0" fontId="190" fillId="18" borderId="1" xfId="0" applyFont="1" applyFill="1" applyBorder="1" applyAlignment="1">
      <alignment horizontal="center" wrapText="1"/>
    </xf>
    <xf numFmtId="179" fontId="0" fillId="18" borderId="1" xfId="0" applyNumberFormat="1" applyFill="1" applyBorder="1" applyAlignment="1">
      <alignment horizontal="center" vertical="center"/>
    </xf>
    <xf numFmtId="0" fontId="0" fillId="18" borderId="1" xfId="0" applyFill="1" applyBorder="1" applyAlignment="1"/>
    <xf numFmtId="0" fontId="0" fillId="18" borderId="1" xfId="0" applyFill="1" applyBorder="1" applyAlignment="1">
      <alignment horizontal="center"/>
    </xf>
    <xf numFmtId="0" fontId="0" fillId="18" borderId="0" xfId="0" applyFill="1" applyAlignment="1"/>
    <xf numFmtId="0" fontId="0" fillId="18" borderId="13" xfId="0" applyFill="1" applyBorder="1" applyAlignment="1"/>
    <xf numFmtId="0" fontId="144" fillId="18" borderId="1" xfId="0" applyFont="1" applyFill="1" applyBorder="1" applyAlignment="1"/>
    <xf numFmtId="49" fontId="190" fillId="18" borderId="13" xfId="0" applyNumberFormat="1" applyFont="1" applyFill="1" applyBorder="1" applyAlignment="1">
      <alignment horizontal="center" wrapText="1"/>
    </xf>
    <xf numFmtId="0" fontId="0" fillId="18" borderId="13" xfId="0" applyFont="1" applyFill="1" applyBorder="1" applyAlignment="1">
      <alignment horizontal="center" vertical="center"/>
    </xf>
    <xf numFmtId="0" fontId="0" fillId="18" borderId="13" xfId="0" applyFill="1" applyBorder="1" applyAlignment="1">
      <alignment horizontal="center" vertical="center"/>
    </xf>
    <xf numFmtId="0" fontId="0" fillId="18" borderId="13" xfId="0" applyFill="1" applyBorder="1" applyAlignment="1">
      <alignment horizontal="center"/>
    </xf>
    <xf numFmtId="0" fontId="0" fillId="0" borderId="1" xfId="0" applyBorder="1" applyAlignment="1">
      <alignment horizontal="center" vertical="center"/>
    </xf>
    <xf numFmtId="49" fontId="0" fillId="0" borderId="1" xfId="0" applyNumberFormat="1" applyFont="1" applyBorder="1" applyAlignment="1">
      <alignment horizontal="center" vertical="center"/>
    </xf>
    <xf numFmtId="0" fontId="0" fillId="0" borderId="1" xfId="0" applyFont="1" applyBorder="1" applyAlignment="1">
      <alignment horizontal="center" vertical="center"/>
    </xf>
    <xf numFmtId="179" fontId="0" fillId="0" borderId="1" xfId="0" applyNumberFormat="1" applyBorder="1" applyAlignment="1">
      <alignment horizontal="center" vertical="center"/>
    </xf>
    <xf numFmtId="0" fontId="0" fillId="0" borderId="1" xfId="0" applyBorder="1" applyAlignment="1"/>
    <xf numFmtId="0" fontId="0" fillId="0" borderId="1" xfId="0" applyBorder="1" applyAlignment="1">
      <alignment horizontal="center"/>
    </xf>
    <xf numFmtId="0" fontId="0" fillId="0" borderId="13" xfId="0" applyBorder="1" applyAlignment="1"/>
    <xf numFmtId="49" fontId="63" fillId="0" borderId="1" xfId="0" applyNumberFormat="1" applyFont="1" applyFill="1" applyBorder="1" applyAlignment="1" applyProtection="1">
      <alignment horizontal="center" vertical="center"/>
      <protection locked="0"/>
    </xf>
    <xf numFmtId="0" fontId="99" fillId="0" borderId="1" xfId="0" applyFont="1" applyBorder="1" applyAlignment="1">
      <alignment vertical="center" wrapText="1"/>
    </xf>
    <xf numFmtId="0" fontId="0" fillId="0" borderId="1" xfId="0" applyBorder="1" applyAlignment="1">
      <alignment vertical="center" wrapText="1"/>
    </xf>
    <xf numFmtId="0" fontId="0" fillId="0" borderId="0" xfId="0" applyNumberFormat="1">
      <alignment vertical="center"/>
    </xf>
    <xf numFmtId="0" fontId="254" fillId="0" borderId="161" xfId="0" applyFont="1" applyBorder="1">
      <alignment vertical="center"/>
    </xf>
    <xf numFmtId="0" fontId="254" fillId="0" borderId="162" xfId="0" applyFont="1" applyBorder="1" applyAlignment="1">
      <alignment horizontal="justify" vertical="center" wrapText="1"/>
    </xf>
    <xf numFmtId="57" fontId="255" fillId="0" borderId="161" xfId="0" applyNumberFormat="1" applyFont="1" applyBorder="1" applyAlignment="1">
      <alignment horizontal="justify" vertical="center" wrapText="1"/>
    </xf>
    <xf numFmtId="0" fontId="254" fillId="0" borderId="161" xfId="0" applyFont="1" applyBorder="1" applyAlignment="1">
      <alignment horizontal="justify" vertical="center"/>
    </xf>
    <xf numFmtId="0" fontId="255" fillId="0" borderId="161" xfId="0" applyFont="1" applyBorder="1" applyAlignment="1">
      <alignment horizontal="justify" vertical="center" wrapText="1"/>
    </xf>
    <xf numFmtId="9" fontId="255" fillId="0" borderId="161" xfId="0" applyNumberFormat="1" applyFont="1" applyBorder="1" applyAlignment="1">
      <alignment horizontal="justify" vertical="center" wrapText="1"/>
    </xf>
    <xf numFmtId="49" fontId="115" fillId="5" borderId="23" xfId="0" applyNumberFormat="1" applyFont="1" applyFill="1" applyBorder="1" applyAlignment="1" applyProtection="1">
      <alignment horizontal="center" vertical="center" wrapText="1"/>
      <protection locked="0"/>
    </xf>
    <xf numFmtId="0" fontId="115" fillId="5" borderId="24" xfId="0" applyNumberFormat="1" applyFont="1" applyFill="1" applyBorder="1" applyAlignment="1" applyProtection="1">
      <alignment horizontal="center" vertical="center" wrapText="1"/>
    </xf>
    <xf numFmtId="0" fontId="115" fillId="5" borderId="5" xfId="0" applyNumberFormat="1" applyFont="1" applyFill="1" applyBorder="1" applyAlignment="1" applyProtection="1">
      <alignment horizontal="center" vertical="center" wrapText="1"/>
    </xf>
    <xf numFmtId="49" fontId="63" fillId="7" borderId="0" xfId="0" applyNumberFormat="1" applyFont="1" applyFill="1" applyProtection="1">
      <alignment vertical="center"/>
      <protection locked="0"/>
    </xf>
    <xf numFmtId="0" fontId="0" fillId="8" borderId="1" xfId="0" applyFill="1" applyBorder="1" applyAlignment="1">
      <alignment horizontal="center" vertical="center"/>
    </xf>
    <xf numFmtId="49" fontId="190" fillId="8" borderId="1" xfId="0" applyNumberFormat="1" applyFont="1" applyFill="1" applyBorder="1" applyAlignment="1">
      <alignment horizontal="center" vertical="center" wrapText="1"/>
    </xf>
    <xf numFmtId="0" fontId="0" fillId="8" borderId="1" xfId="0" applyFont="1" applyFill="1" applyBorder="1" applyAlignment="1">
      <alignment horizontal="center" vertical="center"/>
    </xf>
    <xf numFmtId="179" fontId="0" fillId="8" borderId="1" xfId="0" applyNumberFormat="1" applyFill="1" applyBorder="1" applyAlignment="1">
      <alignment horizontal="center" vertical="center"/>
    </xf>
    <xf numFmtId="0" fontId="0" fillId="8" borderId="1" xfId="0" applyFill="1" applyBorder="1" applyAlignment="1"/>
    <xf numFmtId="0" fontId="0" fillId="8" borderId="1" xfId="0" applyFill="1" applyBorder="1" applyAlignment="1">
      <alignment horizontal="center"/>
    </xf>
    <xf numFmtId="0" fontId="0" fillId="8" borderId="0" xfId="0" applyFill="1" applyAlignment="1"/>
    <xf numFmtId="0" fontId="254" fillId="0" borderId="1" xfId="0" applyFont="1" applyBorder="1">
      <alignment vertical="center"/>
    </xf>
    <xf numFmtId="0" fontId="254" fillId="0" borderId="161" xfId="0" applyFont="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60" xfId="0" applyFont="1" applyBorder="1" applyAlignment="1">
      <alignment horizontal="center"/>
    </xf>
    <xf numFmtId="0" fontId="0" fillId="5" borderId="13"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2" xfId="0" applyFont="1" applyFill="1" applyBorder="1" applyAlignment="1">
      <alignment horizontal="center" vertical="center" wrapText="1"/>
    </xf>
    <xf numFmtId="0" fontId="0" fillId="18" borderId="13" xfId="0" applyFont="1" applyFill="1" applyBorder="1" applyAlignment="1">
      <alignment horizontal="center" vertical="center" wrapText="1"/>
    </xf>
    <xf numFmtId="0" fontId="0" fillId="18" borderId="15" xfId="0" applyFont="1" applyFill="1" applyBorder="1" applyAlignment="1">
      <alignment horizontal="center" vertical="center" wrapText="1"/>
    </xf>
    <xf numFmtId="0" fontId="0" fillId="0" borderId="13"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2" xfId="0" applyFont="1" applyBorder="1" applyAlignment="1">
      <alignment horizontal="center" vertical="center" wrapText="1"/>
    </xf>
    <xf numFmtId="0" fontId="254" fillId="0" borderId="156" xfId="0" applyFont="1" applyBorder="1">
      <alignment vertical="center"/>
    </xf>
    <xf numFmtId="0" fontId="254" fillId="0" borderId="157" xfId="0" applyFont="1" applyBorder="1">
      <alignment vertical="center"/>
    </xf>
    <xf numFmtId="0" fontId="254" fillId="0" borderId="158" xfId="0" applyFont="1" applyBorder="1">
      <alignment vertical="center"/>
    </xf>
    <xf numFmtId="0" fontId="254" fillId="0" borderId="159" xfId="0" applyFont="1" applyBorder="1">
      <alignment vertical="center"/>
    </xf>
    <xf numFmtId="0" fontId="254" fillId="0" borderId="160" xfId="0" applyFont="1" applyBorder="1">
      <alignment vertical="center"/>
    </xf>
    <xf numFmtId="0" fontId="254" fillId="0" borderId="161" xfId="0" applyFont="1" applyBorder="1">
      <alignment vertical="center"/>
    </xf>
    <xf numFmtId="0" fontId="254" fillId="0" borderId="165" xfId="0" applyFont="1" applyBorder="1">
      <alignment vertical="center"/>
    </xf>
    <xf numFmtId="0" fontId="254" fillId="0" borderId="162" xfId="0" applyFont="1" applyBorder="1">
      <alignment vertical="center"/>
    </xf>
    <xf numFmtId="0" fontId="254" fillId="0" borderId="166" xfId="0" applyFont="1" applyBorder="1">
      <alignment vertical="center"/>
    </xf>
    <xf numFmtId="0" fontId="254" fillId="0" borderId="167" xfId="0" applyFont="1" applyBorder="1">
      <alignment vertical="center"/>
    </xf>
    <xf numFmtId="0" fontId="254" fillId="0" borderId="169" xfId="0" applyFont="1" applyBorder="1" applyAlignment="1">
      <alignment vertical="center" wrapText="1"/>
    </xf>
    <xf numFmtId="0" fontId="254" fillId="0" borderId="164" xfId="0" applyFont="1" applyBorder="1" applyAlignment="1">
      <alignment vertical="center" wrapText="1"/>
    </xf>
    <xf numFmtId="0" fontId="254" fillId="0" borderId="163" xfId="0" applyFont="1" applyBorder="1" applyAlignment="1">
      <alignment vertical="center" wrapText="1"/>
    </xf>
    <xf numFmtId="0" fontId="254" fillId="0" borderId="27" xfId="0" applyFont="1" applyBorder="1" applyAlignment="1">
      <alignment horizontal="center" vertical="center" wrapText="1"/>
    </xf>
    <xf numFmtId="0" fontId="254" fillId="0" borderId="80"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168" xfId="0" applyFont="1" applyBorder="1" applyAlignment="1">
      <alignment horizontal="center" vertical="center" wrapText="1"/>
    </xf>
    <xf numFmtId="0" fontId="254" fillId="0" borderId="164" xfId="0" applyFont="1" applyBorder="1" applyAlignment="1">
      <alignment horizontal="center" vertical="center" wrapText="1"/>
    </xf>
    <xf numFmtId="0" fontId="254" fillId="0" borderId="1" xfId="0" applyFont="1" applyBorder="1">
      <alignment vertical="center"/>
    </xf>
    <xf numFmtId="0" fontId="254" fillId="0" borderId="1" xfId="0" applyFont="1" applyBorder="1" applyAlignment="1">
      <alignment vertical="center" wrapText="1"/>
    </xf>
    <xf numFmtId="0" fontId="254" fillId="0" borderId="1" xfId="0" applyFont="1" applyBorder="1" applyAlignment="1">
      <alignment horizontal="center" vertical="center" wrapText="1"/>
    </xf>
    <xf numFmtId="0" fontId="254" fillId="0" borderId="165" xfId="0" applyFont="1" applyBorder="1" applyAlignment="1">
      <alignment vertical="top" wrapText="1"/>
    </xf>
    <xf numFmtId="0" fontId="254" fillId="0" borderId="162" xfId="0" applyFont="1" applyBorder="1" applyAlignment="1">
      <alignment vertical="top" wrapText="1"/>
    </xf>
    <xf numFmtId="0" fontId="254" fillId="0" borderId="165" xfId="0" applyFont="1" applyBorder="1" applyAlignment="1"/>
    <xf numFmtId="0" fontId="254" fillId="0" borderId="162" xfId="0" applyFont="1" applyBorder="1" applyAlignment="1"/>
    <xf numFmtId="0" fontId="254" fillId="0" borderId="169" xfId="0" applyFont="1" applyBorder="1" applyAlignment="1">
      <alignment horizontal="center" vertical="center" wrapText="1"/>
    </xf>
    <xf numFmtId="0" fontId="254" fillId="0" borderId="163" xfId="0" applyFont="1" applyBorder="1" applyAlignment="1">
      <alignment horizontal="center" vertical="center" wrapText="1"/>
    </xf>
    <xf numFmtId="0" fontId="254" fillId="0" borderId="165" xfId="0" applyFont="1" applyBorder="1" applyAlignment="1">
      <alignment vertical="center" wrapText="1"/>
    </xf>
    <xf numFmtId="0" fontId="254" fillId="0" borderId="162" xfId="0" applyFont="1" applyBorder="1" applyAlignment="1">
      <alignment vertical="center" wrapText="1"/>
    </xf>
    <xf numFmtId="0" fontId="254" fillId="0" borderId="169" xfId="0" applyFont="1" applyBorder="1" applyAlignment="1">
      <alignment horizontal="justify" vertical="center" wrapText="1"/>
    </xf>
    <xf numFmtId="0" fontId="254" fillId="0" borderId="164" xfId="0" applyFont="1" applyBorder="1" applyAlignment="1">
      <alignment horizontal="justify" vertical="center" wrapText="1"/>
    </xf>
    <xf numFmtId="0" fontId="254" fillId="0" borderId="163" xfId="0" applyFont="1" applyBorder="1" applyAlignment="1">
      <alignment horizontal="justify" vertical="center" wrapText="1"/>
    </xf>
    <xf numFmtId="0" fontId="254" fillId="0" borderId="156" xfId="0" applyFont="1" applyBorder="1" applyAlignment="1">
      <alignment horizontal="justify" vertical="center"/>
    </xf>
    <xf numFmtId="0" fontId="254" fillId="0" borderId="157" xfId="0" applyFont="1" applyBorder="1" applyAlignment="1">
      <alignment horizontal="justify" vertical="center"/>
    </xf>
    <xf numFmtId="0" fontId="254" fillId="0" borderId="158" xfId="0" applyFont="1" applyBorder="1" applyAlignment="1">
      <alignment horizontal="justify" vertical="center"/>
    </xf>
    <xf numFmtId="0" fontId="254" fillId="0" borderId="159" xfId="0" applyFont="1" applyBorder="1" applyAlignment="1">
      <alignment horizontal="justify" vertical="center"/>
    </xf>
    <xf numFmtId="0" fontId="254" fillId="0" borderId="160" xfId="0" applyFont="1" applyBorder="1" applyAlignment="1">
      <alignment horizontal="justify" vertical="center"/>
    </xf>
    <xf numFmtId="0" fontId="254" fillId="0" borderId="161" xfId="0" applyFont="1" applyBorder="1" applyAlignment="1">
      <alignment horizontal="justify" vertical="center"/>
    </xf>
    <xf numFmtId="0" fontId="254" fillId="0" borderId="165" xfId="0" applyFont="1" applyBorder="1" applyAlignment="1">
      <alignment horizontal="justify" vertical="center"/>
    </xf>
    <xf numFmtId="0" fontId="254" fillId="0" borderId="162" xfId="0" applyFont="1" applyBorder="1" applyAlignment="1">
      <alignment horizontal="justify"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5288;&#22825;&#25104;&#32654;&#3859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5288;&#22825;&#25104;&#32654;&#2622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5288;&#21516;&#23433;&#23478;&#22253;&#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5288;&#26032;&#24178;&#32447;&#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4020.0999999999995</v>
          </cell>
          <cell r="R22">
            <v>24780</v>
          </cell>
          <cell r="S22">
            <v>9962</v>
          </cell>
        </row>
      </sheetData>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13354.179999999989</v>
          </cell>
          <cell r="R22">
            <v>26034</v>
          </cell>
          <cell r="S22">
            <v>34766</v>
          </cell>
        </row>
      </sheetData>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14780.880000000001</v>
          </cell>
          <cell r="R22">
            <v>25434</v>
          </cell>
          <cell r="S22">
            <v>37594</v>
          </cell>
        </row>
      </sheetData>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10648.419999999995</v>
          </cell>
          <cell r="R22">
            <v>28088</v>
          </cell>
          <cell r="S22">
            <v>29909</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湖北省武汉市房地产抵押价值预评估</v>
      </c>
    </row>
    <row r="3" spans="1:2" s="1595" customFormat="1">
      <c r="A3" s="1593" t="s">
        <v>1221</v>
      </c>
      <c r="B3" s="1594" t="str">
        <f>'预评函-封皮'!B40</f>
        <v>中信信托有限责任公司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受贵公司委托，我公司对湖北省武汉市房地产抵押价值进行了预评估。</v>
      </c>
    </row>
    <row r="7" spans="1:2" s="1595" customFormat="1">
      <c r="A7" s="1593" t="s">
        <v>1264</v>
      </c>
      <c r="B7" s="1594" t="str">
        <f>'预评函-1'!A7</f>
        <v>估价对象为湖北省武汉市房地产，为武汉统建所有。根据，估价对象（分摊）出让国有建设用地使用权面积为15635.97平方米，建筑面积为39089.93平方米。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估价对象为湖北省武汉市房地产,属武汉统建开发建设的商业项目，该项目尚在开发建设中。根据，估价对象（分摊）出让国有建设用地使用权面积为15635.97平方米，规划建筑面积为39089.93平方米。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2018年4月19日（评估专业人员实地查勘之日）</v>
      </c>
    </row>
    <row r="13" spans="1:2" s="1595" customFormat="1">
      <c r="A13" s="1593" t="s">
        <v>1227</v>
      </c>
      <c r="B13" s="1594" t="str">
        <f>'预评函-1'!A18</f>
        <v>本次估价的“房地产价值”是指在正常市场情况下，在价值时点2018年4月19日，估价对象规划用途为商业，土地取得方式为划拨，假定未设立法定优先受偿款下的房地产市场价值。</v>
      </c>
    </row>
    <row r="14" spans="1:2" s="1595" customFormat="1">
      <c r="A14" s="1593" t="s">
        <v>1228</v>
      </c>
      <c r="B14" s="1594" t="str">
        <f>'预评函-1'!A19</f>
        <v>其中，“划拨国有建设用地使用权价值”是指估价对象用途为商业，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本次评估采用的主估价方法为收益法和比较法。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269</v>
      </c>
    </row>
    <row r="21" spans="1:2" s="1595" customFormat="1">
      <c r="A21" s="1593" t="s">
        <v>1235</v>
      </c>
      <c r="B21" s="1594">
        <f ca="1">'预评函-2'!D7</f>
        <v>27374</v>
      </c>
    </row>
    <row r="22" spans="1:2" s="1595" customFormat="1">
      <c r="A22" s="1593" t="s">
        <v>1236</v>
      </c>
      <c r="B22" s="1594" t="str">
        <f ca="1">'预评函-2'!D6</f>
        <v>贰佰陆拾玖万元整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269</v>
      </c>
    </row>
    <row r="31" spans="1:2" s="1595" customFormat="1">
      <c r="A31" s="1593" t="s">
        <v>1274</v>
      </c>
      <c r="B31" s="1594">
        <f ca="1">'预评函-2'!D15</f>
        <v>69</v>
      </c>
    </row>
    <row r="32" spans="1:2" s="1595" customFormat="1">
      <c r="A32" s="1593" t="s">
        <v>1241</v>
      </c>
      <c r="B32" s="1594" t="str">
        <f ca="1">'预评函-2'!D14</f>
        <v>贰佰陆拾玖万元整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湖北省武汉市房地产</v>
      </c>
    </row>
    <row r="42" spans="1:2" s="1595" customFormat="1">
      <c r="A42" s="1593" t="s">
        <v>1288</v>
      </c>
      <c r="B42" s="1594" t="str">
        <f>'预评函-3'!B2</f>
        <v>建筑面积</v>
      </c>
    </row>
    <row r="43" spans="1:2" s="1595" customFormat="1">
      <c r="A43" s="1593" t="s">
        <v>1289</v>
      </c>
      <c r="B43" s="1594">
        <f>'预评函-3'!B4</f>
        <v>39089.930000000037</v>
      </c>
    </row>
    <row r="44" spans="1:2" s="1595" customFormat="1">
      <c r="A44" s="1593" t="s">
        <v>1273</v>
      </c>
      <c r="B44" s="1594" t="str">
        <f>'预评函-3'!C2</f>
        <v>(分摊)土地面积</v>
      </c>
    </row>
    <row r="45" spans="1:2" s="1595" customFormat="1">
      <c r="A45" s="1593" t="s">
        <v>1245</v>
      </c>
      <c r="B45" s="1594">
        <f>'预评函-3'!C4</f>
        <v>15635.97</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0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09"/>
      <c r="B54" s="2024" t="s">
        <v>864</v>
      </c>
      <c r="C54" s="2021" t="s">
        <v>1281</v>
      </c>
    </row>
    <row r="55" spans="1:4">
      <c r="A55" s="3109"/>
      <c r="B55" s="2024" t="s">
        <v>865</v>
      </c>
      <c r="C55" s="2021" t="s">
        <v>1282</v>
      </c>
    </row>
    <row r="56" spans="1:4">
      <c r="A56" s="3109"/>
      <c r="B56" s="2024" t="s">
        <v>866</v>
      </c>
      <c r="C56" s="2021" t="s">
        <v>1286</v>
      </c>
    </row>
    <row r="57" spans="1:4">
      <c r="A57" s="310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L18" sqref="L1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1775</v>
      </c>
      <c r="B1" s="3118" t="str">
        <f>IF(B10="北京市","北京市",C10)&amp;F10&amp;IF(结果表!G1="在建","出让国有建设用地使用权及在建建筑物",IF(结果表!G1="土地","出让国有建设用地使用权",))&amp;B9&amp;"预评估"</f>
        <v>湖北省武汉市房地产抵押价值预评估</v>
      </c>
      <c r="C1" s="3119"/>
      <c r="D1" s="3119"/>
      <c r="E1" s="3119"/>
      <c r="F1" s="3119"/>
      <c r="G1" s="3119"/>
      <c r="H1" s="3119"/>
      <c r="I1" s="31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湖北省武汉市房地产</v>
      </c>
    </row>
    <row r="3" spans="1:19" ht="18" customHeight="1">
      <c r="A3" s="2037" t="s">
        <v>1777</v>
      </c>
      <c r="B3" s="2038">
        <v>43209</v>
      </c>
      <c r="C3" s="2039" t="s">
        <v>1778</v>
      </c>
      <c r="D3" s="2038">
        <f>B3</f>
        <v>43209</v>
      </c>
      <c r="E3" s="2028"/>
      <c r="F3" s="2028"/>
      <c r="G3" s="2028"/>
      <c r="H3" s="2028"/>
      <c r="I3" s="2028"/>
      <c r="J3" s="2028"/>
      <c r="K3" s="2029"/>
      <c r="L3" s="2030"/>
      <c r="M3" s="2030"/>
      <c r="N3" s="2031"/>
      <c r="O3" s="2032"/>
      <c r="P3" s="2031"/>
      <c r="Q3" s="2031"/>
      <c r="R3" s="2031"/>
      <c r="S3" s="2033"/>
    </row>
    <row r="4" spans="1:19" ht="18" customHeight="1" thickBot="1">
      <c r="A4" s="2040" t="s">
        <v>1779</v>
      </c>
      <c r="B4" s="2041" t="s">
        <v>3042</v>
      </c>
      <c r="C4" s="1039">
        <f ca="1">SUMIF(注册房地产估价师,B4,估价师及机构信息!B3:B24)</f>
        <v>1120070131</v>
      </c>
      <c r="D4" s="2041" t="s">
        <v>3043</v>
      </c>
      <c r="E4" s="1040">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thickBot="1">
      <c r="A5" s="2046" t="s">
        <v>1780</v>
      </c>
      <c r="B5" s="2941" t="s">
        <v>3173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Top="1">
      <c r="A6" s="2049" t="s">
        <v>1781</v>
      </c>
      <c r="B6" s="2941" t="s">
        <v>3173</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942" t="s">
        <v>3174</v>
      </c>
      <c r="C7" s="2050"/>
      <c r="D7" s="2051"/>
      <c r="E7" s="2036"/>
      <c r="F7" s="2044"/>
      <c r="G7" s="2044"/>
      <c r="H7" s="2044"/>
      <c r="I7" s="2044"/>
      <c r="J7" s="2044"/>
      <c r="K7" s="2053"/>
      <c r="L7" s="2030"/>
      <c r="M7" s="2030"/>
      <c r="N7" s="2031"/>
      <c r="O7" s="2032"/>
      <c r="P7" s="2031"/>
      <c r="Q7" s="2031"/>
      <c r="R7" s="2031"/>
    </row>
    <row r="8" spans="1:19" ht="18" customHeight="1">
      <c r="A8" s="2049" t="s">
        <v>1783</v>
      </c>
      <c r="B8" s="2054" t="s">
        <v>3044</v>
      </c>
      <c r="C8" s="2055"/>
      <c r="D8" s="3121" t="s">
        <v>1784</v>
      </c>
      <c r="E8" s="2056" t="s">
        <v>3045</v>
      </c>
      <c r="F8" s="2057"/>
      <c r="G8" s="2028"/>
      <c r="H8" s="2028"/>
      <c r="I8" s="2028"/>
      <c r="J8" s="2044"/>
      <c r="K8" s="2045"/>
      <c r="L8" s="2030"/>
      <c r="M8" s="2030"/>
      <c r="N8" s="2031"/>
      <c r="O8" s="2032"/>
      <c r="P8" s="2031"/>
      <c r="Q8" s="2031"/>
      <c r="R8" s="2031"/>
    </row>
    <row r="9" spans="1:19" ht="18" customHeight="1" thickBot="1">
      <c r="A9" s="2042" t="s">
        <v>1785</v>
      </c>
      <c r="B9" s="2058" t="s">
        <v>3045</v>
      </c>
      <c r="C9" s="2059"/>
      <c r="D9" s="3122"/>
      <c r="E9" s="2058" t="s">
        <v>70</v>
      </c>
      <c r="F9" s="2060"/>
      <c r="G9" s="2061"/>
      <c r="H9" s="2061"/>
      <c r="I9" s="2061"/>
      <c r="J9" s="2044"/>
      <c r="K9" s="2053"/>
      <c r="L9" s="2030"/>
      <c r="M9" s="2030"/>
      <c r="N9" s="2031"/>
      <c r="O9" s="2032"/>
      <c r="P9" s="2031"/>
      <c r="Q9" s="2031"/>
      <c r="R9" s="2031"/>
    </row>
    <row r="10" spans="1:19" ht="26.25" customHeight="1" thickTop="1">
      <c r="A10" s="2062" t="s">
        <v>1786</v>
      </c>
      <c r="B10" s="2063" t="s">
        <v>3046</v>
      </c>
      <c r="C10" s="2943" t="s">
        <v>3175</v>
      </c>
      <c r="D10" s="2048"/>
      <c r="E10" s="2064" t="s">
        <v>1787</v>
      </c>
      <c r="F10" s="2961"/>
      <c r="G10" s="2065"/>
      <c r="H10" s="2066"/>
      <c r="I10" s="2048"/>
      <c r="J10" s="2044"/>
      <c r="K10" s="2053"/>
      <c r="L10" s="2030"/>
      <c r="M10" s="2030"/>
      <c r="N10" s="2031"/>
      <c r="O10" s="2032"/>
      <c r="P10" s="2031"/>
      <c r="Q10" s="2031"/>
      <c r="R10" s="2031"/>
    </row>
    <row r="11" spans="1:19" ht="18" customHeight="1">
      <c r="A11" s="2067" t="s">
        <v>1788</v>
      </c>
      <c r="B11" s="2068" t="s">
        <v>3047</v>
      </c>
      <c r="C11" s="2942" t="s">
        <v>3174</v>
      </c>
      <c r="D11" s="2069"/>
      <c r="E11" s="2044"/>
      <c r="F11" s="2044"/>
      <c r="G11" s="2044"/>
      <c r="H11" s="2044"/>
      <c r="I11" s="2044"/>
      <c r="J11" s="2044"/>
      <c r="K11" s="2053"/>
      <c r="L11" s="2030"/>
      <c r="M11" s="2030"/>
      <c r="N11" s="2031"/>
      <c r="O11" s="2032"/>
      <c r="P11" s="2031"/>
      <c r="Q11" s="2031"/>
      <c r="R11" s="2031"/>
    </row>
    <row r="12" spans="1:19" ht="18" customHeight="1">
      <c r="A12" s="2070" t="s">
        <v>1789</v>
      </c>
      <c r="B12" s="2068" t="s">
        <v>3571</v>
      </c>
      <c r="C12" s="2071" t="s">
        <v>1790</v>
      </c>
      <c r="D12" s="2072" t="s">
        <v>1791</v>
      </c>
      <c r="E12" s="2072" t="s">
        <v>1792</v>
      </c>
      <c r="F12" s="2072" t="s">
        <v>1793</v>
      </c>
      <c r="G12" s="2072" t="s">
        <v>1794</v>
      </c>
      <c r="H12" s="2072" t="s">
        <v>1795</v>
      </c>
      <c r="I12" s="2072" t="s">
        <v>1796</v>
      </c>
      <c r="J12" s="2044"/>
      <c r="K12" s="2053"/>
      <c r="L12" s="2030"/>
      <c r="M12" s="2030"/>
      <c r="N12" s="2031"/>
      <c r="O12" s="2032"/>
      <c r="P12" s="2031"/>
      <c r="Q12" s="2031"/>
      <c r="R12" s="2031"/>
    </row>
    <row r="13" spans="1:19" ht="18" customHeight="1">
      <c r="A13" s="2073"/>
      <c r="B13" s="2074"/>
      <c r="C13" s="2075" t="s">
        <v>1797</v>
      </c>
      <c r="D13" s="2076"/>
      <c r="E13" s="2076">
        <v>53882</v>
      </c>
      <c r="F13" s="2076"/>
      <c r="G13" s="2076"/>
      <c r="H13" s="2076"/>
      <c r="I13" s="1049"/>
      <c r="J13" s="2044"/>
      <c r="K13" s="2053"/>
      <c r="L13" s="2030"/>
      <c r="M13" s="2030"/>
      <c r="N13" s="2031"/>
      <c r="O13" s="2032"/>
      <c r="P13" s="2031"/>
      <c r="Q13" s="2031"/>
      <c r="R13" s="2031"/>
    </row>
    <row r="14" spans="1:19" ht="18" customHeight="1">
      <c r="A14" s="2073"/>
      <c r="B14" s="2074"/>
      <c r="C14" s="2075" t="s">
        <v>1798</v>
      </c>
      <c r="D14" s="1052"/>
      <c r="E14" s="1052">
        <v>40</v>
      </c>
      <c r="F14" s="1052"/>
      <c r="G14" s="1052"/>
      <c r="H14" s="1052"/>
      <c r="I14" s="1052"/>
      <c r="J14" s="2044"/>
      <c r="K14" s="2077"/>
      <c r="L14" s="2030"/>
      <c r="M14" s="2030"/>
      <c r="N14" s="2031"/>
      <c r="O14" s="2032"/>
      <c r="P14" s="2031"/>
      <c r="Q14" s="2031"/>
      <c r="R14" s="2031"/>
    </row>
    <row r="15" spans="1:19" ht="18" customHeight="1">
      <c r="A15" s="2062"/>
      <c r="B15" s="2078"/>
      <c r="C15" s="2075" t="s">
        <v>1799</v>
      </c>
      <c r="D15" s="1051">
        <f>IF(B12="出让",IF(D13="","",ROUNDDOWN(MIN((D13-$D$3)/365,D14),2)),D14)</f>
        <v>0</v>
      </c>
      <c r="E15" s="1051">
        <f>IF(B12="出让",IF(E13="","",ROUNDDOWN(MIN((E13-$D$3)/365,E14),2)),E14)</f>
        <v>40</v>
      </c>
      <c r="F15" s="1051">
        <f>IF(B12="出让",IF(F13="","",ROUNDDOWN(MIN((F13-$D$3)/365,F14),2)),F14)</f>
        <v>0</v>
      </c>
      <c r="G15" s="1051">
        <f>IF(B12="出让",IF(G13="","",ROUNDDOWN(MIN((G13-$D$3)/365,G14),2)),G14)</f>
        <v>0</v>
      </c>
      <c r="H15" s="1051">
        <f>IF(B12="出让",IF(H13="","",ROUNDDOWN(MIN((H13-$D$3)/365,H14),2)),H14)</f>
        <v>0</v>
      </c>
      <c r="I15" s="1051">
        <f>IF(B12="出让",IF(I13="","",ROUNDDOWN(MIN((I13-$D$3)/365,I14),2)),I14)</f>
        <v>0</v>
      </c>
      <c r="J15" s="2044"/>
      <c r="K15" s="2079"/>
      <c r="L15" s="2080"/>
      <c r="M15" s="2080"/>
      <c r="N15" s="2081"/>
      <c r="O15" s="2080"/>
      <c r="P15" s="2081"/>
      <c r="Q15" s="2031"/>
      <c r="R15" s="2031"/>
    </row>
    <row r="16" spans="1:19" ht="30.75" customHeight="1">
      <c r="A16" s="2064" t="s">
        <v>1800</v>
      </c>
      <c r="B16" s="3128" t="s">
        <v>3048</v>
      </c>
      <c r="C16" s="3129"/>
      <c r="D16" s="3130"/>
      <c r="E16" s="2082" t="s">
        <v>1801</v>
      </c>
      <c r="F16" s="3131"/>
      <c r="G16" s="3132"/>
      <c r="H16" s="3132"/>
      <c r="I16" s="3133"/>
      <c r="J16" s="2031"/>
      <c r="K16" s="2079"/>
      <c r="L16" s="2080"/>
      <c r="M16" s="2080"/>
      <c r="N16" s="2081"/>
      <c r="O16" s="2080"/>
      <c r="P16" s="2081"/>
      <c r="Q16" s="2031"/>
      <c r="R16" s="2031"/>
    </row>
    <row r="17" spans="1:22" ht="18" customHeight="1">
      <c r="A17" s="2083" t="s">
        <v>1802</v>
      </c>
      <c r="B17" s="2037" t="s">
        <v>1803</v>
      </c>
      <c r="C17" s="1056">
        <f>'数据-汇总表'!E3</f>
        <v>39089.930000000037</v>
      </c>
      <c r="D17" s="2084" t="s">
        <v>1804</v>
      </c>
      <c r="E17" s="3134"/>
      <c r="F17" s="3135"/>
      <c r="G17" s="3135"/>
      <c r="H17" s="3135"/>
      <c r="I17" s="3136"/>
      <c r="J17" s="2031"/>
      <c r="K17" s="2085"/>
      <c r="L17" s="2080"/>
      <c r="M17" s="2080"/>
      <c r="N17" s="2081"/>
      <c r="O17" s="2080"/>
      <c r="P17" s="2081"/>
      <c r="Q17" s="2031"/>
      <c r="R17" s="2031"/>
      <c r="S17" s="2031"/>
      <c r="T17" s="2031"/>
      <c r="U17" s="2031"/>
      <c r="V17" s="2031"/>
    </row>
    <row r="18" spans="1:22" ht="36" customHeight="1" thickBot="1">
      <c r="A18" s="2086" t="s">
        <v>1805</v>
      </c>
      <c r="B18" s="2040" t="s">
        <v>1806</v>
      </c>
      <c r="C18" s="1446">
        <f>'数据-汇总表'!D3</f>
        <v>15635.97</v>
      </c>
      <c r="D18" s="2087" t="s">
        <v>1804</v>
      </c>
      <c r="E18" s="3137"/>
      <c r="F18" s="3138"/>
      <c r="G18" s="3138"/>
      <c r="H18" s="3138"/>
      <c r="I18" s="3139"/>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3049</v>
      </c>
      <c r="D19" s="2089" t="s">
        <v>1809</v>
      </c>
      <c r="E19" s="2090" t="s">
        <v>70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124" t="s">
        <v>1811</v>
      </c>
      <c r="C20" s="3125"/>
      <c r="D20" s="3126" t="s">
        <v>1812</v>
      </c>
      <c r="E20" s="3127"/>
      <c r="F20" s="2094" t="s">
        <v>1813</v>
      </c>
      <c r="G20" s="2044"/>
      <c r="H20" s="2044"/>
      <c r="I20" s="2044"/>
      <c r="J20" s="2044"/>
      <c r="K20" s="3123"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1816</v>
      </c>
      <c r="D21" s="2097"/>
      <c r="E21" s="2098" t="s">
        <v>70</v>
      </c>
      <c r="F21" s="2099"/>
      <c r="G21" s="2044"/>
      <c r="H21" s="2044"/>
      <c r="I21" s="2044"/>
      <c r="J21" s="2044"/>
      <c r="K21" s="312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1817</v>
      </c>
      <c r="C22" s="2096" t="s">
        <v>3050</v>
      </c>
      <c r="D22" s="2028"/>
      <c r="E22" s="2028"/>
      <c r="F22" s="2101"/>
      <c r="G22" s="2044"/>
      <c r="H22" s="2044"/>
      <c r="I22" s="2044"/>
      <c r="J22" s="2044"/>
      <c r="K22" s="312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1818</v>
      </c>
      <c r="B23" s="183" t="s">
        <v>1819</v>
      </c>
      <c r="C23" s="2103"/>
      <c r="D23" s="2104" t="s">
        <v>1819</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3" t="s">
        <v>1820</v>
      </c>
      <c r="C24" s="2108"/>
      <c r="D24" s="2102" t="s">
        <v>1820</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3" t="s">
        <v>1821</v>
      </c>
      <c r="C25" s="2108"/>
      <c r="D25" s="2102" t="s">
        <v>1821</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1822</v>
      </c>
      <c r="C26" s="2112"/>
      <c r="D26" s="2113" t="s">
        <v>1823</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111" t="s">
        <v>1824</v>
      </c>
      <c r="B27" s="2062" t="s">
        <v>1825</v>
      </c>
      <c r="C27" s="2116" t="s">
        <v>3051</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111"/>
      <c r="B28" s="2037" t="s">
        <v>1826</v>
      </c>
      <c r="C28" s="2118" t="s">
        <v>3052</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111"/>
      <c r="B29" s="2037" t="s">
        <v>1827</v>
      </c>
      <c r="C29" s="2121" t="s">
        <v>3049</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112"/>
      <c r="B30" s="2037" t="s">
        <v>1828</v>
      </c>
      <c r="C30" s="3113"/>
      <c r="D30" s="3114"/>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115" t="s">
        <v>1829</v>
      </c>
      <c r="B31" s="2123" t="s">
        <v>3053</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116"/>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116"/>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0" t="s">
        <v>3054</v>
      </c>
      <c r="C34" s="2130" t="s">
        <v>3055</v>
      </c>
      <c r="D34" s="2130" t="s">
        <v>3056</v>
      </c>
      <c r="E34" s="2130" t="s">
        <v>3057</v>
      </c>
      <c r="F34" s="2130" t="s">
        <v>3058</v>
      </c>
      <c r="G34" s="2130" t="s">
        <v>3059</v>
      </c>
      <c r="H34" s="2130" t="s">
        <v>3060</v>
      </c>
      <c r="I34" s="2044"/>
      <c r="J34" s="2044"/>
      <c r="K34" s="1797">
        <f>COUNTIF(B34:H34,"——")</f>
        <v>0</v>
      </c>
      <c r="L34" s="2071" t="s">
        <v>1831</v>
      </c>
      <c r="M34" s="2071" t="s">
        <v>1832</v>
      </c>
      <c r="N34" s="2071" t="s">
        <v>1833</v>
      </c>
      <c r="O34" s="2071" t="s">
        <v>1834</v>
      </c>
      <c r="P34" s="2071" t="s">
        <v>1835</v>
      </c>
      <c r="Q34" s="2071" t="s">
        <v>1836</v>
      </c>
      <c r="R34" s="2071" t="s">
        <v>1837</v>
      </c>
      <c r="S34" s="3110" t="s">
        <v>1838</v>
      </c>
      <c r="T34" s="2131" t="str">
        <f>NUMBERSTRING(7-K34,1)&amp;"通"</f>
        <v>七通</v>
      </c>
      <c r="U34" s="2031"/>
      <c r="V34" s="2031"/>
    </row>
    <row r="35" spans="1:22" ht="18" customHeight="1">
      <c r="A35" s="2132"/>
      <c r="B35" s="3117" t="s">
        <v>1839</v>
      </c>
      <c r="C35" s="3117"/>
      <c r="D35" s="3117"/>
      <c r="E35" s="3117"/>
      <c r="F35" s="2133" t="str">
        <f>C10</f>
        <v>湖北省武汉市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110"/>
      <c r="T35" s="48" t="str">
        <f>IF(T34="一通",L35,IF(T34="二通",M35,IF(T34="三通",N35,IF(T34="四通",O35,IF(T34="五通",P35,IF(T34="六通",Q35,R35))))))</f>
        <v>通路、通电、通讯、通上水、通下水、燃气、平整</v>
      </c>
      <c r="U35" s="2031"/>
      <c r="V35" s="2031"/>
    </row>
    <row r="36" spans="1:22" ht="18" customHeight="1">
      <c r="A36" s="2134"/>
      <c r="B36" s="2133" t="s">
        <v>1840</v>
      </c>
      <c r="C36" s="2133" t="s">
        <v>1841</v>
      </c>
      <c r="D36" s="2133" t="s">
        <v>1842</v>
      </c>
      <c r="E36" s="2133" t="s">
        <v>1843</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1844</v>
      </c>
      <c r="B37" s="2137" t="s">
        <v>212</v>
      </c>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1845</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5"/>
      <c r="L40" s="2080"/>
      <c r="M40" s="2080"/>
      <c r="N40" s="2081"/>
      <c r="O40" s="2080"/>
      <c r="P40" s="2031"/>
      <c r="Q40" s="2031"/>
      <c r="R40" s="2031"/>
      <c r="S40" s="2031"/>
      <c r="T40" s="2031"/>
      <c r="U40" s="2031"/>
      <c r="V40" s="2031"/>
    </row>
    <row r="41" spans="1:22" ht="18" customHeight="1">
      <c r="A41" s="8" t="s">
        <v>1847</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1848</v>
      </c>
      <c r="B42" s="1797" t="s">
        <v>1849</v>
      </c>
      <c r="C42" s="1797" t="s">
        <v>1850</v>
      </c>
      <c r="D42" s="1797" t="s">
        <v>1851</v>
      </c>
      <c r="E42" s="1797" t="s">
        <v>1852</v>
      </c>
      <c r="F42" s="1797" t="s">
        <v>1853</v>
      </c>
      <c r="G42" s="1797" t="s">
        <v>1854</v>
      </c>
      <c r="H42" s="1797" t="s">
        <v>1855</v>
      </c>
      <c r="I42" s="1797" t="s">
        <v>1856</v>
      </c>
      <c r="J42" s="2149" t="s">
        <v>1857</v>
      </c>
      <c r="K42" s="2072" t="s">
        <v>1858</v>
      </c>
      <c r="L42" s="2072" t="s">
        <v>1859</v>
      </c>
      <c r="M42" s="2072" t="s">
        <v>1860</v>
      </c>
      <c r="N42" s="1797" t="s">
        <v>1861</v>
      </c>
      <c r="O42" s="1797" t="s">
        <v>1862</v>
      </c>
      <c r="P42" s="1797" t="s">
        <v>1863</v>
      </c>
      <c r="Q42" s="2071" t="s">
        <v>1864</v>
      </c>
      <c r="R42" s="2071" t="s">
        <v>1865</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hidden="1" customWidth="1"/>
    <col min="30" max="30" width="10" style="2156" hidden="1" customWidth="1"/>
    <col min="31" max="31" width="9.75" style="2156" hidden="1" customWidth="1"/>
    <col min="32" max="46" width="9.5" style="2156" hidden="1" customWidth="1"/>
    <col min="47" max="47" width="18.125" style="2156" hidden="1"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1871</v>
      </c>
      <c r="AZ2" s="1272"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ROUND(I13/2.5,2)</f>
        <v>15635.97</v>
      </c>
      <c r="B3" s="14">
        <f>IF(C3="否",G5-AT5,G5)</f>
        <v>39089.930000000037</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5"/>
      <c r="C5" s="1805"/>
      <c r="D5" s="1808"/>
      <c r="E5" s="16" t="s">
        <v>1</v>
      </c>
      <c r="F5" s="16">
        <f>SUM(F13:F587)</f>
        <v>0</v>
      </c>
      <c r="G5" s="16">
        <f>SUM(G13:G587)</f>
        <v>39089.930000000037</v>
      </c>
      <c r="H5" s="16">
        <f t="shared" ref="H5:AT5" si="0">SUM(H13:H656)</f>
        <v>39089.930000000037</v>
      </c>
      <c r="I5" s="16">
        <f t="shared" si="0"/>
        <v>39089.930000000037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39089.930000000037</v>
      </c>
      <c r="BA5" s="18">
        <f t="shared" si="1"/>
        <v>39089.930000000037</v>
      </c>
      <c r="BB5" s="18">
        <f t="shared" si="1"/>
        <v>39089.930000000037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15635.97</v>
      </c>
      <c r="F6" s="16" t="s">
        <v>1</v>
      </c>
      <c r="G6" s="16" t="s">
        <v>2</v>
      </c>
      <c r="H6" s="20">
        <f>SUMIF(I$12:AB$12,"总值",I6:AB6)</f>
        <v>15635.97</v>
      </c>
      <c r="I6" s="16">
        <f t="shared" ref="I6:AB6" si="2">ROUND($A$3*I5/$B$3,2)</f>
        <v>15635.97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15635.97</v>
      </c>
      <c r="AZ6" s="16" t="s">
        <v>3</v>
      </c>
      <c r="BA6" s="16">
        <f>ROUND($AY$6*BA5/$AZ$5,2)</f>
        <v>15635.97</v>
      </c>
      <c r="BB6" s="16">
        <f>ROUND($AY$6*BB5/$AZ$5,2)</f>
        <v>15635.97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1884</v>
      </c>
      <c r="AV7" s="23" t="s">
        <v>1885</v>
      </c>
      <c r="AW7" s="2163" t="s">
        <v>1886</v>
      </c>
      <c r="AX7" s="23" t="s">
        <v>1879</v>
      </c>
      <c r="AY7" s="1805"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20"/>
      <c r="K8" s="1820"/>
      <c r="L8" s="1820"/>
      <c r="M8" s="1820"/>
      <c r="N8" s="1820"/>
      <c r="O8" s="1820"/>
      <c r="P8" s="1820"/>
      <c r="Q8" s="1820"/>
      <c r="R8" s="1820"/>
      <c r="S8" s="1820"/>
      <c r="T8" s="1820"/>
      <c r="U8" s="1820"/>
      <c r="V8" s="2183"/>
      <c r="W8" s="1820"/>
      <c r="X8" s="1820"/>
      <c r="Y8" s="1820"/>
      <c r="Z8" s="1820"/>
      <c r="AA8" s="2183"/>
      <c r="AB8" s="2184"/>
      <c r="AC8" s="983" t="s">
        <v>1890</v>
      </c>
      <c r="AD8" s="2185"/>
      <c r="AE8" s="2177"/>
      <c r="AF8" s="1820"/>
      <c r="AG8" s="1820"/>
      <c r="AH8" s="1820"/>
      <c r="AI8" s="1820"/>
      <c r="AJ8" s="1820"/>
      <c r="AK8" s="1820"/>
      <c r="AL8" s="1820"/>
      <c r="AM8" s="1820"/>
      <c r="AN8" s="1820"/>
      <c r="AO8" s="1820"/>
      <c r="AP8" s="1820"/>
      <c r="AQ8" s="1820"/>
      <c r="AR8" s="1820"/>
      <c r="AS8" s="1820"/>
      <c r="AT8" s="1294" t="s">
        <v>1891</v>
      </c>
      <c r="AU8" s="2179" t="s">
        <v>1892</v>
      </c>
      <c r="AV8" s="1294"/>
      <c r="AW8" s="2162"/>
      <c r="AX8" s="1294"/>
      <c r="AY8" s="2163"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1895</v>
      </c>
      <c r="I9" s="2188" t="s">
        <v>3063</v>
      </c>
      <c r="J9" s="983"/>
      <c r="K9" s="2188"/>
      <c r="L9" s="983"/>
      <c r="M9" s="2188"/>
      <c r="N9" s="983"/>
      <c r="O9" s="2188"/>
      <c r="P9" s="983"/>
      <c r="Q9" s="2188"/>
      <c r="R9" s="983"/>
      <c r="S9" s="2188"/>
      <c r="T9" s="983"/>
      <c r="U9" s="2188"/>
      <c r="V9" s="983"/>
      <c r="W9" s="2188"/>
      <c r="X9" s="2189"/>
      <c r="Y9" s="2188"/>
      <c r="Z9" s="983"/>
      <c r="AA9" s="2188"/>
      <c r="AB9" s="983"/>
      <c r="AC9" s="2180"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0"/>
      <c r="AT9" s="2179"/>
      <c r="AU9" s="2179" t="s">
        <v>1898</v>
      </c>
      <c r="AV9" s="1294"/>
      <c r="AW9" s="2162"/>
      <c r="AX9" s="1294"/>
      <c r="AY9" s="28"/>
      <c r="AZ9" s="28" t="s">
        <v>1888</v>
      </c>
      <c r="BA9" s="2191" t="s">
        <v>1899</v>
      </c>
      <c r="BB9" s="2192"/>
      <c r="BC9" s="1340"/>
      <c r="BD9" s="1340"/>
      <c r="BE9" s="1340"/>
      <c r="BF9" s="1340"/>
      <c r="BG9" s="1340"/>
      <c r="BH9" s="1340"/>
      <c r="BI9" s="1340"/>
      <c r="BJ9" s="1340"/>
      <c r="BK9" s="2193"/>
      <c r="BL9" s="15" t="s">
        <v>1900</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3"/>
      <c r="K10" s="2194"/>
      <c r="L10" s="983"/>
      <c r="M10" s="2194"/>
      <c r="N10" s="983"/>
      <c r="O10" s="2194"/>
      <c r="P10" s="983"/>
      <c r="Q10" s="2194"/>
      <c r="R10" s="983"/>
      <c r="S10" s="2194"/>
      <c r="T10" s="983"/>
      <c r="U10" s="2194"/>
      <c r="V10" s="983"/>
      <c r="W10" s="2194"/>
      <c r="X10" s="983"/>
      <c r="Y10" s="2194"/>
      <c r="Z10" s="983"/>
      <c r="AA10" s="2194"/>
      <c r="AB10" s="983"/>
      <c r="AC10" s="1294"/>
      <c r="AD10" s="15" t="s">
        <v>1901</v>
      </c>
      <c r="AE10" s="2195"/>
      <c r="AF10" s="15" t="s">
        <v>1901</v>
      </c>
      <c r="AG10" s="2195"/>
      <c r="AH10" s="15" t="s">
        <v>1902</v>
      </c>
      <c r="AI10" s="2195"/>
      <c r="AJ10" s="15" t="s">
        <v>1902</v>
      </c>
      <c r="AK10" s="2195"/>
      <c r="AL10" s="15" t="s">
        <v>1903</v>
      </c>
      <c r="AM10" s="1300"/>
      <c r="AN10" s="15" t="s">
        <v>1903</v>
      </c>
      <c r="AO10" s="1300"/>
      <c r="AP10" s="15" t="s">
        <v>1904</v>
      </c>
      <c r="AQ10" s="1300"/>
      <c r="AR10" s="15" t="s">
        <v>1904</v>
      </c>
      <c r="AS10" s="1300"/>
      <c r="AT10" s="2179"/>
      <c r="AU10" s="2179"/>
      <c r="AV10" s="1294"/>
      <c r="AW10" s="2162"/>
      <c r="AX10" s="1294"/>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3549</v>
      </c>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1905</v>
      </c>
      <c r="AE11" s="1821"/>
      <c r="AF11" s="2201" t="s">
        <v>1905</v>
      </c>
      <c r="AG11" s="1821"/>
      <c r="AH11" s="2201" t="s">
        <v>1906</v>
      </c>
      <c r="AI11" s="2202"/>
      <c r="AJ11" s="2201" t="s">
        <v>1906</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6"/>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3002" t="s">
        <v>3176</v>
      </c>
      <c r="D13" s="2210" t="s">
        <v>3062</v>
      </c>
      <c r="E13" s="16">
        <f>IF($C$3="是",ROUND($A$3*G13/$B$3,2),ROUND($A$3*(G13-AT13)/$B$3,2))</f>
        <v>15635.97</v>
      </c>
      <c r="F13" s="32"/>
      <c r="G13" s="33">
        <f>H13+AC13+AT13</f>
        <v>39089.930000000037</v>
      </c>
      <c r="H13" s="20">
        <f>SUMIF(I$12:AB$12,"总值",I13:AB13)</f>
        <v>39089.930000000037</v>
      </c>
      <c r="I13" s="2211">
        <f>Sheet1!E363</f>
        <v>39089.930000000037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东方雅园</v>
      </c>
      <c r="AY13" s="1808">
        <f>ROUND($AY$6*AZ13/$AZ$5,2)</f>
        <v>15635.97</v>
      </c>
      <c r="AZ13" s="16">
        <f>BA13+BL13</f>
        <v>39089.930000000037</v>
      </c>
      <c r="BA13" s="16">
        <f>SUM(BB13:BK13)</f>
        <v>39089.930000000037</v>
      </c>
      <c r="BB13" s="16">
        <f>IF($D13="是",I13-J13,0)</f>
        <v>39089.930000000037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28.5">
      <c r="A3" s="3140"/>
      <c r="B3" s="3140"/>
      <c r="C3" s="3140"/>
      <c r="D3" s="3141"/>
      <c r="E3" s="31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F19" sqref="F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4"/>
      <c r="C1" s="1394"/>
      <c r="D1" s="1394"/>
      <c r="E1" s="1394"/>
      <c r="F1" s="1394"/>
      <c r="G1" s="1394"/>
      <c r="H1" s="1394"/>
      <c r="I1" s="1394"/>
      <c r="J1" s="1394"/>
      <c r="K1" s="1394"/>
      <c r="L1" s="1394"/>
      <c r="M1" s="1394"/>
      <c r="N1" s="1394"/>
      <c r="O1" s="1394"/>
      <c r="P1" s="1394"/>
    </row>
    <row r="2" spans="1:16" ht="15">
      <c r="A2" s="3151" t="s">
        <v>1935</v>
      </c>
      <c r="B2" s="3151"/>
      <c r="C2" s="3151"/>
      <c r="D2" s="969" t="s">
        <v>1911</v>
      </c>
      <c r="E2" s="2224" t="s">
        <v>1912</v>
      </c>
      <c r="F2" s="1394"/>
      <c r="G2" s="2225"/>
      <c r="H2" s="2226"/>
      <c r="I2" s="2227" t="s">
        <v>1936</v>
      </c>
      <c r="J2" s="1394"/>
      <c r="K2" s="1394"/>
      <c r="L2" s="1394"/>
      <c r="M2" s="1394"/>
      <c r="N2" s="1429"/>
      <c r="O2" s="1394"/>
      <c r="P2" s="1394"/>
    </row>
    <row r="3" spans="1:16" ht="15.75" thickBot="1">
      <c r="A3" s="3152" t="s">
        <v>1909</v>
      </c>
      <c r="B3" s="3152"/>
      <c r="C3" s="3152"/>
      <c r="D3" s="46">
        <f>'数据-基础表'!AY6</f>
        <v>15635.97</v>
      </c>
      <c r="E3" s="46">
        <f>'数据-基础表'!AZ5</f>
        <v>39089.930000000037</v>
      </c>
      <c r="F3" s="1394"/>
      <c r="G3" s="1401"/>
      <c r="H3" s="1249" t="s">
        <v>1910</v>
      </c>
      <c r="I3" s="55">
        <f>ROUND('数据-基础表'!B3/'数据-基础表'!A3,2)</f>
        <v>2.5</v>
      </c>
      <c r="J3" s="1394"/>
      <c r="K3" s="1394"/>
      <c r="L3" s="1394"/>
      <c r="M3" s="1394"/>
      <c r="N3" s="1429"/>
      <c r="O3" s="1394"/>
      <c r="P3" s="1394"/>
    </row>
    <row r="4" spans="1:16" ht="15">
      <c r="A4" s="3153"/>
      <c r="B4" s="3154"/>
      <c r="C4" s="3155"/>
      <c r="D4" s="2228" t="s">
        <v>1911</v>
      </c>
      <c r="E4" s="2229" t="s">
        <v>1912</v>
      </c>
      <c r="F4" s="1394"/>
      <c r="G4" s="2230" t="s">
        <v>1937</v>
      </c>
      <c r="H4" s="1249" t="s">
        <v>1917</v>
      </c>
      <c r="I4" s="55">
        <f>ROUND(SUMIF('数据-基础表'!I9:AS9,"地上",'数据-基础表'!I5:AS5)/'数据-基础表'!A3,2)</f>
        <v>2.5</v>
      </c>
      <c r="J4" s="1394"/>
      <c r="K4" s="1394"/>
      <c r="L4" s="1394"/>
      <c r="M4" s="1394"/>
      <c r="N4" s="1429"/>
      <c r="O4" s="1394"/>
      <c r="P4" s="1394"/>
    </row>
    <row r="5" spans="1:16">
      <c r="A5" s="47" t="s">
        <v>1913</v>
      </c>
      <c r="B5" s="3156" t="s">
        <v>1914</v>
      </c>
      <c r="C5" s="3156"/>
      <c r="D5" s="48">
        <f>ROUND($D$3*E5/$E$3,2)</f>
        <v>0</v>
      </c>
      <c r="E5" s="49">
        <f>SUMIF('数据-基础表'!$11:$11,"住宅",'数据-基础表'!$5:$5)</f>
        <v>0</v>
      </c>
      <c r="F5" s="1394"/>
      <c r="G5" s="1401"/>
      <c r="H5" s="1249" t="s">
        <v>1910</v>
      </c>
      <c r="I5" s="55">
        <f>ROUND(E31/D31,2)</f>
        <v>2.5</v>
      </c>
      <c r="J5" s="1394"/>
      <c r="K5" s="1394"/>
      <c r="L5" s="1394"/>
      <c r="M5" s="1394"/>
      <c r="N5" s="1394"/>
      <c r="O5" s="1394"/>
      <c r="P5" s="1394"/>
    </row>
    <row r="6" spans="1:16" ht="15" thickBot="1">
      <c r="A6" s="2231"/>
      <c r="B6" s="3156" t="s">
        <v>1915</v>
      </c>
      <c r="C6" s="3156"/>
      <c r="D6" s="48">
        <f>ROUND($D$3*E6/$E$3,2)</f>
        <v>15635.97</v>
      </c>
      <c r="E6" s="49">
        <f>E3-E5</f>
        <v>39089.930000000037</v>
      </c>
      <c r="F6" s="1394"/>
      <c r="G6" s="2232" t="s">
        <v>1916</v>
      </c>
      <c r="H6" s="1401" t="s">
        <v>1917</v>
      </c>
      <c r="I6" s="941">
        <f>ROUND(F31/D31,2)</f>
        <v>2.5</v>
      </c>
      <c r="J6" s="1394"/>
      <c r="K6" s="1394"/>
      <c r="L6" s="1394"/>
      <c r="M6" s="1394"/>
      <c r="N6" s="1394"/>
      <c r="O6" s="1394"/>
      <c r="P6" s="1394"/>
    </row>
    <row r="7" spans="1:16" ht="15">
      <c r="A7" s="3148"/>
      <c r="B7" s="3149"/>
      <c r="C7" s="3150"/>
      <c r="D7" s="2228" t="s">
        <v>1911</v>
      </c>
      <c r="E7" s="2233" t="s">
        <v>1918</v>
      </c>
      <c r="F7" s="1394"/>
      <c r="G7" s="2225" t="s">
        <v>1919</v>
      </c>
      <c r="H7" s="64"/>
      <c r="I7" s="420"/>
      <c r="J7" s="1394"/>
      <c r="K7" s="1394"/>
      <c r="L7" s="1394"/>
      <c r="M7" s="1394"/>
      <c r="N7" s="1394"/>
      <c r="O7" s="1394"/>
      <c r="P7" s="1394"/>
    </row>
    <row r="8" spans="1:16">
      <c r="A8" s="47" t="s">
        <v>1920</v>
      </c>
      <c r="B8" s="50" t="s">
        <v>1921</v>
      </c>
      <c r="C8" s="48" t="s">
        <v>1922</v>
      </c>
      <c r="D8" s="48">
        <f t="shared" ref="D8:D15" si="0">ROUND($D$3*E8/$E$3,2)</f>
        <v>15635.97</v>
      </c>
      <c r="E8" s="51">
        <f>SUMIF('数据-基础表'!BB10:BK10,"地上",'数据-基础表'!BB5:BK5)</f>
        <v>39089.930000000037</v>
      </c>
      <c r="F8" s="1394"/>
      <c r="G8" s="2234"/>
      <c r="H8" s="2234"/>
      <c r="I8" s="1394"/>
      <c r="J8" s="1394"/>
      <c r="K8" s="1394"/>
      <c r="L8" s="1394"/>
      <c r="M8" s="1394"/>
      <c r="N8" s="1394"/>
      <c r="O8" s="1394"/>
      <c r="P8" s="1394"/>
    </row>
    <row r="9" spans="1:16">
      <c r="A9" s="2235"/>
      <c r="B9" s="2236"/>
      <c r="C9" s="48" t="s">
        <v>1923</v>
      </c>
      <c r="D9" s="48">
        <f t="shared" si="0"/>
        <v>0</v>
      </c>
      <c r="E9" s="52">
        <v>0</v>
      </c>
      <c r="F9" s="1394"/>
      <c r="G9" s="2234"/>
      <c r="H9" s="2234"/>
      <c r="I9" s="1394"/>
      <c r="J9" s="1394"/>
      <c r="K9" s="1394"/>
      <c r="L9" s="1394"/>
      <c r="M9" s="1394"/>
      <c r="N9" s="1394"/>
      <c r="O9" s="1394"/>
      <c r="P9" s="1394"/>
    </row>
    <row r="10" spans="1:16">
      <c r="A10" s="2235"/>
      <c r="B10" s="2236"/>
      <c r="C10" s="48" t="s">
        <v>1932</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1924</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1925</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1926</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1938</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1933</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1927</v>
      </c>
      <c r="D16" s="50">
        <f>SUM(D8:D15)</f>
        <v>15635.97</v>
      </c>
      <c r="E16" s="53">
        <f>SUM(E8:E15)</f>
        <v>39089.930000000037</v>
      </c>
      <c r="F16" s="1394"/>
      <c r="G16" s="2234"/>
      <c r="H16" s="2237" t="s">
        <v>1939</v>
      </c>
      <c r="I16" s="2238"/>
      <c r="J16" s="1394"/>
      <c r="K16" s="3145" t="s">
        <v>1939</v>
      </c>
      <c r="L16" s="3146"/>
      <c r="M16" s="3146"/>
      <c r="N16" s="3146"/>
      <c r="O16" s="3146"/>
      <c r="P16" s="3147"/>
    </row>
    <row r="17" spans="1:19" ht="15">
      <c r="A17" s="2239" t="s">
        <v>1940</v>
      </c>
      <c r="B17" s="2240" t="s">
        <v>1941</v>
      </c>
      <c r="C17" s="2241" t="s">
        <v>1942</v>
      </c>
      <c r="D17" s="2242" t="s">
        <v>1930</v>
      </c>
      <c r="E17" s="2243" t="s">
        <v>1931</v>
      </c>
      <c r="F17" s="2244"/>
      <c r="G17" s="2245"/>
      <c r="H17" s="2246" t="s">
        <v>1943</v>
      </c>
      <c r="I17" s="2247" t="s">
        <v>1928</v>
      </c>
      <c r="J17" s="1394"/>
      <c r="K17" s="3142" t="s">
        <v>1944</v>
      </c>
      <c r="L17" s="3143"/>
      <c r="M17" s="3144"/>
      <c r="N17" s="3142" t="s">
        <v>1945</v>
      </c>
      <c r="O17" s="3143"/>
      <c r="P17" s="3144"/>
      <c r="R17" s="2225" t="s">
        <v>1946</v>
      </c>
      <c r="S17" s="64"/>
    </row>
    <row r="18" spans="1:19" ht="15">
      <c r="A18" s="2235"/>
      <c r="B18" s="2248"/>
      <c r="C18" s="2249"/>
      <c r="D18" s="2250"/>
      <c r="E18" s="2251" t="s">
        <v>1947</v>
      </c>
      <c r="F18" s="2252" t="s">
        <v>1948</v>
      </c>
      <c r="G18" s="2253" t="s">
        <v>1949</v>
      </c>
      <c r="H18" s="1264" t="s">
        <v>1950</v>
      </c>
      <c r="I18" s="2254" t="s">
        <v>1951</v>
      </c>
      <c r="J18" s="1394"/>
      <c r="K18" s="1264" t="s">
        <v>1952</v>
      </c>
      <c r="L18" s="2255" t="s">
        <v>1953</v>
      </c>
      <c r="M18" s="1048" t="s">
        <v>1954</v>
      </c>
      <c r="N18" s="1264" t="s">
        <v>1952</v>
      </c>
      <c r="O18" s="2255" t="s">
        <v>1953</v>
      </c>
      <c r="P18" s="1048" t="s">
        <v>1954</v>
      </c>
      <c r="R18" s="1249" t="s">
        <v>1955</v>
      </c>
      <c r="S18" s="1249" t="s">
        <v>1956</v>
      </c>
    </row>
    <row r="19" spans="1:19">
      <c r="A19" s="2256"/>
      <c r="B19" s="50" t="s">
        <v>1929</v>
      </c>
      <c r="C19" s="2945" t="s">
        <v>3067</v>
      </c>
      <c r="D19" s="48">
        <f>ROUND($D$3*E19/$E$3,2)</f>
        <v>39.31</v>
      </c>
      <c r="E19" s="56">
        <f t="shared" ref="E19:E26" si="1">SUM(F19:G19)</f>
        <v>98.27</v>
      </c>
      <c r="F19" s="57">
        <f>Sheet1!E3</f>
        <v>98.27</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39.31</v>
      </c>
      <c r="S19" s="1250">
        <f t="shared" si="5"/>
        <v>98.27</v>
      </c>
    </row>
    <row r="20" spans="1:19">
      <c r="A20" s="2260"/>
      <c r="B20" s="50" t="s">
        <v>1957</v>
      </c>
      <c r="C20" s="2945" t="s">
        <v>3068</v>
      </c>
      <c r="D20" s="48">
        <f t="shared" ref="D20:D26" si="6">ROUND($D$3*E20/$E$3,2)</f>
        <v>15596.66</v>
      </c>
      <c r="E20" s="56">
        <f t="shared" si="1"/>
        <v>38991.66000000004</v>
      </c>
      <c r="F20" s="57">
        <f>'数据-基础表'!I13-'数据-汇总表'!F19</f>
        <v>38991.66000000004</v>
      </c>
      <c r="G20" s="58"/>
      <c r="H20" s="722">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15596.66</v>
      </c>
      <c r="S20" s="1250">
        <f t="shared" si="5"/>
        <v>38991.66000000004</v>
      </c>
    </row>
    <row r="21" spans="1:19">
      <c r="A21" s="2260"/>
      <c r="B21" s="50" t="s">
        <v>1957</v>
      </c>
      <c r="C21" s="2257"/>
      <c r="D21" s="48">
        <f t="shared" si="6"/>
        <v>0</v>
      </c>
      <c r="E21" s="56">
        <f t="shared" si="1"/>
        <v>0</v>
      </c>
      <c r="F21" s="57"/>
      <c r="G21" s="58"/>
      <c r="H21" s="722">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c r="A22" s="2260"/>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c r="A23" s="2260"/>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1958</v>
      </c>
      <c r="D27" s="1395">
        <f>SUM(D19:D26)</f>
        <v>15635.97</v>
      </c>
      <c r="E27" s="1396">
        <f>IF(SUM(E19:E26)='数据-基础表'!BA5,SUM(E19:E26),IF(F27="地上面积有误","面积有误","地下面积有误"))</f>
        <v>39089.930000000037</v>
      </c>
      <c r="F27" s="1395">
        <f>IF(SUM(F19:F26)=E8,SUM(F19:F26),"地上面积有误")</f>
        <v>39089.930000000037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15635.97</v>
      </c>
      <c r="S27" s="1249">
        <f>IF(SUM(S19:S26)=$E$3,SUM(S19:S26),SUM(S19:S26)&amp;"误差"&amp;ROUND(SUM(S19:S26)-E3,2))</f>
        <v>39089.930000000037</v>
      </c>
    </row>
    <row r="28" spans="1:19">
      <c r="A28" s="2260"/>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1959</v>
      </c>
      <c r="C29" s="2264"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1962</v>
      </c>
      <c r="D31" s="728">
        <f>D27+D30</f>
        <v>15635.97</v>
      </c>
      <c r="E31" s="728">
        <f>E27+E30</f>
        <v>39089.930000000037</v>
      </c>
      <c r="F31" s="729">
        <f>F27+F30</f>
        <v>39089.930000000037</v>
      </c>
      <c r="G31" s="730">
        <f>G27+G30</f>
        <v>0</v>
      </c>
      <c r="H31" s="1394"/>
      <c r="I31" s="1394"/>
      <c r="J31" s="1394"/>
      <c r="K31" s="1394"/>
      <c r="L31" s="1394"/>
      <c r="M31" s="1394"/>
      <c r="N31" s="1394"/>
      <c r="O31" s="1394"/>
      <c r="P31" s="1394"/>
    </row>
    <row r="32" spans="1:19">
      <c r="A32" s="2230"/>
      <c r="B32" s="2230" t="s">
        <v>1963</v>
      </c>
      <c r="C32" s="2230"/>
      <c r="D32" s="2230"/>
      <c r="E32" s="1276">
        <f>SUMIF(C19:C26,"*住宅*",E19:E26)</f>
        <v>0</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F38"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1965</v>
      </c>
      <c r="B2" s="1268">
        <f>项目基本情况!D3</f>
        <v>43209</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1972</v>
      </c>
      <c r="B5" s="2287" t="s">
        <v>1973</v>
      </c>
      <c r="C5" s="2288" t="s">
        <v>1974</v>
      </c>
      <c r="D5" s="2289" t="s">
        <v>1975</v>
      </c>
      <c r="E5" s="1270" t="s">
        <v>1976</v>
      </c>
      <c r="F5" s="2290" t="s">
        <v>1977</v>
      </c>
      <c r="G5" s="1270" t="s">
        <v>1978</v>
      </c>
      <c r="H5" s="1270" t="s">
        <v>1979</v>
      </c>
      <c r="I5" s="1270" t="s">
        <v>1980</v>
      </c>
      <c r="J5" s="2291" t="s">
        <v>1981</v>
      </c>
      <c r="K5" s="2292" t="s">
        <v>1982</v>
      </c>
      <c r="L5" s="2293" t="s">
        <v>1983</v>
      </c>
      <c r="M5" s="2294" t="s">
        <v>1984</v>
      </c>
      <c r="N5" s="2295" t="s">
        <v>3069</v>
      </c>
      <c r="O5" s="2293" t="s">
        <v>1985</v>
      </c>
      <c r="P5" s="2296" t="s">
        <v>1986</v>
      </c>
      <c r="Q5" s="69" t="s">
        <v>1987</v>
      </c>
      <c r="R5" s="2297" t="s">
        <v>1988</v>
      </c>
      <c r="S5" s="2298" t="s">
        <v>1989</v>
      </c>
      <c r="T5" s="2299" t="s">
        <v>1990</v>
      </c>
      <c r="U5" s="1269" t="s">
        <v>1991</v>
      </c>
      <c r="V5" s="1270" t="s">
        <v>1992</v>
      </c>
      <c r="W5" s="1270" t="s">
        <v>1993</v>
      </c>
      <c r="X5" s="71"/>
      <c r="Y5" s="70" t="s">
        <v>1994</v>
      </c>
      <c r="Z5" s="2300" t="s">
        <v>1991</v>
      </c>
      <c r="AA5" s="1270" t="s">
        <v>1992</v>
      </c>
      <c r="AB5" s="1270" t="s">
        <v>1993</v>
      </c>
      <c r="AC5" s="71"/>
      <c r="AD5" s="71" t="s">
        <v>1994</v>
      </c>
      <c r="AE5" s="1269" t="s">
        <v>1995</v>
      </c>
      <c r="AF5" s="1270" t="s">
        <v>1996</v>
      </c>
      <c r="AG5" s="70" t="s">
        <v>1997</v>
      </c>
      <c r="AH5" s="1269" t="s">
        <v>1998</v>
      </c>
      <c r="AI5" s="2300" t="s">
        <v>1999</v>
      </c>
      <c r="AJ5" s="2300" t="s">
        <v>2000</v>
      </c>
      <c r="AK5" s="1270" t="s">
        <v>2001</v>
      </c>
      <c r="AL5" s="1270" t="s">
        <v>2002</v>
      </c>
      <c r="AM5" s="70" t="s">
        <v>2003</v>
      </c>
      <c r="AN5" s="2301" t="s">
        <v>2004</v>
      </c>
      <c r="AO5" s="2071" t="s">
        <v>2005</v>
      </c>
      <c r="AP5" s="1251"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典型户型商业</v>
      </c>
      <c r="B6" s="2304" t="str">
        <f>IF(A6=0,"","经营性")</f>
        <v>经营性</v>
      </c>
      <c r="C6" s="2305" t="s">
        <v>1377</v>
      </c>
      <c r="D6" s="1053">
        <f>SUMIF(项目基本情况!D$12:I$12,C6,项目基本情况!D$14:I$14)</f>
        <v>40</v>
      </c>
      <c r="E6" s="1050">
        <f>IF(B6="","",SUMIF(项目基本情况!D$12:I$12,C6,项目基本情况!D$13:I$13))</f>
        <v>53882</v>
      </c>
      <c r="F6" s="72">
        <f>SUMIF(项目基本情况!D$12:I$12,C6,项目基本情况!D$15:I$15)</f>
        <v>40</v>
      </c>
      <c r="G6" s="73">
        <f>IF(ISERROR(ROUND(POWER(1+H6,D6-F6)*(POWER(1+H6,F6)-1)/(POWER(1+H6,D6)-1),3)),0,ROUND(POWER(1+H6,D6-F6)*(POWER(1+H6,F6)-1)/(POWER(1+H6,D6)-1),3))</f>
        <v>1</v>
      </c>
      <c r="H6" s="801">
        <v>4.4999999999999998E-2</v>
      </c>
      <c r="I6" s="801">
        <v>0.05</v>
      </c>
      <c r="J6" s="74">
        <v>8.5000000000000006E-2</v>
      </c>
      <c r="K6" s="1253">
        <f>SUMIF('数据-汇总表'!C$19:C$33,A6,'数据-汇总表'!E$19:E$33)</f>
        <v>98.27</v>
      </c>
      <c r="L6" s="802">
        <v>2500</v>
      </c>
      <c r="M6" s="75">
        <f t="shared" ref="M6:M14" si="0">ROUND(K6*L6/10000,0)</f>
        <v>25</v>
      </c>
      <c r="N6" s="800">
        <f>ROUND(1-(2018-2011)/60,2)</f>
        <v>0.88</v>
      </c>
      <c r="O6" s="75" t="str">
        <f>IF($N$5="成新度","——",ROUND(M6*N6,0))</f>
        <v>——</v>
      </c>
      <c r="P6" s="76" t="str">
        <f>IF($N$5="成新度","——",M6-O6)</f>
        <v>——</v>
      </c>
      <c r="Q6" s="803">
        <v>0.2</v>
      </c>
      <c r="R6" s="77">
        <f ca="1">SUMIF('数据-汇总表'!C$19:C$33,A6,'数据-汇总表'!R$19:R$27)</f>
        <v>39.31</v>
      </c>
      <c r="S6" s="54">
        <f>IF('数据-汇总表'!$I$17="按面积比例",SUMIF('数据-汇总表'!C$19:C$33,A6,'数据-汇总表'!K$19:K$33),SUMIF('数据-汇总表'!C$19:C$33,A6,'数据-汇总表'!N$19:N$33))</f>
        <v>0</v>
      </c>
      <c r="T6" s="1445">
        <f>ROUND($L$14*S6/10000,0)</f>
        <v>0</v>
      </c>
      <c r="U6" s="78">
        <v>4.5</v>
      </c>
      <c r="V6" s="79">
        <v>0.03</v>
      </c>
      <c r="W6" s="79">
        <v>0.25</v>
      </c>
      <c r="X6" s="1263"/>
      <c r="Y6" s="80">
        <f>N6</f>
        <v>0.88</v>
      </c>
      <c r="Z6" s="81"/>
      <c r="AA6" s="74"/>
      <c r="AB6" s="74"/>
      <c r="AC6" s="1263"/>
      <c r="AD6" s="82"/>
      <c r="AE6" s="1264">
        <f ca="1">IF(AN6="",0,SUMIF(INDIRECT("'"&amp;AN6&amp;"'"&amp;"!E:E"),$AE$5,INDIRECT("'"&amp;AN6&amp;"'"&amp;"!F:F")))</f>
        <v>40</v>
      </c>
      <c r="AF6" s="1806"/>
      <c r="AG6" s="147">
        <f>IF(AF6="",0,AE6-AF6)</f>
        <v>0</v>
      </c>
      <c r="AH6" s="83"/>
      <c r="AI6" s="85">
        <v>365</v>
      </c>
      <c r="AJ6" s="86"/>
      <c r="AK6" s="87">
        <v>1.4999999999999999E-2</v>
      </c>
      <c r="AL6" s="88">
        <v>1.5E-3</v>
      </c>
      <c r="AM6" s="89">
        <v>0.01</v>
      </c>
      <c r="AN6" s="2306" t="s">
        <v>3070</v>
      </c>
      <c r="AO6" s="55">
        <f ca="1">SUMIF(INDIRECT("'"&amp;AN6&amp;"'"&amp;"!A:A"),"总价",INDIRECT("'"&amp;AN6&amp;"'"&amp;"!B:B"))</f>
        <v>242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商业剩余</v>
      </c>
      <c r="B7" s="2304" t="str">
        <f t="shared" ref="B7:B13" si="1">IF(A7=0,"","经营性")</f>
        <v>经营性</v>
      </c>
      <c r="C7" s="2305" t="s">
        <v>1377</v>
      </c>
      <c r="D7" s="1053">
        <f>SUMIF(项目基本情况!D$12:I$12,C7,项目基本情况!D$14:I$14)</f>
        <v>40</v>
      </c>
      <c r="E7" s="1050">
        <f>IF(B7="","",SUMIF(项目基本情况!D$12:I$12,C7,项目基本情况!D$13:I$13))</f>
        <v>53882</v>
      </c>
      <c r="F7" s="72">
        <f>SUMIF(项目基本情况!D$12:I$12,C7,项目基本情况!D$15:I$15)</f>
        <v>40</v>
      </c>
      <c r="G7" s="73">
        <f t="shared" ref="G7:G11" si="2">IF(ISERROR(ROUND(POWER(1+H7,D7-F7)*(POWER(1+H7,F7)-1)/(POWER(1+H7,D7)-1),3)),0,ROUND(POWER(1+H7,D7-F7)*(POWER(1+H7,F7)-1)/(POWER(1+H7,D7)-1),3))</f>
        <v>1</v>
      </c>
      <c r="H7" s="801">
        <v>4.4999999999999998E-2</v>
      </c>
      <c r="I7" s="801">
        <v>0.05</v>
      </c>
      <c r="J7" s="74">
        <v>8.5000000000000006E-2</v>
      </c>
      <c r="K7" s="1253">
        <f>SUMIF('数据-汇总表'!C$19:C$33,A7,'数据-汇总表'!E$19:E$33)</f>
        <v>38991.66000000004</v>
      </c>
      <c r="L7" s="802">
        <v>2500</v>
      </c>
      <c r="M7" s="75">
        <f t="shared" si="0"/>
        <v>9748</v>
      </c>
      <c r="N7" s="800">
        <f>ROUND(1-(2018-2011)/60,2)</f>
        <v>0.88</v>
      </c>
      <c r="O7" s="75" t="str">
        <f t="shared" ref="O7:O14" si="3">IF($N$5="成新度","——",ROUND(M7*N7,0))</f>
        <v>——</v>
      </c>
      <c r="P7" s="76" t="str">
        <f t="shared" ref="P7:P14" si="4">IF($N$5="成新度","——",M7-O7)</f>
        <v>——</v>
      </c>
      <c r="Q7" s="803">
        <v>0.2</v>
      </c>
      <c r="R7" s="77">
        <f ca="1">SUMIF('数据-汇总表'!C$19:C$33,A7,'数据-汇总表'!R$19:R$27)</f>
        <v>15596.66</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2009</v>
      </c>
      <c r="B14" s="2304" t="s">
        <v>2010</v>
      </c>
      <c r="C14" s="2309"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2011</v>
      </c>
      <c r="B15" s="2304" t="s">
        <v>2010</v>
      </c>
      <c r="C15" s="2309"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2013</v>
      </c>
      <c r="B16" s="97"/>
      <c r="C16" s="1007"/>
      <c r="D16" s="2311"/>
      <c r="E16" s="97"/>
      <c r="F16" s="97"/>
      <c r="G16" s="98">
        <f>ROUND(SUMPRODUCT(G6:G13,K6:K13)/SUMPRODUCT((G6:G13&gt;0)*(K6:K13)),3)</f>
        <v>1</v>
      </c>
      <c r="H16" s="99">
        <f>ROUND(SUMPRODUCT(H6:H13,K6:K13)/SUMPRODUCT((H6:H13&gt;0)*(K6:K13)),3)</f>
        <v>4.4999999999999998E-2</v>
      </c>
      <c r="I16" s="100"/>
      <c r="J16" s="100"/>
      <c r="K16" s="101">
        <f>SUM(K6:K15)</f>
        <v>39089.930000000037</v>
      </c>
      <c r="L16" s="102">
        <f>ROUND(M16*10000/SUM(K6:K14),0)</f>
        <v>2500</v>
      </c>
      <c r="M16" s="102">
        <f>SUM(M6:M14)</f>
        <v>9773</v>
      </c>
      <c r="N16" s="103">
        <f>ROUND(SUMPRODUCT(M6:M14,N6:N14)/M16,3)</f>
        <v>0.88</v>
      </c>
      <c r="O16" s="102">
        <f>SUM(O6:O14)</f>
        <v>0</v>
      </c>
      <c r="P16" s="102">
        <f>SUM(P6:P14)</f>
        <v>0</v>
      </c>
      <c r="Q16" s="104">
        <f>ROUND(SUMPRODUCT(Q6:Q13,K6:K13)/SUMPRODUCT((Q6:Q13&gt;0)*(K6:K13)),2)</f>
        <v>0.2</v>
      </c>
      <c r="R16" s="1257">
        <f ca="1">SUM(R6:R13)</f>
        <v>15635.97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2015</v>
      </c>
      <c r="B19" s="112">
        <v>0</v>
      </c>
      <c r="C19" s="2274" t="s">
        <v>2016</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2017</v>
      </c>
      <c r="B20" s="113">
        <v>2.5</v>
      </c>
      <c r="C20" s="2274" t="s">
        <v>2018</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2019</v>
      </c>
      <c r="B21" s="113">
        <v>2.5</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2020</v>
      </c>
      <c r="B22" s="114">
        <f>B19+B20</f>
        <v>2.5</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2021</v>
      </c>
      <c r="B23" s="114">
        <f>B19+B21</f>
        <v>2.5</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2022</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2023</v>
      </c>
      <c r="B26" s="2317" t="s">
        <v>2024</v>
      </c>
      <c r="C26" s="2318" t="s">
        <v>2025</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2026</v>
      </c>
      <c r="B27" s="116">
        <v>120</v>
      </c>
      <c r="C27" s="2946" t="s">
        <v>3550</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2027</v>
      </c>
      <c r="B28" s="119">
        <v>120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2028</v>
      </c>
      <c r="B29" s="121"/>
      <c r="C29" s="1766" t="s">
        <v>2029</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2030</v>
      </c>
      <c r="B30" s="723">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2031</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2032</v>
      </c>
      <c r="B32" s="724">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2033</v>
      </c>
      <c r="B33" s="725">
        <v>0.03</v>
      </c>
      <c r="C33" s="1765" t="s">
        <v>2034</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2035</v>
      </c>
      <c r="B34" s="122">
        <v>0.05</v>
      </c>
      <c r="C34" s="1765" t="s">
        <v>2036</v>
      </c>
      <c r="D34" s="2275" t="s">
        <v>2037</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2038</v>
      </c>
      <c r="B35" s="119">
        <v>200</v>
      </c>
      <c r="C35" s="1765" t="s">
        <v>2039</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2040</v>
      </c>
      <c r="B36" s="123">
        <v>1.4999999999999999E-2</v>
      </c>
      <c r="C36" s="1765" t="s">
        <v>2041</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2042</v>
      </c>
      <c r="B37" s="124">
        <v>0.02</v>
      </c>
      <c r="C37" s="1765" t="s">
        <v>2043</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2044</v>
      </c>
      <c r="B38" s="122">
        <v>0.02</v>
      </c>
      <c r="C38" s="1765" t="s">
        <v>2043</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2045</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2046</v>
      </c>
      <c r="B40" s="1302">
        <f ca="1">存贷款利率!G1</f>
        <v>4.7500000000000001E-2</v>
      </c>
      <c r="C40" s="1765" t="s">
        <v>2047</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2048</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2049</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2050</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2051</v>
      </c>
      <c r="B44" s="128">
        <v>7.0000000000000007E-2</v>
      </c>
      <c r="C44" s="1765" t="s">
        <v>2052</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2053</v>
      </c>
      <c r="B45" s="126">
        <v>0.03</v>
      </c>
      <c r="C45" s="1766" t="s">
        <v>2054</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2055</v>
      </c>
      <c r="B46" s="126">
        <v>0.02</v>
      </c>
      <c r="C46" s="1766" t="s">
        <v>2056</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2057</v>
      </c>
      <c r="B47" s="129"/>
      <c r="C47" s="1766" t="s">
        <v>2058</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2059</v>
      </c>
      <c r="B48" s="130">
        <v>0.03</v>
      </c>
      <c r="C48" s="1773" t="s">
        <v>2060</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2061</v>
      </c>
      <c r="B49" s="126">
        <v>5.0000000000000001E-4</v>
      </c>
      <c r="C49" s="1773" t="s">
        <v>2062</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2063</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2064</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2065</v>
      </c>
      <c r="B52" s="133">
        <f>SUMIF(A54:A63,B53,B54:B63)</f>
        <v>16</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2066</v>
      </c>
      <c r="B53" s="2333" t="s">
        <v>212</v>
      </c>
      <c r="C53" s="1429"/>
      <c r="D53" s="2334" t="s">
        <v>2067</v>
      </c>
      <c r="E53" s="2274"/>
      <c r="F53" s="2274"/>
      <c r="G53" s="2274"/>
      <c r="H53" s="2274"/>
      <c r="I53" s="2274"/>
      <c r="J53" s="2274"/>
      <c r="K53" s="168"/>
      <c r="L53" s="168"/>
      <c r="M53" s="1583"/>
      <c r="N53" s="1583"/>
      <c r="O53" s="1583"/>
      <c r="P53" s="1583"/>
      <c r="Q53" s="1583"/>
      <c r="R53" s="1583"/>
      <c r="S53" s="1583"/>
      <c r="T53" s="1583"/>
      <c r="U53" s="1583"/>
      <c r="V53" s="1583"/>
      <c r="W53" s="1583"/>
      <c r="X53" s="1583"/>
      <c r="Y53" s="2944" t="s">
        <v>3061</v>
      </c>
      <c r="Z53" s="1583"/>
      <c r="AA53" s="1583"/>
      <c r="AB53" s="1583"/>
      <c r="AC53" s="1583"/>
      <c r="AD53" s="1583"/>
      <c r="AE53" s="1583"/>
      <c r="AF53" s="1583"/>
      <c r="AG53" s="1583"/>
      <c r="AH53" s="1583"/>
      <c r="AI53" s="1583"/>
      <c r="AJ53" s="1583"/>
      <c r="AK53" s="1583"/>
      <c r="AL53" s="1583"/>
      <c r="AM53" s="1583"/>
    </row>
    <row r="54" spans="1:39" ht="14.25">
      <c r="A54" s="2335" t="s">
        <v>2068</v>
      </c>
      <c r="B54" s="84">
        <v>16</v>
      </c>
      <c r="C54" s="1429"/>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2069</v>
      </c>
      <c r="B55" s="84"/>
      <c r="C55" s="1429"/>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2070</v>
      </c>
      <c r="B56" s="84"/>
      <c r="C56" s="1429"/>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2071</v>
      </c>
      <c r="B57" s="84"/>
      <c r="C57" s="1429"/>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2072</v>
      </c>
      <c r="B58" s="84"/>
      <c r="C58" s="1429"/>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2073</v>
      </c>
      <c r="B59" s="84"/>
      <c r="C59" s="1429"/>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2074</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2075</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2076</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2077</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57" t="s">
        <v>2078</v>
      </c>
      <c r="B1" s="3158"/>
      <c r="C1" s="3158"/>
      <c r="D1" s="3158"/>
      <c r="E1" s="3158"/>
      <c r="F1" s="3158"/>
      <c r="G1" s="315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54">
      <c r="A3" s="415" t="s">
        <v>2081</v>
      </c>
      <c r="B3" s="1270"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7"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7" t="s">
        <v>2090</v>
      </c>
      <c r="C5" s="2371" t="s">
        <v>2091</v>
      </c>
      <c r="D5" s="2368"/>
      <c r="E5" s="2372"/>
      <c r="F5" s="1797" t="s">
        <v>2092</v>
      </c>
      <c r="G5" s="2373" t="s">
        <v>2093</v>
      </c>
      <c r="H5" s="2365"/>
      <c r="I5" s="2365"/>
      <c r="J5" s="2365"/>
      <c r="K5" s="2365"/>
      <c r="L5" s="2365"/>
      <c r="M5" s="2365"/>
      <c r="N5" s="2365"/>
      <c r="O5" s="2365"/>
      <c r="P5" s="2365"/>
      <c r="Q5" s="2365"/>
      <c r="R5" s="2365"/>
    </row>
    <row r="6" spans="1:29" ht="54">
      <c r="A6" s="431"/>
      <c r="B6" s="1797" t="s">
        <v>2094</v>
      </c>
      <c r="C6" s="2373" t="s">
        <v>2089</v>
      </c>
      <c r="D6" s="2368"/>
      <c r="E6" s="2372"/>
      <c r="F6" s="1797" t="s">
        <v>2095</v>
      </c>
      <c r="G6" s="2373" t="s">
        <v>2096</v>
      </c>
      <c r="H6" s="2365"/>
      <c r="I6" s="2365"/>
      <c r="J6" s="2365"/>
      <c r="K6" s="2365"/>
      <c r="L6" s="2365"/>
      <c r="M6" s="2365"/>
      <c r="N6" s="2365"/>
      <c r="O6" s="2365"/>
      <c r="P6" s="2365"/>
      <c r="Q6" s="2365"/>
      <c r="R6" s="2365"/>
    </row>
    <row r="7" spans="1:29" ht="41.25" thickBot="1">
      <c r="A7" s="431"/>
      <c r="B7" s="1797"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7" t="s">
        <v>2095</v>
      </c>
      <c r="C8" s="2373" t="s">
        <v>2096</v>
      </c>
      <c r="D8" s="2374"/>
      <c r="E8" s="2374"/>
      <c r="F8" s="1135"/>
      <c r="G8" s="1135"/>
      <c r="H8" s="2365"/>
      <c r="I8" s="2365"/>
      <c r="J8" s="2365"/>
      <c r="K8" s="2365"/>
      <c r="L8" s="2365"/>
      <c r="M8" s="2365"/>
      <c r="N8" s="2365"/>
      <c r="O8" s="2365"/>
      <c r="P8" s="2365"/>
      <c r="Q8" s="2365"/>
      <c r="R8" s="2365"/>
    </row>
    <row r="9" spans="1:29" ht="27">
      <c r="A9" s="431"/>
      <c r="B9" s="1797" t="s">
        <v>2099</v>
      </c>
      <c r="C9" s="2371" t="s">
        <v>2100</v>
      </c>
      <c r="D9" s="2368"/>
      <c r="E9" s="2374"/>
      <c r="F9" s="1135"/>
      <c r="G9" s="1135"/>
      <c r="H9" s="2365"/>
      <c r="I9" s="2365"/>
      <c r="J9" s="2365"/>
      <c r="K9" s="2365"/>
      <c r="L9" s="2365"/>
      <c r="M9" s="2365"/>
      <c r="N9" s="2365"/>
      <c r="O9" s="2365"/>
      <c r="P9" s="2365"/>
      <c r="Q9" s="2365"/>
      <c r="R9" s="2365"/>
    </row>
    <row r="10" spans="1:29" s="117" customFormat="1" ht="15.75" thickBot="1">
      <c r="A10" s="2378"/>
      <c r="B10" s="2379" t="s">
        <v>2101</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9" t="s">
        <v>2082</v>
      </c>
      <c r="C15" s="2400" t="str">
        <f>C3</f>
        <v>估价对象周边居住用地比例、居住小区规模和社区发展完善程度，综合评价居住社区成熟度一般</v>
      </c>
      <c r="D15" s="2368"/>
      <c r="E15" s="2401" t="s">
        <v>2106</v>
      </c>
      <c r="F15" s="1269" t="s">
        <v>2107</v>
      </c>
      <c r="G15" s="135" t="str">
        <f>G3</f>
        <v>估价对象位于XX开发区，园区建设成熟度XX，产业集聚程度XX</v>
      </c>
    </row>
    <row r="16" spans="1:29" ht="42.75">
      <c r="A16" s="644"/>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4"/>
      <c r="B17" s="2402" t="s">
        <v>2090</v>
      </c>
      <c r="C17" s="2403" t="str">
        <f>C5</f>
        <v>估价对象位于XX商圈，周边办公楼项目较多，入驻率高，办公集聚程度较好</v>
      </c>
      <c r="D17" s="2374"/>
      <c r="E17" s="2404"/>
      <c r="F17" s="2405" t="s">
        <v>2108</v>
      </c>
      <c r="G17" s="1571"/>
    </row>
    <row r="18" spans="1:18" ht="57">
      <c r="A18" s="644"/>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4"/>
      <c r="B19" s="2405" t="s">
        <v>2109</v>
      </c>
      <c r="C19" s="1571"/>
      <c r="D19" s="2368"/>
      <c r="E19" s="2404"/>
      <c r="F19" s="1797" t="s">
        <v>2092</v>
      </c>
      <c r="G19" s="136" t="str">
        <f>G5</f>
        <v>估价对象所在区域公共配套设施齐备情况</v>
      </c>
    </row>
    <row r="20" spans="1:18" ht="28.5">
      <c r="A20" s="644"/>
      <c r="B20" s="2405" t="s">
        <v>2110</v>
      </c>
      <c r="C20" s="2403" t="str">
        <f>C9</f>
        <v>区域自然环境：；人文环境；综合评价环境状况一般</v>
      </c>
      <c r="D20" s="2374"/>
      <c r="E20" s="2404"/>
      <c r="F20" s="1797" t="s">
        <v>2111</v>
      </c>
      <c r="G20" s="136" t="str">
        <f>G6</f>
        <v>估价对象所在区域基础设施水平</v>
      </c>
    </row>
    <row r="21" spans="1:18" ht="28.5">
      <c r="A21" s="644"/>
      <c r="B21" s="1797" t="s">
        <v>2092</v>
      </c>
      <c r="C21" s="136" t="str">
        <f>C7</f>
        <v>估价对象所在区域公共配套设施齐备情况</v>
      </c>
      <c r="D21" s="2368"/>
      <c r="E21" s="2404"/>
      <c r="F21" s="2405" t="s">
        <v>2112</v>
      </c>
      <c r="G21" s="2406"/>
    </row>
    <row r="22" spans="1:18" ht="13.5" customHeight="1">
      <c r="A22" s="644"/>
      <c r="B22" s="1797" t="s">
        <v>2095</v>
      </c>
      <c r="C22" s="136" t="str">
        <f>C8</f>
        <v>估价对象所在区域基础设施水平</v>
      </c>
      <c r="D22" s="2368"/>
      <c r="E22" s="2404"/>
      <c r="F22" s="2405" t="s">
        <v>2101</v>
      </c>
      <c r="G22" s="1571"/>
    </row>
    <row r="23" spans="1:18" s="2365" customFormat="1" ht="15.75" thickBot="1">
      <c r="A23" s="644"/>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8" sqref="G8"/>
    </sheetView>
  </sheetViews>
  <sheetFormatPr defaultRowHeight="13.5"/>
  <cols>
    <col min="1" max="1" width="23.375" style="1740" customWidth="1"/>
    <col min="2" max="9" width="15.75" style="1740" customWidth="1"/>
    <col min="10" max="16384" width="9" style="1740"/>
  </cols>
  <sheetData>
    <row r="1" spans="1:10" ht="16.5">
      <c r="A1" s="1745" t="s">
        <v>1365</v>
      </c>
      <c r="B1" s="1745">
        <f>SUM(B14:B23)</f>
        <v>39089.930000000037</v>
      </c>
      <c r="C1" s="1744"/>
      <c r="D1" s="1744"/>
      <c r="E1" s="1744"/>
      <c r="F1" s="1744"/>
      <c r="G1" s="1742"/>
    </row>
    <row r="2" spans="1:10" ht="16.5">
      <c r="A2" s="1745" t="s">
        <v>1353</v>
      </c>
      <c r="B2" s="1745">
        <f>SUM(C14:C23)</f>
        <v>15635.97</v>
      </c>
      <c r="C2" s="1744"/>
      <c r="D2" s="1744"/>
      <c r="E2" s="1744"/>
      <c r="F2" s="1744"/>
      <c r="G2" s="1742"/>
    </row>
    <row r="3" spans="1:10" ht="16.5">
      <c r="A3" s="1745" t="s">
        <v>1362</v>
      </c>
      <c r="B3" s="1746">
        <f>项目基本情况!D3</f>
        <v>43209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269</v>
      </c>
      <c r="C5" s="1745">
        <f ca="1">ROUND(B5*10000/$B$1,0)</f>
        <v>69</v>
      </c>
      <c r="D5" s="1745">
        <f ca="1">ROUND(B5*10000/$B$2,0)</f>
        <v>172</v>
      </c>
      <c r="E5" s="1744"/>
      <c r="F5" s="1742"/>
      <c r="G5" s="1742"/>
    </row>
    <row r="6" spans="1:10" ht="16.5">
      <c r="A6" s="1745" t="s">
        <v>1356</v>
      </c>
      <c r="B6" s="1745">
        <f ca="1">SUM(G14:G23)</f>
        <v>269</v>
      </c>
      <c r="C6" s="1745">
        <f ca="1">ROUND(B6*10000/$B$1,0)</f>
        <v>69</v>
      </c>
      <c r="D6" s="1745">
        <f ca="1">ROUND(B6*10000/$B$2,0)</f>
        <v>172</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98.27</v>
      </c>
      <c r="C14" s="1743">
        <f>结果表!C118</f>
        <v>39.31</v>
      </c>
      <c r="D14" s="1743">
        <f ca="1">结果表!H118</f>
        <v>269</v>
      </c>
      <c r="E14" s="1743">
        <f ca="1">ROUND(D14*10000/B14,0)</f>
        <v>27374</v>
      </c>
      <c r="F14" s="1743">
        <f ca="1">ROUND(D14*10000/C14,0)</f>
        <v>68430</v>
      </c>
      <c r="G14" s="1743">
        <f ca="1">结果表!D122</f>
        <v>269</v>
      </c>
      <c r="H14" s="1743" t="str">
        <f>结果表!D124</f>
        <v>——</v>
      </c>
      <c r="I14" s="1743" t="str">
        <f>结果表!D126</f>
        <v>——</v>
      </c>
      <c r="J14" s="1742"/>
    </row>
    <row r="15" spans="1:10" ht="16.5">
      <c r="A15" s="1741" t="s">
        <v>1349</v>
      </c>
      <c r="B15" s="1748">
        <f>'数据-汇总表'!F20</f>
        <v>38991.66000000004</v>
      </c>
      <c r="C15" s="1748">
        <f>'数据-汇总表'!D20</f>
        <v>15596.66</v>
      </c>
      <c r="D15" s="1748">
        <f>典型户型修正!Y23</f>
        <v>0</v>
      </c>
      <c r="E15" s="1743">
        <f t="shared" ref="E15:E23" si="0">ROUND(D15*10000/B15,0)</f>
        <v>0</v>
      </c>
      <c r="F15" s="1743">
        <f t="shared" ref="F15:F23" si="1">ROUND(D15*10000/C15,0)</f>
        <v>0</v>
      </c>
      <c r="G15" s="1749">
        <f>D15</f>
        <v>0</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K25" sqref="K25"/>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2115</v>
      </c>
      <c r="B1" s="2416"/>
      <c r="C1" s="2417" t="s">
        <v>3066</v>
      </c>
      <c r="D1" s="2416"/>
      <c r="E1" s="2416"/>
      <c r="F1" s="2418" t="s">
        <v>2116</v>
      </c>
      <c r="G1" s="2068" t="s">
        <v>3053</v>
      </c>
      <c r="H1" s="2419" t="str">
        <f>IF(G1="现房","——","估价对象范围")</f>
        <v>——</v>
      </c>
      <c r="I1" s="2420" t="s">
        <v>3121</v>
      </c>
    </row>
    <row r="2" spans="1:12" ht="21.75" customHeight="1" thickBot="1">
      <c r="A2" s="3192" t="str">
        <f>项目基本情况!S2</f>
        <v>湖北省武汉市房地产</v>
      </c>
      <c r="B2" s="3193"/>
      <c r="C2" s="3193"/>
      <c r="D2" s="3193"/>
      <c r="E2" s="3193"/>
      <c r="F2" s="3193"/>
      <c r="G2" s="3193"/>
      <c r="H2" s="3193"/>
      <c r="I2" s="3194"/>
    </row>
    <row r="3" spans="1:12" ht="12.75">
      <c r="A3" s="3196" t="s">
        <v>2117</v>
      </c>
      <c r="B3" s="3197"/>
      <c r="C3" s="3197"/>
      <c r="D3" s="3197"/>
      <c r="E3" s="3197"/>
      <c r="F3" s="3197"/>
      <c r="G3" s="3197"/>
      <c r="H3" s="3197"/>
      <c r="I3" s="3197"/>
    </row>
    <row r="4" spans="1:12" ht="14.25">
      <c r="A4" s="2423" t="s">
        <v>2118</v>
      </c>
      <c r="B4" s="2424" t="s">
        <v>2119</v>
      </c>
      <c r="C4" s="2425" t="s">
        <v>3070</v>
      </c>
      <c r="D4" s="2425" t="s">
        <v>3075</v>
      </c>
      <c r="E4" s="3189" t="s">
        <v>2120</v>
      </c>
      <c r="F4" s="3190"/>
      <c r="G4" s="3190"/>
      <c r="H4" s="3190"/>
      <c r="I4" s="3198"/>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172" t="s">
        <v>2121</v>
      </c>
      <c r="B5" s="3110">
        <v>25</v>
      </c>
      <c r="C5" s="3175"/>
      <c r="D5" s="3195"/>
      <c r="E5" s="140" t="s">
        <v>2122</v>
      </c>
      <c r="F5" s="2427"/>
      <c r="G5" s="2427"/>
      <c r="H5" s="2427"/>
      <c r="I5" s="1833"/>
    </row>
    <row r="6" spans="1:12" ht="12.75">
      <c r="A6" s="3172"/>
      <c r="B6" s="3110"/>
      <c r="C6" s="3176"/>
      <c r="D6" s="3195"/>
      <c r="E6" s="140" t="s">
        <v>2123</v>
      </c>
      <c r="F6" s="2427"/>
      <c r="G6" s="2427"/>
      <c r="H6" s="2427"/>
      <c r="I6" s="1833"/>
    </row>
    <row r="7" spans="1:12" ht="12.75">
      <c r="A7" s="3172"/>
      <c r="B7" s="3110"/>
      <c r="C7" s="3177"/>
      <c r="D7" s="3195"/>
      <c r="E7" s="140" t="s">
        <v>2124</v>
      </c>
      <c r="F7" s="2427"/>
      <c r="G7" s="2427"/>
      <c r="H7" s="2427"/>
      <c r="I7" s="1833"/>
    </row>
    <row r="8" spans="1:12" ht="12.75">
      <c r="A8" s="3172" t="s">
        <v>2125</v>
      </c>
      <c r="B8" s="3110">
        <v>15</v>
      </c>
      <c r="C8" s="3175"/>
      <c r="D8" s="3195"/>
      <c r="E8" s="140" t="s">
        <v>2126</v>
      </c>
      <c r="F8" s="2427"/>
      <c r="G8" s="2427"/>
      <c r="H8" s="2427"/>
      <c r="I8" s="1833"/>
    </row>
    <row r="9" spans="1:12" ht="12.75">
      <c r="A9" s="3172"/>
      <c r="B9" s="3110"/>
      <c r="C9" s="3177"/>
      <c r="D9" s="3195"/>
      <c r="E9" s="140" t="s">
        <v>2127</v>
      </c>
      <c r="F9" s="2427"/>
      <c r="G9" s="2427"/>
      <c r="H9" s="2427"/>
      <c r="I9" s="1833"/>
    </row>
    <row r="10" spans="1:12" ht="12.75">
      <c r="A10" s="3172" t="s">
        <v>2128</v>
      </c>
      <c r="B10" s="3110">
        <v>15</v>
      </c>
      <c r="C10" s="3175"/>
      <c r="D10" s="3195"/>
      <c r="E10" s="140" t="s">
        <v>2129</v>
      </c>
      <c r="F10" s="2427"/>
      <c r="G10" s="2427"/>
      <c r="H10" s="2427"/>
      <c r="I10" s="1833"/>
    </row>
    <row r="11" spans="1:12" ht="12.75">
      <c r="A11" s="3172"/>
      <c r="B11" s="3110"/>
      <c r="C11" s="3177"/>
      <c r="D11" s="3195"/>
      <c r="E11" s="140" t="s">
        <v>2130</v>
      </c>
      <c r="F11" s="2427"/>
      <c r="G11" s="2427"/>
      <c r="H11" s="2427"/>
      <c r="I11" s="1833"/>
    </row>
    <row r="12" spans="1:12" ht="12.75">
      <c r="A12" s="3172" t="s">
        <v>2131</v>
      </c>
      <c r="B12" s="3110">
        <v>15</v>
      </c>
      <c r="C12" s="3175"/>
      <c r="D12" s="3195"/>
      <c r="E12" s="140" t="s">
        <v>2132</v>
      </c>
      <c r="F12" s="2427"/>
      <c r="G12" s="2427"/>
      <c r="H12" s="2427"/>
      <c r="I12" s="1833"/>
    </row>
    <row r="13" spans="1:12" ht="12.75">
      <c r="A13" s="3172"/>
      <c r="B13" s="3110"/>
      <c r="C13" s="3177"/>
      <c r="D13" s="3195"/>
      <c r="E13" s="140" t="s">
        <v>2133</v>
      </c>
      <c r="F13" s="2427"/>
      <c r="G13" s="2427"/>
      <c r="H13" s="2427"/>
      <c r="I13" s="1833"/>
    </row>
    <row r="14" spans="1:12" ht="12.75">
      <c r="A14" s="3172" t="s">
        <v>2134</v>
      </c>
      <c r="B14" s="3110">
        <v>30</v>
      </c>
      <c r="C14" s="3175">
        <v>5</v>
      </c>
      <c r="D14" s="3195">
        <v>5</v>
      </c>
      <c r="E14" s="140" t="s">
        <v>2135</v>
      </c>
      <c r="F14" s="2427"/>
      <c r="G14" s="2427"/>
      <c r="H14" s="2427"/>
      <c r="I14" s="1833"/>
    </row>
    <row r="15" spans="1:12" ht="12.75">
      <c r="A15" s="3172"/>
      <c r="B15" s="3110"/>
      <c r="C15" s="3176"/>
      <c r="D15" s="3195"/>
      <c r="E15" s="140" t="s">
        <v>2136</v>
      </c>
      <c r="F15" s="2427"/>
      <c r="G15" s="2427"/>
      <c r="H15" s="2427"/>
      <c r="I15" s="1833"/>
    </row>
    <row r="16" spans="1:12" ht="12.75">
      <c r="A16" s="3172"/>
      <c r="B16" s="3110"/>
      <c r="C16" s="3177"/>
      <c r="D16" s="3195"/>
      <c r="E16" s="140" t="s">
        <v>2137</v>
      </c>
      <c r="F16" s="2427"/>
      <c r="G16" s="2427"/>
      <c r="H16" s="2427"/>
      <c r="I16" s="1833"/>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98.27</v>
      </c>
      <c r="M18" s="2426">
        <f>IF(C1="",'数据-汇总表'!E3,SUMIF(项目类型,C1,'数据-汇总表'!E17:E26))</f>
        <v>98.27</v>
      </c>
    </row>
    <row r="19" spans="1:35" ht="15">
      <c r="A19" s="2432" t="s">
        <v>2143</v>
      </c>
      <c r="B19" s="2433" t="s">
        <v>2144</v>
      </c>
      <c r="C19" s="143">
        <f ca="1">SUMIF(INDIRECT("'"&amp;C4&amp;"'"&amp;"!A:A"),结果表!B19,INDIRECT("'"&amp;C4&amp;"'"&amp;"!B:B"))</f>
        <v>242</v>
      </c>
      <c r="D19" s="144">
        <f ca="1">SUMIF(INDIRECT("'"&amp;D4&amp;"'"&amp;"!A:A"),结果表!B19,INDIRECT("'"&amp;D4&amp;"'"&amp;"!B:B"))</f>
        <v>296</v>
      </c>
      <c r="E19" s="2432" t="s">
        <v>2145</v>
      </c>
      <c r="F19" s="2433" t="s">
        <v>2144</v>
      </c>
      <c r="G19" s="145">
        <f ca="1">ROUND(C19*$C$18+D19*$D$18,0)</f>
        <v>269</v>
      </c>
      <c r="H19" s="2434" t="s">
        <v>2146</v>
      </c>
      <c r="I19" s="138"/>
      <c r="K19" s="2426" t="s">
        <v>2147</v>
      </c>
      <c r="L19" s="2426">
        <f>IF(C1="",'数据-汇总表'!D3,SUMIF(项目类型,C1,'数据-汇总表'!D17:D26)+SUMIF(项目类型,C1,'数据-汇总表'!H17:H27))</f>
        <v>39.31</v>
      </c>
      <c r="M19" s="2426">
        <f>IF(C1="",'数据-汇总表'!D3,SUMIF(项目类型,C1,'数据-汇总表'!D17:D26))</f>
        <v>39.31</v>
      </c>
    </row>
    <row r="20" spans="1:35" ht="15">
      <c r="A20" s="2435"/>
      <c r="B20" s="1249" t="s">
        <v>2148</v>
      </c>
      <c r="C20" s="146">
        <f ca="1">SUMIF(INDIRECT("'"&amp;C4&amp;"'"&amp;"!A:A"),结果表!B20,INDIRECT("'"&amp;C4&amp;"'"&amp;"!B:B"))</f>
        <v>24626</v>
      </c>
      <c r="D20" s="147">
        <f ca="1">SUMIF(INDIRECT("'"&amp;D4&amp;"'"&amp;"!A:A"),结果表!B20,INDIRECT("'"&amp;D4&amp;"'"&amp;"!B:B"))</f>
        <v>30121</v>
      </c>
      <c r="E20" s="2435"/>
      <c r="F20" s="1249" t="s">
        <v>2148</v>
      </c>
      <c r="G20" s="148">
        <f ca="1">ROUND(C20*$C$18+D20*$D$18,0)</f>
        <v>27374</v>
      </c>
      <c r="H20" s="982" t="s">
        <v>2149</v>
      </c>
      <c r="I20" s="138"/>
    </row>
    <row r="21" spans="1:35" ht="15" customHeight="1" thickBot="1">
      <c r="A21" s="1002"/>
      <c r="B21" s="2436" t="s">
        <v>2150</v>
      </c>
      <c r="C21" s="788">
        <f ca="1">ROUND(C19*10000/L19,0)</f>
        <v>61562</v>
      </c>
      <c r="D21" s="789">
        <f ca="1">ROUND(D19*10000/L19,0)</f>
        <v>75299</v>
      </c>
      <c r="E21" s="1002"/>
      <c r="F21" s="2436" t="s">
        <v>2150</v>
      </c>
      <c r="G21" s="149">
        <f ca="1">ROUND(G19*10000/L19,0)</f>
        <v>68430</v>
      </c>
      <c r="H21" s="2437" t="s">
        <v>2149</v>
      </c>
      <c r="I21" s="138"/>
    </row>
    <row r="22" spans="1:35" ht="15" thickBot="1">
      <c r="A22" s="2278" t="s">
        <v>2151</v>
      </c>
      <c r="B22" s="2438"/>
      <c r="C22" s="2439"/>
      <c r="D22" s="790">
        <f ca="1">IF(C19&lt;D19,D19/C19-1,C19/D19-1)</f>
        <v>0.22314049586776852</v>
      </c>
      <c r="E22" s="138"/>
      <c r="F22" s="138"/>
      <c r="G22" s="138"/>
      <c r="H22" s="138"/>
      <c r="I22" s="138"/>
    </row>
    <row r="23" spans="1:35" ht="13.5" thickBot="1">
      <c r="A23" s="2416"/>
      <c r="B23" s="2416"/>
      <c r="C23" s="2416"/>
      <c r="D23" s="2416"/>
      <c r="E23" s="138"/>
      <c r="F23" s="138"/>
      <c r="G23" s="138"/>
      <c r="H23" s="138"/>
      <c r="I23" s="138"/>
    </row>
    <row r="24" spans="1:35" ht="14.25">
      <c r="A24" s="3166" t="s">
        <v>2152</v>
      </c>
      <c r="B24" s="2433" t="s">
        <v>2144</v>
      </c>
      <c r="C24" s="145">
        <f>IF(B30=0,0,D30)</f>
        <v>0</v>
      </c>
      <c r="D24" s="2440"/>
      <c r="E24" s="138"/>
      <c r="F24" s="138"/>
      <c r="G24" s="138"/>
      <c r="H24" s="138"/>
      <c r="I24" s="138"/>
    </row>
    <row r="25" spans="1:35" ht="14.25">
      <c r="A25" s="3167"/>
      <c r="B25" s="1249"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25" t="s">
        <v>3033</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269</v>
      </c>
      <c r="D32" s="2447" t="s">
        <v>2159</v>
      </c>
      <c r="E32" s="138"/>
      <c r="F32" s="138"/>
      <c r="G32" s="138"/>
      <c r="H32" s="138"/>
      <c r="I32" s="138"/>
    </row>
    <row r="33" spans="1:15" ht="15">
      <c r="A33" s="959"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2163</v>
      </c>
      <c r="F34" s="1738"/>
      <c r="G34" s="138"/>
      <c r="H34" s="138"/>
      <c r="I34" s="138"/>
    </row>
    <row r="35" spans="1:15" ht="15.75" thickBot="1">
      <c r="A35" s="2456"/>
      <c r="B35" s="2457"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84" t="s">
        <v>2166</v>
      </c>
      <c r="B36" s="2459" t="s">
        <v>2167</v>
      </c>
      <c r="C36" s="154"/>
      <c r="D36" s="2460"/>
      <c r="E36" s="2461"/>
      <c r="F36" s="2462"/>
      <c r="G36" s="138"/>
      <c r="H36" s="138"/>
      <c r="I36" s="138"/>
    </row>
    <row r="37" spans="1:15" ht="15.75" thickBot="1">
      <c r="A37" s="3185"/>
      <c r="B37" s="2264" t="s">
        <v>2168</v>
      </c>
      <c r="C37" s="156"/>
      <c r="D37" s="1394"/>
      <c r="E37" s="1394"/>
      <c r="F37" s="2462"/>
      <c r="G37" s="138"/>
      <c r="H37" s="138"/>
      <c r="I37" s="138"/>
    </row>
    <row r="38" spans="1:15" ht="15.75" thickBot="1">
      <c r="A38" s="3186"/>
      <c r="B38" s="2463" t="s">
        <v>2169</v>
      </c>
      <c r="C38" s="726"/>
      <c r="D38" s="2464" t="s">
        <v>2170</v>
      </c>
      <c r="E38" s="1394"/>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63" t="s">
        <v>2180</v>
      </c>
      <c r="B45" s="3164"/>
      <c r="C45" s="3165"/>
      <c r="D45" s="164">
        <f ca="1">ROUND(H101*F45,0)</f>
        <v>269</v>
      </c>
      <c r="E45" s="165" t="s">
        <v>2181</v>
      </c>
      <c r="F45" s="166">
        <v>1</v>
      </c>
      <c r="G45" s="167" t="s">
        <v>2182</v>
      </c>
      <c r="H45" s="138"/>
      <c r="I45" s="138"/>
      <c r="J45" s="3223" t="s">
        <v>2183</v>
      </c>
      <c r="K45" s="3223"/>
      <c r="L45" s="3223"/>
      <c r="M45" s="3223"/>
      <c r="N45" s="3223"/>
      <c r="O45" s="3223"/>
    </row>
    <row r="46" spans="1:15" ht="14.25" customHeight="1">
      <c r="A46" s="3160" t="s">
        <v>2184</v>
      </c>
      <c r="B46" s="3161"/>
      <c r="C46" s="3161"/>
      <c r="D46" s="3161"/>
      <c r="E46" s="3161"/>
      <c r="F46" s="3161"/>
      <c r="G46" s="3162"/>
      <c r="H46" s="2478"/>
      <c r="I46" s="168"/>
      <c r="J46" s="1811">
        <v>1</v>
      </c>
      <c r="K46" s="3223" t="s">
        <v>2185</v>
      </c>
      <c r="L46" s="3223"/>
      <c r="M46" s="3243"/>
      <c r="N46" s="3243"/>
      <c r="O46" s="3243"/>
    </row>
    <row r="47" spans="1:15" ht="12" customHeight="1">
      <c r="A47" s="169" t="s">
        <v>2186</v>
      </c>
      <c r="B47" s="170"/>
      <c r="C47" s="171"/>
      <c r="D47" s="172" t="s">
        <v>2187</v>
      </c>
      <c r="E47" s="24" t="s">
        <v>2188</v>
      </c>
      <c r="F47" s="173" t="s">
        <v>2189</v>
      </c>
      <c r="G47" s="174" t="s">
        <v>2190</v>
      </c>
      <c r="H47" s="2478"/>
      <c r="I47" s="168"/>
      <c r="J47" s="1811">
        <v>2</v>
      </c>
      <c r="K47" s="3223" t="s">
        <v>2191</v>
      </c>
      <c r="L47" s="3223"/>
      <c r="M47" s="3244">
        <f>'数据-取费表'!B2</f>
        <v>43209</v>
      </c>
      <c r="N47" s="3244"/>
      <c r="O47" s="3244"/>
    </row>
    <row r="48" spans="1:15" ht="25.5">
      <c r="A48" s="3191" t="s">
        <v>2192</v>
      </c>
      <c r="B48" s="3174"/>
      <c r="C48" s="3174"/>
      <c r="D48" s="140">
        <f>IF(H48="情况1",0,IF(H48="情况2",D52,IF(H48="情况3",D53,IF(H48="情况4",D54))))</f>
        <v>0</v>
      </c>
      <c r="E48" s="1800" t="str">
        <f>IF(H48="情况4","(销售额-原购置价)×税（费）率","销售额×税（费）率")</f>
        <v>销售额×税（费）率</v>
      </c>
      <c r="F48" s="175" t="str">
        <f>IF(H48="情况1","免征",'数据-取费表'!B41)</f>
        <v>免征</v>
      </c>
      <c r="G48" s="2479" t="s">
        <v>2193</v>
      </c>
      <c r="H48" s="2480" t="s">
        <v>2194</v>
      </c>
      <c r="I48" s="2478"/>
      <c r="J48" s="1811">
        <v>3</v>
      </c>
      <c r="K48" s="3223" t="s">
        <v>2195</v>
      </c>
      <c r="L48" s="3223"/>
      <c r="M48" s="3245">
        <f ca="1">H101</f>
        <v>269</v>
      </c>
      <c r="N48" s="3245"/>
      <c r="O48" s="3245"/>
    </row>
    <row r="49" spans="1:35" ht="25.5" customHeight="1">
      <c r="A49" s="176" t="s">
        <v>2196</v>
      </c>
      <c r="B49" s="3159" t="s">
        <v>2197</v>
      </c>
      <c r="C49" s="3159"/>
      <c r="D49" s="177">
        <v>0</v>
      </c>
      <c r="E49" s="23" t="s">
        <v>2198</v>
      </c>
      <c r="F49" s="28" t="s">
        <v>34</v>
      </c>
      <c r="G49" s="3229"/>
      <c r="H49" s="138"/>
      <c r="I49" s="2481"/>
      <c r="J49" s="1811">
        <v>4</v>
      </c>
      <c r="K49" s="3223" t="str">
        <f>IF(项目基本情况!E8="房地产抵押价值","房地产抵押价值","抵押担保权已注销时的房地产抵押价值")</f>
        <v>房地产抵押价值</v>
      </c>
      <c r="L49" s="3223"/>
      <c r="M49" s="3245">
        <f ca="1">IF(项目基本情况!E8="房地产抵押价值",H107,H109)</f>
        <v>269</v>
      </c>
      <c r="N49" s="3245"/>
      <c r="O49" s="3245"/>
    </row>
    <row r="50" spans="1:35" ht="25.5" customHeight="1">
      <c r="A50" s="178"/>
      <c r="B50" s="3159" t="s">
        <v>2199</v>
      </c>
      <c r="C50" s="3159"/>
      <c r="D50" s="179"/>
      <c r="E50" s="31"/>
      <c r="F50" s="180"/>
      <c r="G50" s="3230"/>
      <c r="H50" s="138"/>
      <c r="I50" s="2481"/>
      <c r="J50" s="3223" t="s">
        <v>2200</v>
      </c>
      <c r="K50" s="3223"/>
      <c r="L50" s="3223"/>
      <c r="M50" s="3223"/>
      <c r="N50" s="3223"/>
      <c r="O50" s="3223"/>
    </row>
    <row r="51" spans="1:35" ht="12" customHeight="1">
      <c r="A51" s="181"/>
      <c r="B51" s="3159" t="s">
        <v>2201</v>
      </c>
      <c r="C51" s="3159"/>
      <c r="D51" s="182"/>
      <c r="E51" s="30"/>
      <c r="F51" s="180"/>
      <c r="G51" s="3231"/>
      <c r="H51" s="138"/>
      <c r="I51" s="2481"/>
      <c r="J51" s="2482" t="s">
        <v>2202</v>
      </c>
      <c r="K51" s="3223" t="s">
        <v>2203</v>
      </c>
      <c r="L51" s="3223"/>
      <c r="M51" s="2482" t="s">
        <v>2204</v>
      </c>
      <c r="N51" s="2482" t="s">
        <v>2205</v>
      </c>
      <c r="O51" s="2482" t="s">
        <v>2206</v>
      </c>
    </row>
    <row r="52" spans="1:35" ht="24" customHeight="1">
      <c r="A52" s="183" t="s">
        <v>2207</v>
      </c>
      <c r="B52" s="3159" t="s">
        <v>2208</v>
      </c>
      <c r="C52" s="3159"/>
      <c r="D52" s="182">
        <f ca="1">ROUND(D45*'数据-取费表'!B41/(1+'数据-取费表'!C42),0)</f>
        <v>14</v>
      </c>
      <c r="E52" s="11" t="s">
        <v>2209</v>
      </c>
      <c r="F52" s="184">
        <f>'数据-取费表'!B41</f>
        <v>5.6000000000000001E-2</v>
      </c>
      <c r="G52" s="2483"/>
      <c r="H52" s="138"/>
      <c r="I52" s="2481"/>
      <c r="J52" s="1811">
        <v>1</v>
      </c>
      <c r="K52" s="3224" t="s">
        <v>2210</v>
      </c>
      <c r="L52" s="3224"/>
      <c r="M52" s="1753">
        <f>D48</f>
        <v>0</v>
      </c>
      <c r="N52" s="1811" t="str">
        <f>E48</f>
        <v>销售额×税（费）率</v>
      </c>
      <c r="O52" s="1754" t="str">
        <f>F48</f>
        <v>免征</v>
      </c>
    </row>
    <row r="53" spans="1:35" ht="12" customHeight="1">
      <c r="A53" s="183" t="s">
        <v>2211</v>
      </c>
      <c r="B53" s="3182" t="s">
        <v>2212</v>
      </c>
      <c r="C53" s="3183"/>
      <c r="D53" s="182">
        <f ca="1">ROUND(D45*'数据-取费表'!B41/(1+'数据-取费表'!C42),0)</f>
        <v>14</v>
      </c>
      <c r="E53" s="11" t="s">
        <v>2209</v>
      </c>
      <c r="F53" s="184">
        <f>'数据-取费表'!B41</f>
        <v>5.6000000000000001E-2</v>
      </c>
      <c r="G53" s="2483"/>
      <c r="H53" s="138"/>
      <c r="I53" s="2481"/>
      <c r="J53" s="1811">
        <v>2</v>
      </c>
      <c r="K53" s="3224" t="s">
        <v>2213</v>
      </c>
      <c r="L53" s="3224"/>
      <c r="M53" s="1753">
        <f t="shared" ref="M53:O54" ca="1" si="0">D55</f>
        <v>0</v>
      </c>
      <c r="N53" s="1811" t="str">
        <f t="shared" si="0"/>
        <v>销售额×税（费）率</v>
      </c>
      <c r="O53" s="1754">
        <f t="shared" si="0"/>
        <v>5.0000000000000001E-4</v>
      </c>
    </row>
    <row r="54" spans="1:35" ht="12" customHeight="1">
      <c r="A54" s="183" t="s">
        <v>2214</v>
      </c>
      <c r="B54" s="3182" t="s">
        <v>2215</v>
      </c>
      <c r="C54" s="3183"/>
      <c r="D54" s="182">
        <f ca="1">C68</f>
        <v>14</v>
      </c>
      <c r="E54" s="30" t="s">
        <v>2216</v>
      </c>
      <c r="F54" s="184">
        <f>'数据-取费表'!B41</f>
        <v>5.6000000000000001E-2</v>
      </c>
      <c r="G54" s="2483"/>
      <c r="H54" s="2484"/>
      <c r="I54" s="2481"/>
      <c r="J54" s="1811">
        <v>3</v>
      </c>
      <c r="K54" s="3224" t="s">
        <v>2217</v>
      </c>
      <c r="L54" s="3224"/>
      <c r="M54" s="1753">
        <f t="shared" ca="1" si="0"/>
        <v>152</v>
      </c>
      <c r="N54" s="1811" t="str">
        <f t="shared" si="0"/>
        <v>增值额×税（费）率</v>
      </c>
      <c r="O54" s="1755" t="str">
        <f t="shared" si="0"/>
        <v>——</v>
      </c>
    </row>
    <row r="55" spans="1:35" ht="24" customHeight="1">
      <c r="A55" s="3173" t="s">
        <v>2218</v>
      </c>
      <c r="B55" s="3174"/>
      <c r="C55" s="3174"/>
      <c r="D55" s="185">
        <f ca="1">IF(H55="个人住宅",0,ROUND(D45*I55,0))</f>
        <v>0</v>
      </c>
      <c r="E55" s="11" t="s">
        <v>2219</v>
      </c>
      <c r="F55" s="184">
        <f>IF(H55="正常",I55,"免征")</f>
        <v>5.0000000000000001E-4</v>
      </c>
      <c r="G55" s="2483"/>
      <c r="H55" s="2480" t="s">
        <v>2220</v>
      </c>
      <c r="I55" s="186">
        <f>'数据-取费表'!B49</f>
        <v>5.0000000000000001E-4</v>
      </c>
      <c r="J55" s="1811" t="str">
        <f>IF(H59="非个人房产","",4)</f>
        <v/>
      </c>
      <c r="K55" s="3224" t="str">
        <f>IF(H59="非个人房产","——","个人所得税")</f>
        <v>——</v>
      </c>
      <c r="L55" s="3224"/>
      <c r="M55" s="1756" t="str">
        <f>D59</f>
        <v>——</v>
      </c>
      <c r="N55" s="1809" t="str">
        <f>E59</f>
        <v>——</v>
      </c>
      <c r="O55" s="1757" t="str">
        <f>F59</f>
        <v>——</v>
      </c>
    </row>
    <row r="56" spans="1:35" ht="24.75">
      <c r="A56" s="3173" t="s">
        <v>2221</v>
      </c>
      <c r="B56" s="3174"/>
      <c r="C56" s="3174"/>
      <c r="D56" s="185">
        <f ca="1">IF(H56="个人住宅",D57,D58)</f>
        <v>152</v>
      </c>
      <c r="E56" s="11" t="s">
        <v>2222</v>
      </c>
      <c r="F56" s="184" t="str">
        <f>IF(H56="正常",F58,"免征")</f>
        <v>——</v>
      </c>
      <c r="G56" s="2485" t="s">
        <v>2223</v>
      </c>
      <c r="H56" s="2486" t="s">
        <v>2220</v>
      </c>
      <c r="I56" s="2487"/>
      <c r="J56" s="1811" t="str">
        <f>IF(项目基本情况!K6="上海银行",IF(J55="",4,J55+1),"")</f>
        <v/>
      </c>
      <c r="K56" s="3247" t="str">
        <f>IF(项目基本情况!K6="上海银行","其他处置费用","")</f>
        <v/>
      </c>
      <c r="L56" s="3248"/>
      <c r="M56" s="1753" t="str">
        <f>IF(项目基本情况!K6="上海银行",M69,"")</f>
        <v/>
      </c>
      <c r="N56" s="3250" t="str">
        <f>IF(项目基本情况!K6="上海银行","包含处置中涉及的律师、诉讼、拍卖、评估等费用","")</f>
        <v/>
      </c>
      <c r="O56" s="3251"/>
    </row>
    <row r="57" spans="1:35" ht="12.75">
      <c r="A57" s="183" t="s">
        <v>2196</v>
      </c>
      <c r="B57" s="3189" t="s">
        <v>2224</v>
      </c>
      <c r="C57" s="3198"/>
      <c r="D57" s="187">
        <v>0</v>
      </c>
      <c r="E57" s="23" t="s">
        <v>2198</v>
      </c>
      <c r="F57" s="155"/>
      <c r="G57" s="2483"/>
      <c r="H57" s="2487"/>
      <c r="I57" s="2487"/>
      <c r="J57" s="3224">
        <f>IF(AND(J55="",J56=""),4,IF(项目基本情况!K6="上海银行",结果表!J56+1,结果表!J55+1))</f>
        <v>4</v>
      </c>
      <c r="K57" s="3224" t="s">
        <v>2225</v>
      </c>
      <c r="L57" s="2488" t="s">
        <v>2226</v>
      </c>
      <c r="M57" s="1758"/>
      <c r="N57" s="1759">
        <f ca="1">SUMIF(M52:M56,"&lt;9e307")</f>
        <v>152</v>
      </c>
      <c r="O57" s="2489"/>
      <c r="P57" s="1752">
        <f ca="1">N57/M49</f>
        <v>0.56505576208178443</v>
      </c>
    </row>
    <row r="58" spans="1:35" ht="24.75">
      <c r="A58" s="183" t="s">
        <v>2207</v>
      </c>
      <c r="B58" s="3189" t="s">
        <v>2227</v>
      </c>
      <c r="C58" s="3190"/>
      <c r="D58" s="185">
        <f ca="1">IF(H58="转让取得",C81,C97)</f>
        <v>152</v>
      </c>
      <c r="E58" s="11" t="s">
        <v>2222</v>
      </c>
      <c r="F58" s="24" t="s">
        <v>34</v>
      </c>
      <c r="G58" s="2483"/>
      <c r="H58" s="2486" t="s">
        <v>2228</v>
      </c>
      <c r="I58" s="2487"/>
      <c r="J58" s="3224"/>
      <c r="K58" s="3224"/>
      <c r="L58" s="2488" t="s">
        <v>2229</v>
      </c>
      <c r="M58" s="1760"/>
      <c r="N58" s="2490" t="str">
        <f ca="1">NUMBERSTRING(INT(N57*10000),2)&amp;"元整"</f>
        <v>壹佰伍拾贰万元整</v>
      </c>
      <c r="O58" s="2491"/>
    </row>
    <row r="59" spans="1:35" ht="24.75" thickBot="1">
      <c r="A59" s="3227" t="s">
        <v>2230</v>
      </c>
      <c r="B59" s="3228"/>
      <c r="C59" s="3228"/>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225">
        <f>J57+1</f>
        <v>5</v>
      </c>
      <c r="K59" s="3224" t="s">
        <v>2232</v>
      </c>
      <c r="L59" s="1811" t="s">
        <v>2226</v>
      </c>
      <c r="M59" s="1761"/>
      <c r="N59" s="1762">
        <f ca="1">M49-N57</f>
        <v>117</v>
      </c>
      <c r="O59" s="2493"/>
    </row>
    <row r="60" spans="1:35" ht="12" customHeight="1">
      <c r="A60" s="2494"/>
      <c r="B60" s="2416"/>
      <c r="C60" s="2416"/>
      <c r="D60" s="2416"/>
      <c r="E60" s="2163"/>
      <c r="F60" s="2487"/>
      <c r="G60" s="2487"/>
      <c r="H60" s="2495"/>
      <c r="I60" s="138"/>
      <c r="J60" s="3226"/>
      <c r="K60" s="3224"/>
      <c r="L60" s="2488" t="s">
        <v>2229</v>
      </c>
      <c r="M60" s="1760"/>
      <c r="N60" s="2490" t="str">
        <f ca="1">NUMBERSTRING(INT(N59*10000),2)&amp;"元整"</f>
        <v>壹佰壹拾柒万元整</v>
      </c>
      <c r="O60" s="2491"/>
    </row>
    <row r="61" spans="1:35" ht="13.5" thickBot="1">
      <c r="A61" s="3171" t="s">
        <v>2233</v>
      </c>
      <c r="B61" s="3171"/>
      <c r="C61" s="3171"/>
      <c r="D61" s="3171"/>
      <c r="E61" s="3171"/>
      <c r="F61" s="2487"/>
      <c r="G61" s="2487"/>
      <c r="H61" s="2495"/>
      <c r="I61" s="138"/>
      <c r="J61" s="1811">
        <f>J59+1</f>
        <v>6</v>
      </c>
      <c r="K61" s="3224" t="s">
        <v>2234</v>
      </c>
      <c r="L61" s="3224"/>
      <c r="M61" s="1763"/>
      <c r="N61" s="1764">
        <f ca="1">ROUND(N59*10000/'数据-汇总表'!E3,0)</f>
        <v>30</v>
      </c>
      <c r="O61" s="2496"/>
    </row>
    <row r="62" spans="1:35" ht="12.75">
      <c r="A62" s="3187" t="s">
        <v>2235</v>
      </c>
      <c r="B62" s="3188"/>
      <c r="C62" s="1803"/>
      <c r="D62" s="1803" t="s">
        <v>2236</v>
      </c>
      <c r="E62" s="192" t="s">
        <v>2237</v>
      </c>
      <c r="F62" s="2487"/>
      <c r="G62" s="2487"/>
      <c r="H62" s="2495"/>
      <c r="I62" s="138"/>
    </row>
    <row r="63" spans="1:35" ht="12.75">
      <c r="A63" s="203" t="s">
        <v>775</v>
      </c>
      <c r="B63" s="193" t="s">
        <v>2238</v>
      </c>
      <c r="C63" s="194">
        <f ca="1">ROUND((C64+C65)/(1+'数据-取费表'!C42),0)</f>
        <v>256</v>
      </c>
      <c r="D63" s="195"/>
      <c r="E63" s="196"/>
      <c r="F63" s="2487"/>
      <c r="G63" s="2487"/>
      <c r="H63" s="2495"/>
      <c r="I63" s="138"/>
      <c r="J63" s="3249" t="s">
        <v>2239</v>
      </c>
      <c r="K63" s="2497" t="s">
        <v>2240</v>
      </c>
      <c r="L63" s="1751">
        <f ca="1">IF(M49&gt;10000,M49*0.5%,IF(AND(M49&gt;1000,M49&lt;=10000),M49*1%,IF(AND(M49&gt;100,M49&lt;=1000),M49*3%,IF(AND(M49&gt;10,M49&lt;=100),M49*5%,M49*8%))))</f>
        <v>8.07</v>
      </c>
      <c r="M63" s="24">
        <f ca="1">ROUND(L63,1)</f>
        <v>8.1</v>
      </c>
      <c r="Z63" s="2421"/>
      <c r="AI63" s="2422"/>
    </row>
    <row r="64" spans="1:35" ht="14.25" customHeight="1">
      <c r="A64" s="197" t="s">
        <v>770</v>
      </c>
      <c r="B64" s="198" t="s">
        <v>2241</v>
      </c>
      <c r="C64" s="199">
        <f ca="1">D45</f>
        <v>269</v>
      </c>
      <c r="D64" s="200" t="s">
        <v>32</v>
      </c>
      <c r="E64" s="201"/>
      <c r="F64" s="2487"/>
      <c r="G64" s="2487"/>
      <c r="H64" s="2495"/>
      <c r="I64" s="138"/>
      <c r="J64" s="3249"/>
      <c r="K64" s="2497" t="s">
        <v>2242</v>
      </c>
      <c r="L64" s="1751">
        <f ca="1">IF(M49&gt;2000,M49*0.5%,IF(AND(M49&gt;1000,M49&lt;=2000),M49*0.6%,IF(AND(M49&gt;500,M49&lt;=1000),M49*0.7%,IF(AND(M49&gt;200,M49&lt;=500),M49*0.8%,IF(AND(M49&gt;100,M49&lt;=200),M49*0.9%,IF(AND(M49&gt;50,M49&lt;=100),M49*1%,IF(AND(M49&gt;20,M49&lt;=50),M49*1.5%,IF(AND(M49&gt;10,M49&lt;=20),M49*2%,IF(AND(M49&gt;1,M49&lt;=10),M49*2.5%)))))))))</f>
        <v>2.1520000000000001</v>
      </c>
      <c r="M64" s="24">
        <f t="shared" ref="M64:M65" ca="1" si="1">ROUND(L64,1)</f>
        <v>2.2000000000000002</v>
      </c>
      <c r="N64" s="138" t="s">
        <v>2243</v>
      </c>
      <c r="Z64" s="2421"/>
      <c r="AI64" s="2422"/>
    </row>
    <row r="65" spans="1:35" ht="14.25" customHeight="1">
      <c r="A65" s="197" t="s">
        <v>771</v>
      </c>
      <c r="B65" s="198" t="s">
        <v>2244</v>
      </c>
      <c r="C65" s="202"/>
      <c r="D65" s="200"/>
      <c r="E65" s="201"/>
      <c r="F65" s="2487"/>
      <c r="G65" s="2487"/>
      <c r="H65" s="2495"/>
      <c r="I65" s="138"/>
      <c r="J65" s="3249"/>
      <c r="K65" s="2497" t="s">
        <v>2245</v>
      </c>
      <c r="L65" s="1751">
        <f ca="1">IF(M49&gt;1000,M49*0.1%,IF(AND(M49&gt;500,M49&lt;=1000),M49*0.5%,IF(AND(M49&gt;50,M49&lt;=500),M49*1%,IF(AND(M49&gt;1,M49&lt;=50),M49*1.5%))))</f>
        <v>2.69</v>
      </c>
      <c r="M65" s="24">
        <f t="shared" ca="1" si="1"/>
        <v>2.7</v>
      </c>
      <c r="N65" s="138" t="s">
        <v>2243</v>
      </c>
      <c r="Z65" s="2421"/>
      <c r="AI65" s="2422"/>
    </row>
    <row r="66" spans="1:35" ht="14.25" customHeight="1">
      <c r="A66" s="203" t="s">
        <v>772</v>
      </c>
      <c r="B66" s="204" t="s">
        <v>2246</v>
      </c>
      <c r="C66" s="205"/>
      <c r="D66" s="206" t="s">
        <v>32</v>
      </c>
      <c r="E66" s="1775" t="s">
        <v>1371</v>
      </c>
      <c r="F66" s="2487"/>
      <c r="G66" s="2487"/>
      <c r="H66" s="2495"/>
      <c r="I66" s="138"/>
      <c r="J66" s="3249"/>
      <c r="K66" s="2497" t="s">
        <v>2247</v>
      </c>
      <c r="L66" s="1751">
        <f ca="1">M49*0.5%</f>
        <v>1.345</v>
      </c>
      <c r="M66" s="24">
        <f ca="1">IF(L66&gt;0.5,0.5,ROUND(L66,0))</f>
        <v>0.5</v>
      </c>
      <c r="N66" s="138" t="s">
        <v>2248</v>
      </c>
      <c r="Z66" s="2421"/>
      <c r="AI66" s="2422"/>
    </row>
    <row r="67" spans="1:35" ht="14.25" customHeight="1">
      <c r="A67" s="203" t="s">
        <v>773</v>
      </c>
      <c r="B67" s="204" t="s">
        <v>2249</v>
      </c>
      <c r="C67" s="207">
        <f ca="1">C63-C66</f>
        <v>256</v>
      </c>
      <c r="D67" s="200" t="s">
        <v>32</v>
      </c>
      <c r="E67" s="201"/>
      <c r="F67" s="2487"/>
      <c r="G67" s="2487"/>
      <c r="H67" s="2495"/>
      <c r="I67" s="138"/>
      <c r="J67" s="3249"/>
      <c r="K67" s="2497" t="s">
        <v>2250</v>
      </c>
      <c r="L67" s="1751">
        <f ca="1">IF(M49&gt;=10000,(8.25+(M49-10000)*0.01%),IF(AND(M49&gt;=8000,M49&lt;10000),(7.85+(M49-8000)*0.02%),IF(AND(M49&gt;=5000,M49&lt;8000),(6.65+(M49-5000)*0.04%),IF(AND(M49&gt;=2000,M49&lt;5000),(4.25+(PM49-2000)*0.08%),IF(AND(M49&gt;=1000,M49&lt;2000),(2.75+(M49-1000)*0.15%),IF(AND(M49&gt;=100,M49&lt;1000),(0.5+(M49-100)*0.25%),IF(AND(M49&gt;0,M49&lt;100),M49*0.5%)))))))</f>
        <v>0.92249999999999999</v>
      </c>
      <c r="M67" s="24">
        <f ca="1">ROUND(L67*0.9,1)</f>
        <v>0.8</v>
      </c>
      <c r="Z67" s="2421"/>
      <c r="AI67" s="2422"/>
    </row>
    <row r="68" spans="1:35" ht="14.25" customHeight="1" thickBot="1">
      <c r="A68" s="208" t="s">
        <v>774</v>
      </c>
      <c r="B68" s="209" t="s">
        <v>2251</v>
      </c>
      <c r="C68" s="210">
        <f ca="1">IF(C67&lt;=0,0,ROUND(C67*D68,0))</f>
        <v>14</v>
      </c>
      <c r="D68" s="211">
        <f>'数据-取费表'!B41</f>
        <v>5.6000000000000001E-2</v>
      </c>
      <c r="E68" s="212"/>
      <c r="F68" s="2487"/>
      <c r="G68" s="2487"/>
      <c r="H68" s="2495"/>
      <c r="I68" s="138"/>
      <c r="J68" s="3249"/>
      <c r="K68" s="2497" t="s">
        <v>2252</v>
      </c>
      <c r="L68" s="1751">
        <f ca="1">IF(M49&gt;10000,M49*0.5%,IF(AND(M49&gt;5000,M49&lt;=10000),M49*1%,IF(AND(M49&gt;1000,M49&lt;=5000),M49*2%,IF(AND(M49&gt;200,M49&lt;=1000),M49*3%,M49*5%))))</f>
        <v>8.07</v>
      </c>
      <c r="M68" s="24">
        <f ca="1">ROUND(L68,1)</f>
        <v>8.1</v>
      </c>
      <c r="Z68" s="2421"/>
      <c r="AI68" s="2422"/>
    </row>
    <row r="69" spans="1:35" s="2444" customFormat="1" ht="16.5" customHeight="1">
      <c r="A69" s="2498"/>
      <c r="B69" s="2499"/>
      <c r="C69" s="2500"/>
      <c r="D69" s="2501"/>
      <c r="E69" s="2502"/>
      <c r="F69" s="2163"/>
      <c r="G69" s="2163"/>
      <c r="H69" s="2162"/>
      <c r="I69" s="2416"/>
      <c r="J69" s="3249"/>
      <c r="K69" s="2497" t="s">
        <v>2253</v>
      </c>
      <c r="L69" s="2503"/>
      <c r="M69" s="24">
        <f ca="1">ROUND(SUM(M63:M68),0)</f>
        <v>22</v>
      </c>
      <c r="N69" s="1752">
        <f ca="1">M69/M49</f>
        <v>8.1784386617100371E-2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208" t="s">
        <v>2254</v>
      </c>
      <c r="B70" s="3209"/>
      <c r="C70" s="3209"/>
      <c r="D70" s="3209"/>
      <c r="E70" s="3209"/>
      <c r="F70" s="3209"/>
      <c r="G70" s="3209"/>
      <c r="H70" s="320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87" t="s">
        <v>2235</v>
      </c>
      <c r="B71" s="3188"/>
      <c r="C71" s="1803"/>
      <c r="D71" s="1803"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256</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2</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82" t="s">
        <v>2263</v>
      </c>
      <c r="F76" s="3159"/>
      <c r="G76" s="3159"/>
      <c r="H76" s="320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7" t="str">
        <f>IF(G77="个人买卖住房","免征印花税"," ")</f>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2</v>
      </c>
      <c r="D78" s="226">
        <f>'数据-取费表'!B43</f>
        <v>6.000000000000001E-3</v>
      </c>
      <c r="E78" s="3168" t="s">
        <v>2268</v>
      </c>
      <c r="F78" s="3169"/>
      <c r="G78" s="3169"/>
      <c r="H78" s="317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254</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152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208" t="s">
        <v>2272</v>
      </c>
      <c r="B83" s="3209"/>
      <c r="C83" s="3209"/>
      <c r="D83" s="3209"/>
      <c r="E83" s="3209"/>
      <c r="F83" s="3209"/>
      <c r="G83" s="3209"/>
      <c r="H83" s="320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87" t="s">
        <v>2235</v>
      </c>
      <c r="B84" s="3188"/>
      <c r="C84" s="1803"/>
      <c r="D84" s="1803"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256</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2</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9"/>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68" t="s">
        <v>2281</v>
      </c>
      <c r="F91" s="3169"/>
      <c r="G91" s="3169"/>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68" t="s">
        <v>2285</v>
      </c>
      <c r="F92" s="3169"/>
      <c r="G92" s="3169"/>
      <c r="H92" s="317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2</v>
      </c>
      <c r="D93" s="226">
        <f>'数据-取费表'!B43</f>
        <v>6.000000000000001E-3</v>
      </c>
      <c r="E93" s="3168" t="s">
        <v>2268</v>
      </c>
      <c r="F93" s="3169"/>
      <c r="G93" s="3169"/>
      <c r="H93" s="317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79" t="s">
        <v>2289</v>
      </c>
      <c r="F94" s="3180"/>
      <c r="G94" s="3180"/>
      <c r="H94" s="3181"/>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254</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152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2290</v>
      </c>
      <c r="B99" s="2416"/>
      <c r="C99" s="2416"/>
      <c r="D99" s="2416"/>
      <c r="E99" s="2163"/>
      <c r="F99" s="2163"/>
      <c r="G99" s="2163"/>
      <c r="H99" s="2162"/>
      <c r="I99" s="138"/>
    </row>
    <row r="100" spans="1:35" ht="18.75" customHeight="1">
      <c r="A100" s="3153" t="s">
        <v>2291</v>
      </c>
      <c r="B100" s="3154"/>
      <c r="C100" s="3154"/>
      <c r="D100" s="3170"/>
      <c r="E100" s="3154" t="s">
        <v>2292</v>
      </c>
      <c r="F100" s="3154"/>
      <c r="G100" s="3154"/>
      <c r="H100" s="3170"/>
      <c r="I100" s="138"/>
    </row>
    <row r="101" spans="1:35" ht="18.75" customHeight="1">
      <c r="A101" s="3232" t="s">
        <v>2293</v>
      </c>
      <c r="B101" s="3233"/>
      <c r="C101" s="735" t="str">
        <f>C4</f>
        <v>收益法</v>
      </c>
      <c r="D101" s="736" t="str">
        <f>D4</f>
        <v>比较法-商业</v>
      </c>
      <c r="E101" s="3246" t="s">
        <v>2294</v>
      </c>
      <c r="F101" s="3200"/>
      <c r="G101" s="2518" t="s">
        <v>2295</v>
      </c>
      <c r="H101" s="1047">
        <f ca="1">H118</f>
        <v>269</v>
      </c>
      <c r="I101" s="138"/>
    </row>
    <row r="102" spans="1:35" ht="18.75" customHeight="1">
      <c r="A102" s="3202" t="s">
        <v>2296</v>
      </c>
      <c r="B102" s="2518" t="s">
        <v>2295</v>
      </c>
      <c r="C102" s="735">
        <f ca="1">C19</f>
        <v>242</v>
      </c>
      <c r="D102" s="736">
        <f ca="1">D19</f>
        <v>296</v>
      </c>
      <c r="E102" s="3246"/>
      <c r="F102" s="3200"/>
      <c r="G102" s="2518" t="s">
        <v>2297</v>
      </c>
      <c r="H102" s="371">
        <f ca="1">I118</f>
        <v>27374</v>
      </c>
      <c r="I102" s="138"/>
    </row>
    <row r="103" spans="1:35" ht="42.75" customHeight="1">
      <c r="A103" s="3202"/>
      <c r="B103" s="2518" t="s">
        <v>2297</v>
      </c>
      <c r="C103" s="737">
        <f ca="1">C20</f>
        <v>24626</v>
      </c>
      <c r="D103" s="738">
        <f ca="1">D20</f>
        <v>30121</v>
      </c>
      <c r="E103" s="3241" t="s">
        <v>2298</v>
      </c>
      <c r="F103" s="3242"/>
      <c r="G103" s="2519" t="s">
        <v>2299</v>
      </c>
      <c r="H103" s="1047">
        <f>IF(D36="正常操作",H104+H105+H106,H105+H106)</f>
        <v>0</v>
      </c>
      <c r="I103" s="138"/>
    </row>
    <row r="104" spans="1:35" ht="18.75" customHeight="1">
      <c r="A104" s="3202" t="s">
        <v>2300</v>
      </c>
      <c r="B104" s="2520" t="s">
        <v>2295</v>
      </c>
      <c r="C104" s="739">
        <f ca="1">H118</f>
        <v>269</v>
      </c>
      <c r="D104" s="740"/>
      <c r="E104" s="2264" t="s">
        <v>2301</v>
      </c>
      <c r="F104" s="2255"/>
      <c r="G104" s="2519" t="s">
        <v>2299</v>
      </c>
      <c r="H104" s="1048">
        <f>IF(D36="同一抵押权人同一抵押物续贷",C36&amp;"（未扣减，详见特别提示）",C36)</f>
        <v>0</v>
      </c>
      <c r="I104" s="138"/>
    </row>
    <row r="105" spans="1:35" ht="18.75" customHeight="1" thickBot="1">
      <c r="A105" s="3203"/>
      <c r="B105" s="2521" t="s">
        <v>2297</v>
      </c>
      <c r="C105" s="741">
        <f ca="1">I118</f>
        <v>27374</v>
      </c>
      <c r="D105" s="742"/>
      <c r="E105" s="2264" t="s">
        <v>2302</v>
      </c>
      <c r="F105" s="2255"/>
      <c r="G105" s="2519" t="s">
        <v>2299</v>
      </c>
      <c r="H105" s="1048">
        <f>C37</f>
        <v>0</v>
      </c>
      <c r="I105" s="138"/>
    </row>
    <row r="106" spans="1:35" ht="18.75" customHeight="1">
      <c r="A106" s="2416" t="s">
        <v>2303</v>
      </c>
      <c r="B106" s="2416"/>
      <c r="C106" s="2416"/>
      <c r="D106" s="2416"/>
      <c r="E106" s="2522" t="s">
        <v>2304</v>
      </c>
      <c r="F106" s="2255"/>
      <c r="G106" s="2519" t="s">
        <v>2299</v>
      </c>
      <c r="H106" s="1048">
        <f>C38</f>
        <v>0</v>
      </c>
      <c r="I106" s="138"/>
    </row>
    <row r="107" spans="1:35" ht="18.75" customHeight="1">
      <c r="A107" s="138"/>
      <c r="B107" s="138"/>
      <c r="C107" s="138"/>
      <c r="D107" s="138"/>
      <c r="E107" s="3199" t="str">
        <f>IF(项目基本情况!E8="已注销","——","3.房地产抵押价值")</f>
        <v>3.房地产抵押价值</v>
      </c>
      <c r="F107" s="3200"/>
      <c r="G107" s="2518" t="s">
        <v>2295</v>
      </c>
      <c r="H107" s="1047">
        <f ca="1">IF(E107="——","——",H101-H103)</f>
        <v>269</v>
      </c>
      <c r="I107" s="138"/>
    </row>
    <row r="108" spans="1:35" ht="18.75" customHeight="1">
      <c r="A108" s="138"/>
      <c r="B108" s="138"/>
      <c r="C108" s="138"/>
      <c r="D108" s="138"/>
      <c r="E108" s="3199"/>
      <c r="F108" s="3200"/>
      <c r="G108" s="2518" t="s">
        <v>2297</v>
      </c>
      <c r="H108" s="371">
        <f ca="1">ROUND(H107*10000/'数据-汇总表'!E3,0)</f>
        <v>69</v>
      </c>
      <c r="I108" s="138"/>
    </row>
    <row r="109" spans="1:35" ht="18.75" customHeight="1">
      <c r="A109" s="138"/>
      <c r="B109" s="138"/>
      <c r="C109" s="138"/>
      <c r="D109" s="138"/>
      <c r="E109" s="3199" t="str">
        <f>IF(项目基本情况!E8="已注销及未注销","4.抵押担保权已注销时的房地产抵押价值",IF(项目基本情况!E8="已注销","3.抵押担保权已注销时的房地产抵押价值","——"))</f>
        <v>——</v>
      </c>
      <c r="F109" s="3200"/>
      <c r="G109" s="2518" t="s">
        <v>2295</v>
      </c>
      <c r="H109" s="348" t="str">
        <f>IF(E109="——","——",H101-H105-H106)</f>
        <v>——</v>
      </c>
      <c r="I109" s="138"/>
    </row>
    <row r="110" spans="1:35" ht="18.75" customHeight="1">
      <c r="A110" s="138"/>
      <c r="B110" s="138"/>
      <c r="C110" s="138"/>
      <c r="D110" s="138"/>
      <c r="E110" s="3199"/>
      <c r="F110" s="3200"/>
      <c r="G110" s="2518" t="s">
        <v>2297</v>
      </c>
      <c r="H110" s="371" t="str">
        <f>IF(H109="——","——",ROUND(H109*10000/'数据-汇总表'!E3,0))</f>
        <v>——</v>
      </c>
      <c r="I110" s="138"/>
    </row>
    <row r="111" spans="1:35" ht="18.75" customHeight="1">
      <c r="A111" s="138"/>
      <c r="B111" s="138"/>
      <c r="C111" s="138"/>
      <c r="D111" s="138"/>
      <c r="E111" s="3234" t="str">
        <f>IF(项目基本情况!E9="抵押净值",IF(OR(项目基本情况!E8="已注销",项目基本情况!E8="房地产抵押价值"),"4.抵押净值","5.抵押净值"),"——")</f>
        <v>——</v>
      </c>
      <c r="F111" s="3235"/>
      <c r="G111" s="2518" t="s">
        <v>2295</v>
      </c>
      <c r="H111" s="1047" t="str">
        <f>IF(E111="——","——",N59)</f>
        <v>——</v>
      </c>
      <c r="I111" s="138"/>
    </row>
    <row r="112" spans="1:35" ht="18.75" customHeight="1" thickBot="1">
      <c r="A112" s="138"/>
      <c r="B112" s="138"/>
      <c r="C112" s="138"/>
      <c r="D112" s="138"/>
      <c r="E112" s="3236"/>
      <c r="F112" s="3237"/>
      <c r="G112" s="2523" t="s">
        <v>2297</v>
      </c>
      <c r="H112" s="789" t="str">
        <f>IF(E111="——","——",N61)</f>
        <v>——</v>
      </c>
      <c r="I112" s="138"/>
    </row>
    <row r="113" spans="1:11" ht="18.75" customHeight="1">
      <c r="A113" s="138"/>
      <c r="B113" s="138"/>
      <c r="C113" s="138"/>
      <c r="D113" s="138"/>
      <c r="E113" s="3204" t="s">
        <v>2303</v>
      </c>
      <c r="F113" s="3204"/>
      <c r="G113" s="3204"/>
      <c r="H113" s="3204"/>
      <c r="I113" s="138"/>
    </row>
    <row r="114" spans="1:11" ht="3.75" customHeight="1">
      <c r="A114" s="2416"/>
      <c r="B114" s="2416"/>
      <c r="C114" s="2416"/>
      <c r="D114" s="2416"/>
      <c r="E114" s="2494"/>
      <c r="F114" s="2494"/>
      <c r="G114" s="2494"/>
      <c r="H114" s="2494"/>
      <c r="I114" s="2416"/>
    </row>
    <row r="115" spans="1:11" ht="18.75" customHeight="1">
      <c r="A115" s="3217" t="s">
        <v>2305</v>
      </c>
      <c r="B115" s="3218"/>
      <c r="C115" s="3218"/>
      <c r="D115" s="3218"/>
      <c r="E115" s="3218"/>
      <c r="F115" s="3218"/>
      <c r="G115" s="3218"/>
      <c r="H115" s="3218"/>
      <c r="I115" s="3219"/>
    </row>
    <row r="116" spans="1:11" ht="27" customHeight="1">
      <c r="A116" s="3110" t="s">
        <v>2306</v>
      </c>
      <c r="B116" s="3205" t="s">
        <v>2307</v>
      </c>
      <c r="C116" s="3205" t="s">
        <v>2308</v>
      </c>
      <c r="D116" s="3221" t="s">
        <v>2309</v>
      </c>
      <c r="E116" s="3222"/>
      <c r="F116" s="3213" t="s">
        <v>2310</v>
      </c>
      <c r="G116" s="3213"/>
      <c r="H116" s="3110" t="s">
        <v>2311</v>
      </c>
      <c r="I116" s="3110"/>
    </row>
    <row r="117" spans="1:11" ht="18.75" customHeight="1">
      <c r="A117" s="3110"/>
      <c r="B117" s="3206"/>
      <c r="C117" s="3206"/>
      <c r="D117" s="1797" t="s">
        <v>2312</v>
      </c>
      <c r="E117" s="1797" t="s">
        <v>2313</v>
      </c>
      <c r="F117" s="1797" t="s">
        <v>2312</v>
      </c>
      <c r="G117" s="1797" t="s">
        <v>2314</v>
      </c>
      <c r="H117" s="1797" t="s">
        <v>2312</v>
      </c>
      <c r="I117" s="1797" t="s">
        <v>2314</v>
      </c>
    </row>
    <row r="118" spans="1:11" ht="24.75" customHeight="1">
      <c r="A118" s="2524" t="str">
        <f>项目基本情况!S2</f>
        <v>湖北省武汉市房地产</v>
      </c>
      <c r="B118" s="1797">
        <f>M18</f>
        <v>98.27</v>
      </c>
      <c r="C118" s="1797">
        <f>M19</f>
        <v>39.31</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269</v>
      </c>
      <c r="I118" s="1797">
        <f ca="1">ROUND(IF(D32="楼面单价",C32,H118*10000/B118),0)</f>
        <v>27374</v>
      </c>
    </row>
    <row r="119" spans="1:11" ht="18.75" customHeight="1">
      <c r="A119" s="3110" t="s">
        <v>2315</v>
      </c>
      <c r="B119" s="3110"/>
      <c r="C119" s="3110"/>
      <c r="D119" s="3210" t="e">
        <f ca="1">NUMBERSTRING(INT(D118*10000),2)&amp;"元整"</f>
        <v>#REF!</v>
      </c>
      <c r="E119" s="3212"/>
      <c r="F119" s="3210" t="e">
        <f ca="1">NUMBERSTRING(INT(F118*10000),2)&amp;"元整"</f>
        <v>#REF!</v>
      </c>
      <c r="G119" s="3212"/>
      <c r="H119" s="3210" t="str">
        <f ca="1">NUMBERSTRING(INT(H118*10000),2)&amp;"元整"</f>
        <v>贰佰陆拾玖万元整</v>
      </c>
      <c r="I119" s="3212"/>
    </row>
    <row r="120" spans="1:11" ht="18.75" customHeight="1">
      <c r="A120" s="3238" t="str">
        <f>IF(项目基本情况!B9="房地产市场价值","",MID(E103,3,LEN(E103)-2))</f>
        <v>估价师知悉的法定优先受偿款</v>
      </c>
      <c r="B120" s="3239"/>
      <c r="C120" s="3240"/>
      <c r="D120" s="3238">
        <f>H103</f>
        <v>0</v>
      </c>
      <c r="E120" s="3239"/>
      <c r="F120" s="3239"/>
      <c r="G120" s="3239"/>
      <c r="H120" s="3239"/>
      <c r="I120" s="3240"/>
      <c r="K120" s="2421" t="str">
        <f>IF(D120=0,"故，本次评估不存在"&amp;A120,"故，本次评估"&amp;A120&amp;"为人民币"&amp;D120&amp;"万元整。")</f>
        <v>故，本次评估不存在估价师知悉的法定优先受偿款</v>
      </c>
    </row>
    <row r="121" spans="1:11" ht="18.75" customHeight="1">
      <c r="A121" s="3214" t="s">
        <v>2315</v>
      </c>
      <c r="B121" s="3215"/>
      <c r="C121" s="3216"/>
      <c r="D121" s="3210" t="str">
        <f>IF(D120=0,"零元整",NUMBERSTRING(INT(D120*10000),2)&amp;"元整")</f>
        <v>零元整</v>
      </c>
      <c r="E121" s="3211"/>
      <c r="F121" s="3211"/>
      <c r="G121" s="3211"/>
      <c r="H121" s="3211"/>
      <c r="I121" s="3212"/>
    </row>
    <row r="122" spans="1:11" ht="18.75" customHeight="1">
      <c r="A122" s="3201" t="str">
        <f>IF(项目基本情况!B9="房地产市场价值","",MID(E107,3,LEN(E107)-2))</f>
        <v>房地产抵押价值</v>
      </c>
      <c r="B122" s="3201"/>
      <c r="C122" s="3201"/>
      <c r="D122" s="3238">
        <f ca="1">H107</f>
        <v>269</v>
      </c>
      <c r="E122" s="3239"/>
      <c r="F122" s="3239"/>
      <c r="G122" s="3239"/>
      <c r="H122" s="3239"/>
      <c r="I122" s="3240"/>
    </row>
    <row r="123" spans="1:11" ht="18.75" customHeight="1">
      <c r="A123" s="3110" t="s">
        <v>2315</v>
      </c>
      <c r="B123" s="3110"/>
      <c r="C123" s="3110"/>
      <c r="D123" s="3210" t="str">
        <f ca="1">NUMBERSTRING(INT(D122*10000),2)&amp;"元整"</f>
        <v>贰佰陆拾玖万元整</v>
      </c>
      <c r="E123" s="3211"/>
      <c r="F123" s="3211"/>
      <c r="G123" s="3211"/>
      <c r="H123" s="3211"/>
      <c r="I123" s="3212"/>
    </row>
    <row r="124" spans="1:11" ht="18.75" customHeight="1">
      <c r="A124" s="3201" t="str">
        <f>IF(项目基本情况!B9="房地产市场价值","",MID(E109,3,LEN(E109)-2))</f>
        <v/>
      </c>
      <c r="B124" s="3201"/>
      <c r="C124" s="3201"/>
      <c r="D124" s="3238" t="str">
        <f>H109</f>
        <v>——</v>
      </c>
      <c r="E124" s="3239"/>
      <c r="F124" s="3239"/>
      <c r="G124" s="3239"/>
      <c r="H124" s="3239"/>
      <c r="I124" s="3240"/>
    </row>
    <row r="125" spans="1:11" ht="18.75" customHeight="1">
      <c r="A125" s="3110" t="s">
        <v>2315</v>
      </c>
      <c r="B125" s="3110"/>
      <c r="C125" s="3110"/>
      <c r="D125" s="3210" t="e">
        <f>NUMBERSTRING(INT(D124*10000),2)&amp;"元整"</f>
        <v>#VALUE!</v>
      </c>
      <c r="E125" s="3211"/>
      <c r="F125" s="3211"/>
      <c r="G125" s="3211"/>
      <c r="H125" s="3211"/>
      <c r="I125" s="3212"/>
    </row>
    <row r="126" spans="1:11" ht="18.75" customHeight="1">
      <c r="A126" s="3201" t="str">
        <f>IF(项目基本情况!B9="房地产市场价值","",MID(E111,3,LEN(E111)-2))</f>
        <v/>
      </c>
      <c r="B126" s="3201"/>
      <c r="C126" s="3201"/>
      <c r="D126" s="3238" t="str">
        <f>H111</f>
        <v>——</v>
      </c>
      <c r="E126" s="3239"/>
      <c r="F126" s="3239"/>
      <c r="G126" s="3239"/>
      <c r="H126" s="3239"/>
      <c r="I126" s="3240"/>
    </row>
    <row r="127" spans="1:11" ht="18.75" customHeight="1">
      <c r="A127" s="3110" t="s">
        <v>2315</v>
      </c>
      <c r="B127" s="3110"/>
      <c r="C127" s="3110"/>
      <c r="D127" s="3210" t="e">
        <f>NUMBERSTRING(INT(D126*10000),2)&amp;"元整"</f>
        <v>#VALUE!</v>
      </c>
      <c r="E127" s="3211"/>
      <c r="F127" s="3211"/>
      <c r="G127" s="3211"/>
      <c r="H127" s="3211"/>
      <c r="I127" s="3212"/>
    </row>
    <row r="128" spans="1:11" ht="21.75" customHeight="1">
      <c r="A128" s="3220" t="s">
        <v>2316</v>
      </c>
      <c r="B128" s="3220"/>
      <c r="C128" s="3220"/>
      <c r="D128" s="3220"/>
      <c r="E128" s="3220"/>
      <c r="F128" s="3220"/>
      <c r="G128" s="3220"/>
      <c r="H128" s="3220"/>
      <c r="I128" s="3220"/>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8"/>
      <c r="G142" s="794"/>
      <c r="H142" s="794"/>
      <c r="I142" s="794"/>
    </row>
    <row r="143" spans="1:35" s="139"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8</v>
      </c>
    </row>
    <row r="2" spans="1:9" s="244" customFormat="1" ht="18" customHeight="1">
      <c r="A2" s="245" t="s">
        <v>2325</v>
      </c>
      <c r="B2" s="246">
        <f ca="1">IF(D2="——",C52,C52-E2)</f>
        <v>14637</v>
      </c>
      <c r="C2" s="243" t="s">
        <v>2326</v>
      </c>
      <c r="D2" s="2547" t="s">
        <v>70</v>
      </c>
      <c r="E2" s="1442"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3744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1" t="s">
        <v>2335</v>
      </c>
      <c r="B6" s="259" t="s">
        <v>2336</v>
      </c>
      <c r="C6" s="260"/>
      <c r="D6" s="261"/>
      <c r="E6" s="262"/>
      <c r="F6" s="262"/>
      <c r="G6" s="263"/>
    </row>
    <row r="7" spans="1:9" s="258" customFormat="1" ht="13.5" customHeight="1">
      <c r="A7" s="951" t="s">
        <v>2337</v>
      </c>
      <c r="B7" s="259" t="s">
        <v>2338</v>
      </c>
      <c r="C7" s="264">
        <f>ROUND(C6*F7,0)</f>
        <v>0</v>
      </c>
      <c r="D7" s="264"/>
      <c r="E7" s="262"/>
      <c r="F7" s="265">
        <f>'数据-取费表'!B48+'数据-取费表'!B49</f>
        <v>3.0499999999999999E-2</v>
      </c>
      <c r="G7" s="263"/>
    </row>
    <row r="8" spans="1:9" s="267" customFormat="1">
      <c r="A8" s="951" t="s">
        <v>2339</v>
      </c>
      <c r="B8" s="259" t="s">
        <v>2340</v>
      </c>
      <c r="C8" s="264">
        <f>IF(G8="已包含在土地购买价格中","0",IF(B1="",'数据-取费表'!B29,IF(G9="全部缴纳",C9+C10,H9)))</f>
        <v>0</v>
      </c>
      <c r="D8" s="266"/>
      <c r="E8" s="264"/>
      <c r="F8" s="265"/>
      <c r="G8" s="2550"/>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120</v>
      </c>
      <c r="F9" s="265"/>
      <c r="G9" s="2551"/>
      <c r="H9" s="1392"/>
      <c r="I9" s="2552" t="s">
        <v>2342</v>
      </c>
    </row>
    <row r="10" spans="1:9" s="258" customFormat="1" ht="13.5" customHeight="1">
      <c r="A10" s="952" t="s">
        <v>801</v>
      </c>
      <c r="B10" s="268" t="s">
        <v>2343</v>
      </c>
      <c r="C10" s="269">
        <f ca="1">ROUND(D10*E10/10000,0)</f>
        <v>469</v>
      </c>
      <c r="D10" s="1034">
        <f ca="1">IF(B1="",'数据-汇总表'!E6,IF(INDIRECT("'数据-取费表'!c"&amp;$G$1)="住宅",INDIRECT("'数据-取费表'!s"&amp;$G$1),INDIRECT("'数据-取费表'!k"&amp;$G$1)+INDIRECT("'数据-取费表'!s"&amp;$G$1)))</f>
        <v>39089.930000000037</v>
      </c>
      <c r="E10" s="269">
        <f>'数据-取费表'!B28</f>
        <v>120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f ca="1">IF(G19="已包含在土地取得成本中","0",ROUND(D19*E19/10000,0))</f>
        <v>782</v>
      </c>
      <c r="D19" s="1038">
        <f ca="1">D9+D10</f>
        <v>39089.930000000037</v>
      </c>
      <c r="E19" s="255">
        <f>'数据-取费表'!B31</f>
        <v>200</v>
      </c>
      <c r="F19" s="275"/>
      <c r="G19" s="2550"/>
    </row>
    <row r="20" spans="1:7" s="258" customFormat="1" ht="13.5" customHeight="1">
      <c r="A20" s="299" t="s">
        <v>2356</v>
      </c>
      <c r="B20" s="254" t="s">
        <v>2357</v>
      </c>
      <c r="C20" s="276">
        <f ca="1">ROUND((C5+C19)*F20,0)</f>
        <v>16</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97</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0</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96</v>
      </c>
      <c r="D24" s="282"/>
      <c r="E24" s="282"/>
      <c r="F24" s="283"/>
      <c r="G24" s="284" t="s">
        <v>2370</v>
      </c>
    </row>
    <row r="25" spans="1:7" s="258" customFormat="1" ht="24">
      <c r="A25" s="953" t="s">
        <v>2371</v>
      </c>
      <c r="B25" s="259" t="s">
        <v>2372</v>
      </c>
      <c r="C25" s="1357">
        <f ca="1">ROUND(IF('数据-取费表'!B22&lt;=1,C20*F22*'数据-取费表'!B23/2,C20*(POWER((1+F22),'数据-取费表'!B23/2)-1)),0)</f>
        <v>1</v>
      </c>
      <c r="D25" s="282"/>
      <c r="E25" s="285"/>
      <c r="F25" s="283"/>
      <c r="G25" s="286" t="s">
        <v>2373</v>
      </c>
    </row>
    <row r="26" spans="1:7" s="258" customFormat="1">
      <c r="A26" s="953"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160</v>
      </c>
      <c r="D27" s="279">
        <f ca="1">C29</f>
        <v>4.0000000000000001E-3</v>
      </c>
      <c r="E27" s="280" t="s">
        <v>2377</v>
      </c>
      <c r="F27" s="290">
        <f ca="1">IF(B1="",'数据-取费表'!Q16,INDIRECT("'数据-取费表'!q"&amp;$G$1))</f>
        <v>0.2</v>
      </c>
      <c r="G27" s="291" t="s">
        <v>2378</v>
      </c>
    </row>
    <row r="28" spans="1:7" s="258" customFormat="1" ht="13.5" customHeight="1">
      <c r="A28" s="953" t="s">
        <v>791</v>
      </c>
      <c r="B28" s="292" t="s">
        <v>2379</v>
      </c>
      <c r="C28" s="293">
        <f ca="1">ROUND((C5+C19+C20)*F27*'数据-取费表'!B21/'数据-取费表'!B20,0)</f>
        <v>160</v>
      </c>
      <c r="D28" s="279"/>
      <c r="E28" s="280"/>
      <c r="F28" s="290"/>
      <c r="G28" s="291"/>
    </row>
    <row r="29" spans="1:7" s="258" customFormat="1" ht="13.5" customHeight="1">
      <c r="A29" s="953"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1145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10995</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9773</v>
      </c>
      <c r="D34" s="261"/>
      <c r="E34" s="264"/>
      <c r="F34" s="301">
        <f ca="1">IF('数据-取费表'!B24=0,1,IF(B1="",'数据-取费表'!N16,INDIRECT("'数据-取费表'!n"&amp;$G$1)))</f>
        <v>1</v>
      </c>
      <c r="G34" s="263" t="s">
        <v>2389</v>
      </c>
    </row>
    <row r="35" spans="1:7" ht="13.5" customHeight="1">
      <c r="A35" s="953" t="s">
        <v>796</v>
      </c>
      <c r="B35" s="259" t="s">
        <v>2390</v>
      </c>
      <c r="C35" s="264">
        <f ca="1">ROUND(C34*F35,0)</f>
        <v>293</v>
      </c>
      <c r="D35" s="264"/>
      <c r="E35" s="264"/>
      <c r="F35" s="303">
        <f>'数据-取费表'!B33</f>
        <v>0.03</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3" t="s">
        <v>798</v>
      </c>
      <c r="B37" s="259" t="s">
        <v>2394</v>
      </c>
      <c r="C37" s="293">
        <f ca="1">ROUND(E37*D37*F34/10000,0)</f>
        <v>782</v>
      </c>
      <c r="D37" s="261">
        <f ca="1">D19</f>
        <v>39089.930000000037</v>
      </c>
      <c r="E37" s="293">
        <f>'数据-取费表'!B35</f>
        <v>200</v>
      </c>
      <c r="F37" s="303"/>
      <c r="G37" s="305" t="s">
        <v>2395</v>
      </c>
    </row>
    <row r="38" spans="1:7" ht="13.5" customHeight="1">
      <c r="A38" s="953" t="s">
        <v>799</v>
      </c>
      <c r="B38" s="259" t="s">
        <v>2396</v>
      </c>
      <c r="C38" s="264">
        <f ca="1">ROUND(C34*F38,0)</f>
        <v>147</v>
      </c>
      <c r="D38" s="264"/>
      <c r="E38" s="264"/>
      <c r="F38" s="303">
        <f>'数据-取费表'!B36</f>
        <v>1.4999999999999999E-2</v>
      </c>
      <c r="G38" s="263" t="s">
        <v>2391</v>
      </c>
    </row>
    <row r="39" spans="1:7" s="258" customFormat="1" ht="13.5" customHeight="1">
      <c r="A39" s="299" t="s">
        <v>2397</v>
      </c>
      <c r="B39" s="254" t="s">
        <v>2398</v>
      </c>
      <c r="C39" s="276">
        <f ca="1">ROUND(C33*F20,0)</f>
        <v>220</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670</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657</v>
      </c>
      <c r="D42" s="282"/>
      <c r="E42" s="282"/>
      <c r="F42" s="283"/>
      <c r="G42" s="3252" t="s">
        <v>2407</v>
      </c>
    </row>
    <row r="43" spans="1:7" ht="13.5" customHeight="1">
      <c r="A43" s="953" t="s">
        <v>792</v>
      </c>
      <c r="B43" s="259" t="s">
        <v>2408</v>
      </c>
      <c r="C43" s="282">
        <f ca="1">ROUND(IF('数据-取费表'!B22&lt;=1,C39*F22*'数据-取费表'!B21/2,C39*(POWER((1+F22),'数据-取费表'!B21/2)-1)),0)</f>
        <v>13</v>
      </c>
      <c r="D43" s="282"/>
      <c r="E43" s="282"/>
      <c r="F43" s="283"/>
      <c r="G43" s="3253"/>
    </row>
    <row r="44" spans="1:7" ht="13.5" customHeight="1">
      <c r="A44" s="953" t="s">
        <v>793</v>
      </c>
      <c r="B44" s="259" t="s">
        <v>2409</v>
      </c>
      <c r="C44" s="282">
        <f ca="1">ROUND(IF('数据-取费表'!B22&lt;=1,C40*F22*'数据-取费表'!B21/2,C40*(POWER((1+F22),'数据-取费表'!B21/2)-1)),4)</f>
        <v>1.1999999999999999E-3</v>
      </c>
      <c r="D44" s="282"/>
      <c r="E44" s="282"/>
      <c r="F44" s="283"/>
      <c r="G44" s="3254"/>
    </row>
    <row r="45" spans="1:7" s="258" customFormat="1" ht="13.5" customHeight="1">
      <c r="A45" s="299" t="s">
        <v>2410</v>
      </c>
      <c r="B45" s="288" t="s">
        <v>2376</v>
      </c>
      <c r="C45" s="289">
        <f ca="1">C46</f>
        <v>2243</v>
      </c>
      <c r="D45" s="279">
        <f ca="1">C47</f>
        <v>4.0000000000000001E-3</v>
      </c>
      <c r="E45" s="280" t="s">
        <v>2402</v>
      </c>
      <c r="F45" s="290"/>
      <c r="G45" s="291" t="s">
        <v>2411</v>
      </c>
    </row>
    <row r="46" spans="1:7" s="258" customFormat="1" ht="13.5" customHeight="1">
      <c r="A46" s="953" t="s">
        <v>791</v>
      </c>
      <c r="B46" s="292" t="s">
        <v>2412</v>
      </c>
      <c r="C46" s="293">
        <f ca="1">ROUND((C33+C39)*F27,0)</f>
        <v>2243</v>
      </c>
      <c r="D46" s="307"/>
      <c r="E46" s="280"/>
      <c r="F46" s="290"/>
      <c r="G46" s="291"/>
    </row>
    <row r="47" spans="1:7" s="258" customFormat="1" ht="13.5" customHeight="1">
      <c r="A47" s="953" t="s">
        <v>792</v>
      </c>
      <c r="B47" s="292" t="s">
        <v>2413</v>
      </c>
      <c r="C47" s="282">
        <f ca="1">ROUND(C40*F27,4)</f>
        <v>4.0000000000000001E-3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15332</v>
      </c>
      <c r="D49" s="276"/>
      <c r="E49" s="276"/>
      <c r="F49" s="308"/>
      <c r="G49" s="278" t="s">
        <v>2417</v>
      </c>
    </row>
    <row r="50" spans="1:7" s="302" customFormat="1" ht="24">
      <c r="A50" s="299" t="s">
        <v>2418</v>
      </c>
      <c r="B50" s="254" t="s">
        <v>2419</v>
      </c>
      <c r="C50" s="276"/>
      <c r="D50" s="276"/>
      <c r="E50" s="276"/>
      <c r="F50" s="308">
        <f>IF('数据-取费表'!B24=0,'数据-取费表'!N16,1)</f>
        <v>0.88</v>
      </c>
      <c r="G50" s="291" t="s">
        <v>2420</v>
      </c>
    </row>
    <row r="51" spans="1:7" ht="16.5" customHeight="1">
      <c r="A51" s="299" t="s">
        <v>2421</v>
      </c>
      <c r="B51" s="254" t="s">
        <v>2422</v>
      </c>
      <c r="C51" s="276">
        <f ca="1">ROUND(C49*F50,0)</f>
        <v>13492</v>
      </c>
      <c r="D51" s="276"/>
      <c r="E51" s="276"/>
      <c r="F51" s="308"/>
      <c r="G51" s="278" t="s">
        <v>2423</v>
      </c>
    </row>
    <row r="52" spans="1:7" s="252" customFormat="1" ht="16.5" thickBot="1">
      <c r="A52" s="309" t="s">
        <v>2424</v>
      </c>
      <c r="B52" s="310"/>
      <c r="C52" s="311">
        <f ca="1">C31+C51</f>
        <v>14637</v>
      </c>
      <c r="D52" s="310"/>
      <c r="E52" s="310"/>
      <c r="F52" s="310"/>
      <c r="G52" s="312"/>
    </row>
    <row r="55" spans="1:7" ht="15">
      <c r="B55" s="314" t="s">
        <v>2425</v>
      </c>
      <c r="C55" s="315"/>
    </row>
    <row r="56" spans="1:7">
      <c r="B56" s="317" t="s">
        <v>1513</v>
      </c>
      <c r="C56" s="319">
        <f ca="1">1-C57</f>
        <v>7.7999999999999958E-2</v>
      </c>
    </row>
    <row r="57" spans="1:7">
      <c r="B57" s="317" t="s">
        <v>1514</v>
      </c>
      <c r="C57" s="318">
        <f ca="1">ROUND(C51/C52,3)</f>
        <v>0.92200000000000004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66" t="str">
        <f>项目基本情况!B1</f>
        <v>湖北省武汉市房地产抵押价值预评估</v>
      </c>
      <c r="C37" s="3066"/>
      <c r="D37" s="3066"/>
      <c r="E37" s="3066"/>
      <c r="F37" s="3066"/>
      <c r="G37" s="3066"/>
      <c r="H37" s="3066"/>
      <c r="I37" s="3066"/>
    </row>
    <row r="38" spans="1:9">
      <c r="A38" s="1018"/>
      <c r="B38" s="1018"/>
    </row>
    <row r="39" spans="1:9">
      <c r="A39" s="1016" t="s">
        <v>818</v>
      </c>
      <c r="B39" s="1016" t="s">
        <v>820</v>
      </c>
    </row>
    <row r="40" spans="1:9">
      <c r="A40" s="1016"/>
      <c r="B40" s="1944" t="str">
        <f>项目基本情况!B5</f>
        <v>中信信托有限责任公司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郑燚（注册号：1120070131)、王萌（注册号：1120130048)</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3"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15320</v>
      </c>
      <c r="C2" s="243" t="s">
        <v>2326</v>
      </c>
      <c r="D2" s="2547" t="s">
        <v>70</v>
      </c>
      <c r="E2" s="1442"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3919</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4690792</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3.0499999999999999E-2</v>
      </c>
      <c r="G7" s="263"/>
    </row>
    <row r="8" spans="1:8" s="267" customFormat="1">
      <c r="A8" s="951" t="s">
        <v>2339</v>
      </c>
      <c r="B8" s="259" t="s">
        <v>2340</v>
      </c>
      <c r="C8" s="264">
        <f ca="1">IF(G8="已包含在土地购买价格中",0,C9+C10)</f>
        <v>4690792</v>
      </c>
      <c r="D8" s="266"/>
      <c r="E8" s="264"/>
      <c r="F8" s="265"/>
      <c r="G8" s="2550"/>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120</v>
      </c>
      <c r="F9" s="265"/>
      <c r="G9" s="270"/>
    </row>
    <row r="10" spans="1:8" s="258" customFormat="1" ht="13.5" customHeight="1">
      <c r="A10" s="952" t="s">
        <v>801</v>
      </c>
      <c r="B10" s="268" t="s">
        <v>2343</v>
      </c>
      <c r="C10" s="269">
        <f ca="1">ROUND(D10*E10,0)</f>
        <v>4690792</v>
      </c>
      <c r="D10" s="1034">
        <f ca="1">IF(B1="",'数据-汇总表'!E6,IF(INDIRECT("'数据-取费表'!c"&amp;$G$1)="住宅",INDIRECT("'数据-取费表'!s"&amp;$G$1),INDIRECT("'数据-取费表'!k"&amp;$G$1)+INDIRECT("'数据-取费表'!s"&amp;$G$1)))</f>
        <v>39089.930000000037</v>
      </c>
      <c r="E10" s="269">
        <f>'数据-取费表'!B28</f>
        <v>120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7817986</v>
      </c>
      <c r="D19" s="1038">
        <f ca="1">D9+D10</f>
        <v>39089.930000000037</v>
      </c>
      <c r="E19" s="255">
        <f>'数据-取费表'!B31</f>
        <v>200</v>
      </c>
      <c r="F19" s="275"/>
      <c r="G19" s="2550"/>
    </row>
    <row r="20" spans="1:7" s="258" customFormat="1" ht="13.5" customHeight="1">
      <c r="A20" s="299" t="s">
        <v>2437</v>
      </c>
      <c r="B20" s="254" t="s">
        <v>2438</v>
      </c>
      <c r="C20" s="276">
        <f ca="1">ROUND((C5+C19)*F20,0)</f>
        <v>250176</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1553693</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577032</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961720</v>
      </c>
      <c r="D24" s="282"/>
      <c r="E24" s="282"/>
      <c r="F24" s="283"/>
      <c r="G24" s="284" t="s">
        <v>2449</v>
      </c>
    </row>
    <row r="25" spans="1:7" s="258" customFormat="1" ht="24">
      <c r="A25" s="953" t="s">
        <v>2339</v>
      </c>
      <c r="B25" s="259" t="s">
        <v>2450</v>
      </c>
      <c r="C25" s="1383">
        <f ca="1">ROUND(IF('数据-取费表'!B22&lt;=1,C20*F22*'数据-取费表'!B22/2,C20*(POWER((1+F22),'数据-取费表'!B22/2)-1)),0)</f>
        <v>14941</v>
      </c>
      <c r="D25" s="282"/>
      <c r="E25" s="285"/>
      <c r="F25" s="283"/>
      <c r="G25" s="286" t="s">
        <v>2451</v>
      </c>
    </row>
    <row r="26" spans="1:7" s="258" customFormat="1">
      <c r="A26" s="953"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2551791</v>
      </c>
      <c r="D27" s="279">
        <f ca="1">C29</f>
        <v>4.0000000000000001E-3</v>
      </c>
      <c r="E27" s="280" t="s">
        <v>2377</v>
      </c>
      <c r="F27" s="290">
        <f ca="1">IF(B1="",'数据-取费表'!Q16,INDIRECT("'数据-取费表'!q"&amp;$G$1))</f>
        <v>0.2</v>
      </c>
      <c r="G27" s="291" t="s">
        <v>2378</v>
      </c>
    </row>
    <row r="28" spans="1:7" s="258" customFormat="1" ht="13.5" customHeight="1">
      <c r="A28" s="953" t="s">
        <v>791</v>
      </c>
      <c r="B28" s="292" t="s">
        <v>2379</v>
      </c>
      <c r="C28" s="293">
        <f ca="1">ROUND((C5+C19+C20)*F27,0)</f>
        <v>2551791</v>
      </c>
      <c r="D28" s="279"/>
      <c r="E28" s="280"/>
      <c r="F28" s="290"/>
      <c r="G28" s="291"/>
    </row>
    <row r="29" spans="1:7" s="258" customFormat="1" ht="13.5" customHeight="1">
      <c r="A29" s="953"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18301072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109940428</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97724825</v>
      </c>
      <c r="D34" s="261"/>
      <c r="E34" s="264"/>
      <c r="F34" s="301"/>
      <c r="G34" s="263"/>
    </row>
    <row r="35" spans="1:7" ht="13.5" customHeight="1">
      <c r="A35" s="953" t="s">
        <v>796</v>
      </c>
      <c r="B35" s="259" t="s">
        <v>2390</v>
      </c>
      <c r="C35" s="264">
        <f ca="1">ROUND(C34*F35,0)</f>
        <v>2931745</v>
      </c>
      <c r="D35" s="264"/>
      <c r="E35" s="264"/>
      <c r="F35" s="303">
        <f>'数据-取费表'!B33</f>
        <v>0.03</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3" t="s">
        <v>798</v>
      </c>
      <c r="B37" s="259" t="s">
        <v>2394</v>
      </c>
      <c r="C37" s="293">
        <f ca="1">ROUND(E37*D37,0)</f>
        <v>7817986</v>
      </c>
      <c r="D37" s="261">
        <f ca="1">D19</f>
        <v>39089.930000000037</v>
      </c>
      <c r="E37" s="293">
        <f>'数据-取费表'!B35</f>
        <v>200</v>
      </c>
      <c r="F37" s="303"/>
      <c r="G37" s="305"/>
    </row>
    <row r="38" spans="1:7" ht="13.5" customHeight="1">
      <c r="A38" s="953" t="s">
        <v>799</v>
      </c>
      <c r="B38" s="259" t="s">
        <v>2396</v>
      </c>
      <c r="C38" s="264">
        <f ca="1">ROUND(C34*F38,0)</f>
        <v>1465872</v>
      </c>
      <c r="D38" s="264"/>
      <c r="E38" s="264"/>
      <c r="F38" s="303">
        <f>'数据-取费表'!B36</f>
        <v>1.4999999999999999E-2</v>
      </c>
      <c r="G38" s="263" t="s">
        <v>2391</v>
      </c>
    </row>
    <row r="39" spans="1:7" s="258" customFormat="1" ht="13.5" customHeight="1">
      <c r="A39" s="299" t="s">
        <v>2397</v>
      </c>
      <c r="B39" s="254" t="s">
        <v>2398</v>
      </c>
      <c r="C39" s="276">
        <f ca="1">ROUND(C33*F20,0)</f>
        <v>2198809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6697340</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6566020</v>
      </c>
      <c r="D42" s="282"/>
      <c r="E42" s="282"/>
      <c r="F42" s="283"/>
      <c r="G42" s="3252" t="s">
        <v>2454</v>
      </c>
    </row>
    <row r="43" spans="1:7" ht="13.5" customHeight="1">
      <c r="A43" s="953" t="s">
        <v>792</v>
      </c>
      <c r="B43" s="259" t="s">
        <v>2408</v>
      </c>
      <c r="C43" s="282">
        <f ca="1">ROUND(IF('数据-取费表'!B22&lt;=1,C39*F22*'数据-取费表'!B20/2,C39*(POWER((1+F22),'数据-取费表'!B20/2)-1)),0)</f>
        <v>131320</v>
      </c>
      <c r="D43" s="282"/>
      <c r="E43" s="282"/>
      <c r="F43" s="283"/>
      <c r="G43" s="3253"/>
    </row>
    <row r="44" spans="1:7" ht="13.5" customHeight="1">
      <c r="A44" s="953" t="s">
        <v>793</v>
      </c>
      <c r="B44" s="259" t="s">
        <v>2409</v>
      </c>
      <c r="C44" s="282">
        <f ca="1">ROUND(IF('数据-取费表'!B22&lt;=1,C40*F22*'数据-取费表'!B20/2,C40*(POWER((1+F22),'数据-取费表'!B20/2)-1)),4)</f>
        <v>1.1999999999999999E-3</v>
      </c>
      <c r="D44" s="282"/>
      <c r="E44" s="282"/>
      <c r="F44" s="283"/>
      <c r="G44" s="3254"/>
    </row>
    <row r="45" spans="1:7" s="258" customFormat="1" ht="13.5" customHeight="1">
      <c r="A45" s="299" t="s">
        <v>2410</v>
      </c>
      <c r="B45" s="288" t="s">
        <v>2376</v>
      </c>
      <c r="C45" s="289">
        <f ca="1">C46</f>
        <v>22427847</v>
      </c>
      <c r="D45" s="279">
        <f ca="1">C47</f>
        <v>4.0000000000000001E-3</v>
      </c>
      <c r="E45" s="280" t="s">
        <v>2402</v>
      </c>
      <c r="F45" s="290"/>
      <c r="G45" s="291" t="s">
        <v>2411</v>
      </c>
    </row>
    <row r="46" spans="1:7" s="258" customFormat="1" ht="13.5" customHeight="1">
      <c r="A46" s="953" t="s">
        <v>791</v>
      </c>
      <c r="B46" s="292" t="s">
        <v>2412</v>
      </c>
      <c r="C46" s="293">
        <f ca="1">ROUND((C33+C39)*F27,0)</f>
        <v>22427847</v>
      </c>
      <c r="D46" s="307"/>
      <c r="E46" s="280"/>
      <c r="F46" s="290"/>
      <c r="G46" s="291"/>
    </row>
    <row r="47" spans="1:7" s="258" customFormat="1" ht="13.5" customHeight="1">
      <c r="A47" s="953"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153298344</v>
      </c>
      <c r="D49" s="276"/>
      <c r="E49" s="276"/>
      <c r="F49" s="308"/>
      <c r="G49" s="278" t="s">
        <v>2417</v>
      </c>
    </row>
    <row r="50" spans="1:7" s="302" customFormat="1">
      <c r="A50" s="299" t="s">
        <v>2418</v>
      </c>
      <c r="B50" s="254" t="s">
        <v>2419</v>
      </c>
      <c r="C50" s="276"/>
      <c r="D50" s="276"/>
      <c r="E50" s="276"/>
      <c r="F50" s="308">
        <f>IF('数据-取费表'!B24=0,'数据-取费表'!N16,1)</f>
        <v>0.88</v>
      </c>
      <c r="G50" s="291"/>
    </row>
    <row r="51" spans="1:7" ht="16.5" customHeight="1">
      <c r="A51" s="299" t="s">
        <v>2421</v>
      </c>
      <c r="B51" s="254" t="s">
        <v>2456</v>
      </c>
      <c r="C51" s="276">
        <f ca="1">ROUND(C49*F50,0)</f>
        <v>134902543</v>
      </c>
      <c r="D51" s="276"/>
      <c r="E51" s="276"/>
      <c r="F51" s="308"/>
      <c r="G51" s="278" t="s">
        <v>2423</v>
      </c>
    </row>
    <row r="52" spans="1:7" s="252" customFormat="1" ht="16.5" thickBot="1">
      <c r="A52" s="309" t="s">
        <v>2424</v>
      </c>
      <c r="B52" s="310"/>
      <c r="C52" s="311">
        <f ca="1">C31+C51</f>
        <v>153203615</v>
      </c>
      <c r="D52" s="310"/>
      <c r="E52" s="310"/>
      <c r="F52" s="310"/>
      <c r="G52" s="312"/>
    </row>
    <row r="55" spans="1:7" ht="15">
      <c r="B55" s="314" t="s">
        <v>2425</v>
      </c>
      <c r="C55" s="315"/>
    </row>
    <row r="56" spans="1:7">
      <c r="B56" s="317" t="s">
        <v>1513</v>
      </c>
      <c r="C56" s="319">
        <f ca="1">1-C57</f>
        <v>0.11899999999999999</v>
      </c>
    </row>
    <row r="57" spans="1:7">
      <c r="B57" s="317" t="s">
        <v>1514</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-558</v>
      </c>
      <c r="C2" s="320" t="s">
        <v>2458</v>
      </c>
      <c r="D2" s="320"/>
      <c r="E2" s="320"/>
      <c r="F2" s="320"/>
      <c r="G2" s="320"/>
      <c r="H2" s="320"/>
      <c r="I2" s="320"/>
      <c r="J2" s="320"/>
      <c r="K2" s="320"/>
    </row>
    <row r="3" spans="1:33" ht="18" customHeight="1" thickBot="1">
      <c r="A3" s="247" t="s">
        <v>2327</v>
      </c>
      <c r="B3" s="248">
        <f ca="1">ROUND(B2*10000/IF(C1="",'数据-汇总表'!E3,INDIRECT("'数据-取费表'!K"&amp;$K$1)),0)</f>
        <v>-143</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4" t="s">
        <v>2463</v>
      </c>
      <c r="D5" s="2554" t="s">
        <v>2464</v>
      </c>
      <c r="E5" s="2554" t="s">
        <v>2465</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0.05</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39089.930000000037</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39089.930000000037</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469</v>
      </c>
      <c r="D18" s="1035"/>
      <c r="E18" s="24"/>
      <c r="F18" s="978"/>
      <c r="G18" s="2556"/>
      <c r="H18" s="1579"/>
      <c r="I18" s="2557"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120</v>
      </c>
      <c r="F19" s="978"/>
      <c r="G19" s="15"/>
      <c r="H19" s="1581"/>
      <c r="I19" s="983"/>
      <c r="J19" s="983"/>
      <c r="K19" s="984"/>
    </row>
    <row r="20" spans="1:33" s="977" customFormat="1" ht="13.5" customHeight="1">
      <c r="A20" s="973" t="s">
        <v>806</v>
      </c>
      <c r="B20" s="974" t="s">
        <v>2493</v>
      </c>
      <c r="C20" s="24">
        <f ca="1">ROUND(D20*E20/10000,0)</f>
        <v>469</v>
      </c>
      <c r="D20" s="1035">
        <f ca="1">IF(C1="",'数据-汇总表'!E6,IF(INDIRECT("'数据-取费表'!c"&amp;$K$1)="住宅",INDIRECT("'数据-取费表'!s"&amp;$K$1),INDIRECT("'数据-取费表'!k"&amp;$K$1)+INDIRECT("'数据-取费表'!s"&amp;$K$1)))</f>
        <v>39089.930000000037</v>
      </c>
      <c r="E20" s="24">
        <f>'数据-取费表'!B28</f>
        <v>120</v>
      </c>
      <c r="F20" s="978"/>
      <c r="G20" s="15"/>
      <c r="H20" s="983"/>
      <c r="I20" s="983"/>
      <c r="J20" s="983"/>
      <c r="K20" s="984"/>
    </row>
    <row r="21" spans="1:33" s="977" customFormat="1" ht="13.5" customHeight="1">
      <c r="A21" s="963" t="s">
        <v>802</v>
      </c>
      <c r="B21" s="987" t="s">
        <v>2494</v>
      </c>
      <c r="C21" s="988">
        <f ca="1">C16+C17+C18</f>
        <v>469</v>
      </c>
      <c r="D21" s="989"/>
      <c r="E21" s="325"/>
      <c r="F21" s="325"/>
      <c r="G21" s="140" t="s">
        <v>2495</v>
      </c>
      <c r="H21" s="981"/>
      <c r="I21" s="981"/>
      <c r="J21" s="981"/>
      <c r="K21" s="982"/>
    </row>
    <row r="22" spans="1:33" s="977" customFormat="1" ht="13.5" customHeight="1">
      <c r="A22" s="963" t="s">
        <v>2467</v>
      </c>
      <c r="B22" s="987" t="s">
        <v>2496</v>
      </c>
      <c r="C22" s="988">
        <f ca="1">ROUND(C21*F22,0)</f>
        <v>9</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2507</v>
      </c>
      <c r="B28" s="2559" t="s">
        <v>2508</v>
      </c>
      <c r="C28" s="331">
        <f ca="1">C30</f>
        <v>96</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96</v>
      </c>
      <c r="D30" s="328"/>
      <c r="E30" s="329"/>
      <c r="F30" s="334"/>
      <c r="G30" s="140"/>
      <c r="H30" s="981"/>
      <c r="I30" s="981"/>
      <c r="J30" s="981"/>
      <c r="K30" s="982"/>
    </row>
    <row r="31" spans="1:33" s="977" customFormat="1" ht="13.5" customHeight="1" thickBot="1">
      <c r="A31" s="2560"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-558</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14">
    <tabColor rgb="FF00B0F0"/>
    <pageSetUpPr fitToPage="1"/>
  </sheetPr>
  <dimension ref="A1:AC132"/>
  <sheetViews>
    <sheetView tabSelected="1" topLeftCell="A19" zoomScale="90" zoomScaleNormal="90" workbookViewId="0">
      <selection activeCell="I5" sqref="I5:J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2640</v>
      </c>
      <c r="C1" s="1636" t="s">
        <v>2528</v>
      </c>
      <c r="D1" s="1623" t="s">
        <v>3066</v>
      </c>
      <c r="E1" s="2657"/>
      <c r="F1" s="2584" t="s">
        <v>3074</v>
      </c>
      <c r="G1" s="1633" t="s">
        <v>2641</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2325</v>
      </c>
      <c r="B2" s="1420">
        <f>IF(C2="——",ROUND(C49*D3/10000,0),ROUND(C49*D3/10000,0)-D2)</f>
        <v>296</v>
      </c>
      <c r="C2" s="2586" t="s">
        <v>70</v>
      </c>
      <c r="D2" s="1367">
        <f ca="1">SUMIF(INDIRECT("'"&amp;F2&amp;"'"&amp;"!A:A"),"承租人权益价值",INDIRECT("'"&amp;F2&amp;"'"&amp;"!c:c"))</f>
        <v>0</v>
      </c>
      <c r="E2" s="2587" t="s">
        <v>2326</v>
      </c>
      <c r="F2" s="2588" t="s">
        <v>3075</v>
      </c>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2327</v>
      </c>
      <c r="B3" s="609">
        <f>IF(C2="——",C49,ROUND(B2*10000/D3,0))</f>
        <v>30121</v>
      </c>
      <c r="C3" s="400" t="s">
        <v>2642</v>
      </c>
      <c r="D3" s="399">
        <f>IF(D1="",'数据-汇总表'!E3,SUMIF('数据-汇总表'!$C19:$C33,D1,'数据-汇总表'!$E19:$E33))</f>
        <v>98.27</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2643</v>
      </c>
      <c r="B4" s="402"/>
      <c r="C4" s="3274" t="s">
        <v>2644</v>
      </c>
      <c r="D4" s="3275"/>
      <c r="E4" s="3276" t="s">
        <v>2645</v>
      </c>
      <c r="F4" s="3277"/>
      <c r="G4" s="3274" t="s">
        <v>2646</v>
      </c>
      <c r="H4" s="3275"/>
      <c r="I4" s="3274" t="s">
        <v>2647</v>
      </c>
      <c r="J4" s="3275"/>
      <c r="K4" s="610" t="s">
        <v>2648</v>
      </c>
      <c r="L4" s="1132"/>
      <c r="M4" s="1133"/>
      <c r="N4" s="1133"/>
      <c r="O4" s="1133"/>
      <c r="P4" s="3278" t="s">
        <v>2649</v>
      </c>
      <c r="Q4" s="3279"/>
      <c r="R4" s="3284" t="s">
        <v>2645</v>
      </c>
      <c r="S4" s="3285"/>
      <c r="T4" s="3284" t="s">
        <v>2646</v>
      </c>
      <c r="U4" s="3285"/>
      <c r="V4" s="3269" t="s">
        <v>2647</v>
      </c>
      <c r="W4" s="3269"/>
      <c r="X4" s="1815"/>
      <c r="Y4" s="3284" t="s">
        <v>2649</v>
      </c>
      <c r="Z4" s="3285"/>
      <c r="AA4" s="3271" t="s">
        <v>2645</v>
      </c>
      <c r="AB4" s="3269" t="s">
        <v>2646</v>
      </c>
      <c r="AC4" s="3271" t="s">
        <v>2647</v>
      </c>
    </row>
    <row r="5" spans="1:29" ht="15">
      <c r="A5" s="404"/>
      <c r="B5" s="405"/>
      <c r="C5" s="3292" t="s">
        <v>3610</v>
      </c>
      <c r="D5" s="3293"/>
      <c r="E5" s="3300" t="s">
        <v>3625</v>
      </c>
      <c r="F5" s="3301"/>
      <c r="G5" s="3292" t="s">
        <v>3626</v>
      </c>
      <c r="H5" s="3293"/>
      <c r="I5" s="3292" t="s">
        <v>3627</v>
      </c>
      <c r="J5" s="3293"/>
      <c r="K5" s="610"/>
      <c r="L5" s="1132"/>
      <c r="M5" s="1133"/>
      <c r="N5" s="1133"/>
      <c r="O5" s="1133"/>
      <c r="P5" s="3280"/>
      <c r="Q5" s="3281"/>
      <c r="R5" s="3286"/>
      <c r="S5" s="3287"/>
      <c r="T5" s="3286"/>
      <c r="U5" s="3287"/>
      <c r="V5" s="3269"/>
      <c r="W5" s="3269"/>
      <c r="X5" s="1815"/>
      <c r="Y5" s="3286"/>
      <c r="Z5" s="3287"/>
      <c r="AA5" s="3272"/>
      <c r="AB5" s="3269"/>
      <c r="AC5" s="3272"/>
    </row>
    <row r="6" spans="1:29" ht="15.75" thickBot="1">
      <c r="A6" s="406"/>
      <c r="B6" s="407"/>
      <c r="C6" s="3297" t="s">
        <v>2544</v>
      </c>
      <c r="D6" s="3291"/>
      <c r="E6" s="3298" t="s">
        <v>3552</v>
      </c>
      <c r="F6" s="3299"/>
      <c r="G6" s="3290" t="s">
        <v>3555</v>
      </c>
      <c r="H6" s="3291"/>
      <c r="I6" s="3290" t="s">
        <v>3559</v>
      </c>
      <c r="J6" s="3291"/>
      <c r="K6" s="610" t="s">
        <v>2545</v>
      </c>
      <c r="L6" s="1132"/>
      <c r="M6" s="1133"/>
      <c r="N6" s="1133"/>
      <c r="O6" s="1133"/>
      <c r="P6" s="3282"/>
      <c r="Q6" s="3283"/>
      <c r="R6" s="3286"/>
      <c r="S6" s="3287"/>
      <c r="T6" s="3288"/>
      <c r="U6" s="3289"/>
      <c r="V6" s="3269"/>
      <c r="W6" s="3269"/>
      <c r="X6" s="1815"/>
      <c r="Y6" s="3288"/>
      <c r="Z6" s="3289"/>
      <c r="AA6" s="3273"/>
      <c r="AB6" s="3269"/>
      <c r="AC6" s="3273"/>
    </row>
    <row r="7" spans="1:29" s="117" customFormat="1" ht="15.75" thickBot="1">
      <c r="A7" s="408" t="s">
        <v>2546</v>
      </c>
      <c r="B7" s="409"/>
      <c r="C7" s="410">
        <f>'数据-取费表'!B2</f>
        <v>43209</v>
      </c>
      <c r="D7" s="411">
        <v>100</v>
      </c>
      <c r="E7" s="412">
        <f>C7</f>
        <v>43209</v>
      </c>
      <c r="F7" s="413">
        <f>SUMIF(58:58,YEAR(E7)&amp;"-"&amp;MONTH(E7),59:59)</f>
        <v>100</v>
      </c>
      <c r="G7" s="412">
        <f>C7</f>
        <v>43209</v>
      </c>
      <c r="H7" s="411">
        <f>SUMIF(58:58,YEAR(G7)&amp;"-"&amp;MONTH(G7),59:59)</f>
        <v>100</v>
      </c>
      <c r="I7" s="412">
        <f>C7</f>
        <v>43209</v>
      </c>
      <c r="J7" s="411">
        <f>SUMIF(58:58,YEAR(I7)&amp;"-"&amp;MONTH(I7),59:59)</f>
        <v>100</v>
      </c>
      <c r="K7" s="611"/>
      <c r="L7" s="1134"/>
      <c r="M7" s="1135"/>
      <c r="N7" s="1135"/>
      <c r="O7" s="1135"/>
      <c r="P7" s="3294" t="s">
        <v>2547</v>
      </c>
      <c r="Q7" s="3296"/>
      <c r="R7" s="769" t="s">
        <v>17</v>
      </c>
      <c r="S7" s="770">
        <f t="shared" ref="S7:S15" si="0">F7</f>
        <v>100</v>
      </c>
      <c r="T7" s="769" t="s">
        <v>17</v>
      </c>
      <c r="U7" s="770">
        <f t="shared" ref="U7:U15" si="1">H7</f>
        <v>100</v>
      </c>
      <c r="V7" s="769" t="s">
        <v>17</v>
      </c>
      <c r="W7" s="770">
        <f t="shared" ref="W7:W15" si="2">J7</f>
        <v>100</v>
      </c>
      <c r="X7" s="771"/>
      <c r="Y7" s="3294" t="s">
        <v>2547</v>
      </c>
      <c r="Z7" s="3295"/>
      <c r="AA7" s="772">
        <f>D7/F7</f>
        <v>1</v>
      </c>
      <c r="AB7" s="772">
        <f>D7/H7</f>
        <v>1</v>
      </c>
      <c r="AC7" s="772">
        <f>D7/J7</f>
        <v>1</v>
      </c>
    </row>
    <row r="8" spans="1:29" s="117" customFormat="1" ht="15.75" thickBot="1">
      <c r="A8" s="408" t="s">
        <v>2548</v>
      </c>
      <c r="B8" s="409"/>
      <c r="C8" s="414" t="s">
        <v>2650</v>
      </c>
      <c r="D8" s="411">
        <v>100</v>
      </c>
      <c r="E8" s="414" t="s">
        <v>3076</v>
      </c>
      <c r="F8" s="413">
        <f>SUMIF(61:61,E8,62:62)-SUMIF(61:61,C8,62:62)+100</f>
        <v>100</v>
      </c>
      <c r="G8" s="414" t="s">
        <v>3076</v>
      </c>
      <c r="H8" s="411">
        <f>SUMIF(61:61,G8,62:62)-SUMIF(61:61,C8,62:62)+100</f>
        <v>100</v>
      </c>
      <c r="I8" s="414" t="s">
        <v>3076</v>
      </c>
      <c r="J8" s="411">
        <f>SUMIF(61:61,I8,62:62)-SUMIF(61:61,C8,62:62)+100</f>
        <v>100</v>
      </c>
      <c r="K8" s="611"/>
      <c r="L8" s="1134"/>
      <c r="M8" s="1135"/>
      <c r="N8" s="1135"/>
      <c r="O8" s="1135"/>
      <c r="P8" s="3294" t="s">
        <v>2550</v>
      </c>
      <c r="Q8" s="3295"/>
      <c r="R8" s="769" t="s">
        <v>17</v>
      </c>
      <c r="S8" s="770">
        <f t="shared" si="0"/>
        <v>100</v>
      </c>
      <c r="T8" s="769" t="s">
        <v>17</v>
      </c>
      <c r="U8" s="770">
        <f t="shared" si="1"/>
        <v>100</v>
      </c>
      <c r="V8" s="769" t="s">
        <v>17</v>
      </c>
      <c r="W8" s="770">
        <f t="shared" si="2"/>
        <v>100</v>
      </c>
      <c r="X8" s="771"/>
      <c r="Y8" s="3294" t="s">
        <v>2550</v>
      </c>
      <c r="Z8" s="3295"/>
      <c r="AA8" s="772">
        <f t="shared" ref="AA8:AA46" si="3">D8/F8</f>
        <v>1</v>
      </c>
      <c r="AB8" s="772">
        <f t="shared" ref="AB8:AB46" si="4">D8/H8</f>
        <v>1</v>
      </c>
      <c r="AC8" s="772">
        <f t="shared" ref="AC8:AC46" si="5">D8/J8</f>
        <v>1</v>
      </c>
    </row>
    <row r="9" spans="1:29" s="117" customFormat="1">
      <c r="A9" s="415" t="s">
        <v>2551</v>
      </c>
      <c r="B9" s="71" t="s">
        <v>2552</v>
      </c>
      <c r="C9" s="2947" t="s">
        <v>3077</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270" t="s">
        <v>2553</v>
      </c>
      <c r="Q9" s="1797" t="str">
        <f t="shared" ref="Q9:Q15" si="6">B9</f>
        <v>用途</v>
      </c>
      <c r="R9" s="769" t="s">
        <v>17</v>
      </c>
      <c r="S9" s="770">
        <f t="shared" si="0"/>
        <v>100</v>
      </c>
      <c r="T9" s="769" t="s">
        <v>17</v>
      </c>
      <c r="U9" s="770">
        <f t="shared" si="1"/>
        <v>100</v>
      </c>
      <c r="V9" s="769" t="s">
        <v>17</v>
      </c>
      <c r="W9" s="770">
        <f t="shared" si="2"/>
        <v>100</v>
      </c>
      <c r="X9" s="771"/>
      <c r="Y9" s="3110" t="s">
        <v>2554</v>
      </c>
      <c r="Z9" s="55" t="str">
        <f t="shared" ref="Z9:Z15" si="7">Q9</f>
        <v>用途</v>
      </c>
      <c r="AA9" s="772">
        <f t="shared" si="3"/>
        <v>1</v>
      </c>
      <c r="AB9" s="772">
        <f t="shared" si="4"/>
        <v>1</v>
      </c>
      <c r="AC9" s="772">
        <f t="shared" si="5"/>
        <v>1</v>
      </c>
    </row>
    <row r="10" spans="1:29" s="427" customFormat="1" ht="27">
      <c r="A10" s="421"/>
      <c r="B10" s="422" t="s">
        <v>2555</v>
      </c>
      <c r="C10" s="3053" t="s">
        <v>3609</v>
      </c>
      <c r="D10" s="3054">
        <v>100</v>
      </c>
      <c r="E10" s="2955" t="s">
        <v>3609</v>
      </c>
      <c r="F10" s="3055">
        <f>SUMIF(65:65,E10,66:66)-SUMIF(65:65,C10,66:66)+100</f>
        <v>100</v>
      </c>
      <c r="G10" s="2954" t="s">
        <v>3609</v>
      </c>
      <c r="H10" s="3054">
        <f>SUMIF(65:65,G10,66:66)-SUMIF(65:65,C10,66:66)+100</f>
        <v>100</v>
      </c>
      <c r="I10" s="2954" t="s">
        <v>3609</v>
      </c>
      <c r="J10" s="3054">
        <f>SUMIF(65:65,I10,66:66)-SUMIF(65:65,C10,66:66)+100</f>
        <v>100</v>
      </c>
      <c r="K10" s="612"/>
      <c r="L10" s="1137"/>
      <c r="M10" s="1138"/>
      <c r="N10" s="1138"/>
      <c r="O10" s="1138"/>
      <c r="P10" s="3270"/>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75" thickBot="1">
      <c r="A11" s="428"/>
      <c r="B11" s="422" t="s">
        <v>2556</v>
      </c>
      <c r="C11" s="429">
        <v>2.5</v>
      </c>
      <c r="D11" s="136">
        <v>100</v>
      </c>
      <c r="E11" s="430">
        <v>2.5</v>
      </c>
      <c r="F11" s="425">
        <f>LOOKUP(E11,68:68,69:69)-LOOKUP(C11,68:68,69:69)+100</f>
        <v>100</v>
      </c>
      <c r="G11" s="429">
        <v>2.5</v>
      </c>
      <c r="H11" s="136">
        <f>LOOKUP(G11,68:68,69:69)-LOOKUP(C11,68:68,69:69)+100</f>
        <v>100</v>
      </c>
      <c r="I11" s="429">
        <v>2.5</v>
      </c>
      <c r="J11" s="136">
        <f>LOOKUP(I11,68:68,69:69)-LOOKUP(C11,68:68,69:69)+100</f>
        <v>100</v>
      </c>
      <c r="K11" s="612">
        <v>5</v>
      </c>
      <c r="L11" s="1140"/>
      <c r="M11" s="1133"/>
      <c r="N11" s="1133"/>
      <c r="O11" s="1133"/>
      <c r="P11" s="3270"/>
      <c r="Q11" s="1797" t="str">
        <f t="shared" si="6"/>
        <v>容积率</v>
      </c>
      <c r="R11" s="769" t="s">
        <v>17</v>
      </c>
      <c r="S11" s="770">
        <f t="shared" si="0"/>
        <v>100</v>
      </c>
      <c r="T11" s="769" t="s">
        <v>17</v>
      </c>
      <c r="U11" s="770">
        <f t="shared" si="1"/>
        <v>100</v>
      </c>
      <c r="V11" s="769" t="s">
        <v>17</v>
      </c>
      <c r="W11" s="770">
        <f t="shared" si="2"/>
        <v>100</v>
      </c>
      <c r="X11" s="771"/>
      <c r="Y11" s="3110"/>
      <c r="Z11" s="55" t="str">
        <f t="shared" si="7"/>
        <v>容积率</v>
      </c>
      <c r="AA11" s="772">
        <f t="shared" si="3"/>
        <v>1</v>
      </c>
      <c r="AB11" s="772">
        <f t="shared" si="4"/>
        <v>1</v>
      </c>
      <c r="AC11" s="772">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70"/>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70"/>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70"/>
      <c r="Q14" s="1797">
        <f t="shared" si="6"/>
        <v>111</v>
      </c>
      <c r="R14" s="769" t="s">
        <v>17</v>
      </c>
      <c r="S14" s="770">
        <f t="shared" si="0"/>
        <v>100</v>
      </c>
      <c r="T14" s="769" t="s">
        <v>17</v>
      </c>
      <c r="U14" s="770">
        <f t="shared" si="1"/>
        <v>100</v>
      </c>
      <c r="V14" s="769" t="s">
        <v>17</v>
      </c>
      <c r="W14" s="770">
        <f t="shared" si="2"/>
        <v>100</v>
      </c>
      <c r="X14" s="771"/>
      <c r="Y14" s="3110"/>
      <c r="Z14" s="55">
        <f t="shared" si="7"/>
        <v>111</v>
      </c>
      <c r="AA14" s="772">
        <f t="shared" si="3"/>
        <v>1</v>
      </c>
      <c r="AB14" s="772">
        <f t="shared" si="4"/>
        <v>1</v>
      </c>
      <c r="AC14" s="772">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42"/>
      <c r="M15" s="1133"/>
      <c r="N15" s="1133"/>
      <c r="O15" s="1133"/>
      <c r="P15" s="3260" t="s">
        <v>2558</v>
      </c>
      <c r="Q15" s="1812" t="str">
        <f t="shared" si="6"/>
        <v>商业繁华度</v>
      </c>
      <c r="R15" s="773" t="s">
        <v>17</v>
      </c>
      <c r="S15" s="774">
        <f t="shared" si="0"/>
        <v>100</v>
      </c>
      <c r="T15" s="773" t="s">
        <v>17</v>
      </c>
      <c r="U15" s="774">
        <f t="shared" si="1"/>
        <v>100</v>
      </c>
      <c r="V15" s="773" t="s">
        <v>17</v>
      </c>
      <c r="W15" s="774">
        <f t="shared" si="2"/>
        <v>100</v>
      </c>
      <c r="X15" s="1815"/>
      <c r="Y15" s="3262" t="s">
        <v>2558</v>
      </c>
      <c r="Z15" s="1816" t="str">
        <f t="shared" si="7"/>
        <v>商业繁华度</v>
      </c>
      <c r="AA15" s="1813">
        <f t="shared" si="3"/>
        <v>1</v>
      </c>
      <c r="AB15" s="1813">
        <f t="shared" si="4"/>
        <v>1</v>
      </c>
      <c r="AC15" s="1813">
        <f t="shared" si="5"/>
        <v>1</v>
      </c>
    </row>
    <row r="16" spans="1:29" ht="15">
      <c r="A16" s="428"/>
      <c r="B16" s="446"/>
      <c r="C16" s="447" t="s">
        <v>3553</v>
      </c>
      <c r="D16" s="448"/>
      <c r="E16" s="447" t="s">
        <v>3553</v>
      </c>
      <c r="F16" s="449"/>
      <c r="G16" s="447" t="s">
        <v>3553</v>
      </c>
      <c r="H16" s="450"/>
      <c r="I16" s="447" t="s">
        <v>3553</v>
      </c>
      <c r="J16" s="448"/>
      <c r="K16" s="615"/>
      <c r="L16" s="1142"/>
      <c r="M16" s="1133"/>
      <c r="N16" s="1133"/>
      <c r="O16" s="1133"/>
      <c r="P16" s="3261"/>
      <c r="Q16" s="1812"/>
      <c r="R16" s="773"/>
      <c r="S16" s="774"/>
      <c r="T16" s="773"/>
      <c r="U16" s="774"/>
      <c r="V16" s="773"/>
      <c r="W16" s="774"/>
      <c r="X16" s="1815"/>
      <c r="Y16" s="3263"/>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2"/>
      <c r="M17" s="1133"/>
      <c r="N17" s="1133"/>
      <c r="O17" s="1133"/>
      <c r="P17" s="3261"/>
      <c r="Q17" s="1812" t="str">
        <f>B17</f>
        <v>交通便捷度</v>
      </c>
      <c r="R17" s="773" t="s">
        <v>17</v>
      </c>
      <c r="S17" s="774">
        <f>F17</f>
        <v>100</v>
      </c>
      <c r="T17" s="773" t="s">
        <v>17</v>
      </c>
      <c r="U17" s="774">
        <f>H17</f>
        <v>100</v>
      </c>
      <c r="V17" s="773" t="s">
        <v>17</v>
      </c>
      <c r="W17" s="774">
        <f>J17</f>
        <v>100</v>
      </c>
      <c r="X17" s="1815"/>
      <c r="Y17" s="3263"/>
      <c r="Z17" s="1816" t="str">
        <f>Q17</f>
        <v>交通便捷度</v>
      </c>
      <c r="AA17" s="1813">
        <f t="shared" si="3"/>
        <v>1</v>
      </c>
      <c r="AB17" s="1813">
        <f t="shared" si="4"/>
        <v>1</v>
      </c>
      <c r="AC17" s="1813">
        <f t="shared" si="5"/>
        <v>1</v>
      </c>
    </row>
    <row r="18" spans="1:29" ht="15">
      <c r="A18" s="428"/>
      <c r="B18" s="456"/>
      <c r="C18" s="2608" t="s">
        <v>3553</v>
      </c>
      <c r="D18" s="450"/>
      <c r="E18" s="2610" t="s">
        <v>3553</v>
      </c>
      <c r="F18" s="453"/>
      <c r="G18" s="2609" t="s">
        <v>3553</v>
      </c>
      <c r="H18" s="448"/>
      <c r="I18" s="2610" t="s">
        <v>3553</v>
      </c>
      <c r="J18" s="448"/>
      <c r="K18" s="615"/>
      <c r="L18" s="1142"/>
      <c r="M18" s="1133"/>
      <c r="N18" s="1133"/>
      <c r="O18" s="1133"/>
      <c r="P18" s="3261"/>
      <c r="Q18" s="1812"/>
      <c r="R18" s="773"/>
      <c r="S18" s="774"/>
      <c r="T18" s="773"/>
      <c r="U18" s="774"/>
      <c r="V18" s="773"/>
      <c r="W18" s="774"/>
      <c r="X18" s="1815"/>
      <c r="Y18" s="3263"/>
      <c r="Z18" s="1816"/>
      <c r="AA18" s="1813">
        <v>1</v>
      </c>
      <c r="AB18" s="1813">
        <v>1</v>
      </c>
      <c r="AC18" s="1813">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42"/>
      <c r="M19" s="1133"/>
      <c r="N19" s="1133"/>
      <c r="O19" s="1133"/>
      <c r="P19" s="3261"/>
      <c r="Q19" s="1812" t="str">
        <f>B19</f>
        <v>公共配套设施</v>
      </c>
      <c r="R19" s="773" t="s">
        <v>17</v>
      </c>
      <c r="S19" s="774">
        <f>F19</f>
        <v>100</v>
      </c>
      <c r="T19" s="773" t="s">
        <v>17</v>
      </c>
      <c r="U19" s="774">
        <f>H19</f>
        <v>100</v>
      </c>
      <c r="V19" s="773" t="s">
        <v>17</v>
      </c>
      <c r="W19" s="774">
        <f>J19</f>
        <v>100</v>
      </c>
      <c r="X19" s="1815"/>
      <c r="Y19" s="3263"/>
      <c r="Z19" s="1816" t="str">
        <f>Q19</f>
        <v>公共配套设施</v>
      </c>
      <c r="AA19" s="1813">
        <f t="shared" si="3"/>
        <v>1</v>
      </c>
      <c r="AB19" s="1813">
        <f t="shared" si="4"/>
        <v>1</v>
      </c>
      <c r="AC19" s="1813">
        <f t="shared" si="5"/>
        <v>1</v>
      </c>
    </row>
    <row r="20" spans="1:29" ht="15">
      <c r="A20" s="428"/>
      <c r="B20" s="456"/>
      <c r="C20" s="447" t="s">
        <v>3553</v>
      </c>
      <c r="D20" s="448"/>
      <c r="E20" s="2605" t="s">
        <v>3553</v>
      </c>
      <c r="F20" s="449"/>
      <c r="G20" s="2604" t="s">
        <v>3553</v>
      </c>
      <c r="H20" s="448"/>
      <c r="I20" s="2605" t="s">
        <v>3553</v>
      </c>
      <c r="J20" s="448"/>
      <c r="K20" s="615"/>
      <c r="L20" s="1142"/>
      <c r="M20" s="1133"/>
      <c r="N20" s="1133"/>
      <c r="O20" s="1133"/>
      <c r="P20" s="3261"/>
      <c r="Q20" s="1812"/>
      <c r="R20" s="773"/>
      <c r="S20" s="774"/>
      <c r="T20" s="773"/>
      <c r="U20" s="774"/>
      <c r="V20" s="773"/>
      <c r="W20" s="774"/>
      <c r="X20" s="1815"/>
      <c r="Y20" s="3263"/>
      <c r="Z20" s="1816"/>
      <c r="AA20" s="1813">
        <v>1</v>
      </c>
      <c r="AB20" s="1813">
        <v>1</v>
      </c>
      <c r="AC20" s="1813">
        <v>1</v>
      </c>
    </row>
    <row r="21" spans="1:29" ht="28.5">
      <c r="A21" s="428"/>
      <c r="B21" s="1386"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61"/>
      <c r="Q21" s="1812" t="str">
        <f>B21</f>
        <v>基础设施水平</v>
      </c>
      <c r="R21" s="773" t="s">
        <v>17</v>
      </c>
      <c r="S21" s="774">
        <f>F21</f>
        <v>100</v>
      </c>
      <c r="T21" s="773" t="s">
        <v>17</v>
      </c>
      <c r="U21" s="774">
        <f>H21</f>
        <v>100</v>
      </c>
      <c r="V21" s="773" t="s">
        <v>17</v>
      </c>
      <c r="W21" s="774">
        <f>J21</f>
        <v>100</v>
      </c>
      <c r="X21" s="1815"/>
      <c r="Y21" s="3263"/>
      <c r="Z21" s="1816" t="str">
        <f>Q21</f>
        <v>基础设施水平</v>
      </c>
      <c r="AA21" s="1813">
        <f t="shared" ref="AA21" si="8">D21/F21</f>
        <v>1</v>
      </c>
      <c r="AB21" s="1813">
        <f t="shared" ref="AB21" si="9">D21/H21</f>
        <v>1</v>
      </c>
      <c r="AC21" s="1813">
        <f t="shared" ref="AC21" si="10">D21/J21</f>
        <v>1</v>
      </c>
    </row>
    <row r="22" spans="1:29" ht="15">
      <c r="A22" s="428"/>
      <c r="B22" s="1386"/>
      <c r="C22" s="2608" t="s">
        <v>3079</v>
      </c>
      <c r="D22" s="448"/>
      <c r="E22" s="447" t="s">
        <v>3079</v>
      </c>
      <c r="F22" s="449"/>
      <c r="G22" s="447" t="s">
        <v>3079</v>
      </c>
      <c r="H22" s="448"/>
      <c r="I22" s="447" t="s">
        <v>3079</v>
      </c>
      <c r="J22" s="448"/>
      <c r="K22" s="1385"/>
      <c r="L22" s="1142"/>
      <c r="M22" s="1133"/>
      <c r="N22" s="1133"/>
      <c r="O22" s="1133"/>
      <c r="P22" s="3261"/>
      <c r="Q22" s="1812"/>
      <c r="R22" s="773"/>
      <c r="S22" s="774"/>
      <c r="T22" s="773"/>
      <c r="U22" s="774"/>
      <c r="V22" s="773"/>
      <c r="W22" s="774"/>
      <c r="X22" s="1815"/>
      <c r="Y22" s="3263"/>
      <c r="Z22" s="1816"/>
      <c r="AA22" s="1813">
        <v>1</v>
      </c>
      <c r="AB22" s="1813">
        <v>1</v>
      </c>
      <c r="AC22" s="1813">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42"/>
      <c r="M23" s="1133"/>
      <c r="N23" s="1133"/>
      <c r="O23" s="1133"/>
      <c r="P23" s="3261"/>
      <c r="Q23" s="1812" t="str">
        <f>B23</f>
        <v>自然及人文环境</v>
      </c>
      <c r="R23" s="773" t="s">
        <v>17</v>
      </c>
      <c r="S23" s="774">
        <f>F23</f>
        <v>100</v>
      </c>
      <c r="T23" s="773" t="s">
        <v>17</v>
      </c>
      <c r="U23" s="774">
        <f>H23</f>
        <v>100</v>
      </c>
      <c r="V23" s="773" t="s">
        <v>17</v>
      </c>
      <c r="W23" s="774">
        <f>J23</f>
        <v>100</v>
      </c>
      <c r="X23" s="1815"/>
      <c r="Y23" s="3263"/>
      <c r="Z23" s="1816" t="str">
        <f>Q23</f>
        <v>自然及人文环境</v>
      </c>
      <c r="AA23" s="1813">
        <f t="shared" si="3"/>
        <v>1</v>
      </c>
      <c r="AB23" s="1813">
        <f t="shared" si="4"/>
        <v>1</v>
      </c>
      <c r="AC23" s="1813">
        <f t="shared" si="5"/>
        <v>1</v>
      </c>
    </row>
    <row r="24" spans="1:29" ht="15">
      <c r="A24" s="428"/>
      <c r="B24" s="456"/>
      <c r="C24" s="447" t="s">
        <v>3553</v>
      </c>
      <c r="D24" s="448"/>
      <c r="E24" s="2605" t="s">
        <v>3553</v>
      </c>
      <c r="F24" s="449"/>
      <c r="G24" s="2604" t="s">
        <v>3553</v>
      </c>
      <c r="H24" s="448"/>
      <c r="I24" s="2605" t="s">
        <v>3553</v>
      </c>
      <c r="J24" s="448"/>
      <c r="K24" s="615"/>
      <c r="L24" s="1142"/>
      <c r="M24" s="1133"/>
      <c r="N24" s="1133"/>
      <c r="O24" s="1133"/>
      <c r="P24" s="3261"/>
      <c r="Q24" s="1812"/>
      <c r="R24" s="773"/>
      <c r="S24" s="774"/>
      <c r="T24" s="773"/>
      <c r="U24" s="774"/>
      <c r="V24" s="773"/>
      <c r="W24" s="774"/>
      <c r="X24" s="1815"/>
      <c r="Y24" s="3263"/>
      <c r="Z24" s="1816"/>
      <c r="AA24" s="1813">
        <v>1</v>
      </c>
      <c r="AB24" s="1813">
        <v>1</v>
      </c>
      <c r="AC24" s="1813">
        <v>1</v>
      </c>
    </row>
    <row r="25" spans="1:29" ht="15">
      <c r="A25" s="428"/>
      <c r="B25" s="422" t="s">
        <v>2654</v>
      </c>
      <c r="C25" s="616" t="s">
        <v>3082</v>
      </c>
      <c r="D25" s="435">
        <v>100</v>
      </c>
      <c r="E25" s="616" t="s">
        <v>3082</v>
      </c>
      <c r="F25" s="461">
        <f>SUMIF(86:86,E25,87:87)-SUMIF(86:86,C25,87:87)+100</f>
        <v>100</v>
      </c>
      <c r="G25" s="616" t="s">
        <v>3082</v>
      </c>
      <c r="H25" s="435">
        <f>SUMIF(86:86,G25,87:87)-SUMIF(86:86,C25,87:87)+100</f>
        <v>100</v>
      </c>
      <c r="I25" s="616" t="s">
        <v>3082</v>
      </c>
      <c r="J25" s="435">
        <f>SUMIF(86:86,I25,87:87)-SUMIF(86:86,C25,87:87)+100</f>
        <v>100</v>
      </c>
      <c r="K25" s="612">
        <v>3</v>
      </c>
      <c r="L25" s="1142"/>
      <c r="M25" s="1133"/>
      <c r="N25" s="1133"/>
      <c r="O25" s="1133"/>
      <c r="P25" s="3261"/>
      <c r="Q25" s="1812" t="str">
        <f t="shared" ref="Q25:Q46" si="11">B25</f>
        <v>临街状况</v>
      </c>
      <c r="R25" s="773" t="s">
        <v>17</v>
      </c>
      <c r="S25" s="774">
        <f>F25</f>
        <v>100</v>
      </c>
      <c r="T25" s="773" t="s">
        <v>17</v>
      </c>
      <c r="U25" s="774">
        <f>H25</f>
        <v>100</v>
      </c>
      <c r="V25" s="773" t="s">
        <v>17</v>
      </c>
      <c r="W25" s="774">
        <f>J25</f>
        <v>100</v>
      </c>
      <c r="X25" s="1815"/>
      <c r="Y25" s="3263"/>
      <c r="Z25" s="1816" t="str">
        <f>Q25</f>
        <v>临街状况</v>
      </c>
      <c r="AA25" s="1813">
        <f t="shared" si="3"/>
        <v>1</v>
      </c>
      <c r="AB25" s="1813">
        <f t="shared" si="4"/>
        <v>1</v>
      </c>
      <c r="AC25" s="1813">
        <f t="shared" si="5"/>
        <v>1</v>
      </c>
    </row>
    <row r="26" spans="1:29" ht="15">
      <c r="A26" s="428"/>
      <c r="B26" s="1388" t="s">
        <v>2655</v>
      </c>
      <c r="C26" s="2952" t="s">
        <v>3086</v>
      </c>
      <c r="D26" s="435">
        <v>100</v>
      </c>
      <c r="E26" s="2952" t="s">
        <v>3086</v>
      </c>
      <c r="F26" s="461">
        <f>SUMIF(88:88,E26,89:89)-SUMIF(88:88,C26,89:89)+100</f>
        <v>100</v>
      </c>
      <c r="G26" s="2952" t="s">
        <v>3086</v>
      </c>
      <c r="H26" s="435">
        <f>SUMIF(88:88,G26,89:89)-SUMIF(88:88,C26,89:89)+100</f>
        <v>100</v>
      </c>
      <c r="I26" s="2952" t="s">
        <v>3086</v>
      </c>
      <c r="J26" s="435">
        <f>SUMIF(88:88,I26,89:89)-SUMIF(88:88,C26,89:89)+100</f>
        <v>100</v>
      </c>
      <c r="K26" s="613"/>
      <c r="L26" s="1142"/>
      <c r="M26" s="1133"/>
      <c r="N26" s="1133"/>
      <c r="O26" s="1133"/>
      <c r="P26" s="3261"/>
      <c r="Q26" s="1812" t="str">
        <f t="shared" si="11"/>
        <v>平面位置/可视性</v>
      </c>
      <c r="R26" s="773" t="s">
        <v>17</v>
      </c>
      <c r="S26" s="774">
        <f>F26</f>
        <v>100</v>
      </c>
      <c r="T26" s="773" t="s">
        <v>17</v>
      </c>
      <c r="U26" s="774">
        <f>H26</f>
        <v>100</v>
      </c>
      <c r="V26" s="773" t="s">
        <v>17</v>
      </c>
      <c r="W26" s="774">
        <f>J26</f>
        <v>100</v>
      </c>
      <c r="X26" s="1815"/>
      <c r="Y26" s="3263"/>
      <c r="Z26" s="1816" t="str">
        <f>Q26</f>
        <v>平面位置/可视性</v>
      </c>
      <c r="AA26" s="1813">
        <f t="shared" si="3"/>
        <v>1</v>
      </c>
      <c r="AB26" s="1813">
        <f t="shared" si="4"/>
        <v>1</v>
      </c>
      <c r="AC26" s="1813">
        <f t="shared" si="5"/>
        <v>1</v>
      </c>
    </row>
    <row r="27" spans="1:29" s="117" customFormat="1" ht="15.75">
      <c r="A27" s="431"/>
      <c r="B27" s="451" t="s">
        <v>2656</v>
      </c>
      <c r="C27" s="2665" t="s">
        <v>3553</v>
      </c>
      <c r="D27" s="462">
        <v>100</v>
      </c>
      <c r="E27" s="2665" t="s">
        <v>3553</v>
      </c>
      <c r="F27" s="2958">
        <f>SUMIF(90:90,E27,91:91)-SUMIF(90:90,C27,91:91)+100</f>
        <v>100</v>
      </c>
      <c r="G27" s="2665" t="s">
        <v>3553</v>
      </c>
      <c r="H27" s="2957">
        <f>SUMIF(90:90,G27,91:91)-SUMIF(90:90,C27,91:91)+100</f>
        <v>100</v>
      </c>
      <c r="I27" s="2665" t="s">
        <v>3553</v>
      </c>
      <c r="J27" s="2957">
        <f>SUMIF(90:90,I27,91:91)-SUMIF(90:90,C27,91:91)+100</f>
        <v>100</v>
      </c>
      <c r="K27" s="2956">
        <v>1</v>
      </c>
      <c r="L27" s="1134"/>
      <c r="M27" s="1135"/>
      <c r="N27" s="1135"/>
      <c r="O27" s="1135"/>
      <c r="P27" s="3261"/>
      <c r="Q27" s="1797" t="str">
        <f t="shared" si="11"/>
        <v>人流量</v>
      </c>
      <c r="R27" s="769" t="s">
        <v>17</v>
      </c>
      <c r="S27" s="770">
        <f>F27</f>
        <v>100</v>
      </c>
      <c r="T27" s="769" t="s">
        <v>17</v>
      </c>
      <c r="U27" s="770">
        <f>H27</f>
        <v>100</v>
      </c>
      <c r="V27" s="769" t="s">
        <v>17</v>
      </c>
      <c r="W27" s="770">
        <f>J27</f>
        <v>100</v>
      </c>
      <c r="X27" s="771"/>
      <c r="Y27" s="3263"/>
      <c r="Z27" s="55" t="str">
        <f>Q27</f>
        <v>人流量</v>
      </c>
      <c r="AA27" s="1813">
        <f>D27/F27</f>
        <v>1</v>
      </c>
      <c r="AB27" s="1813">
        <f>D27/H27</f>
        <v>1</v>
      </c>
      <c r="AC27" s="1813">
        <f>D27/J27</f>
        <v>1</v>
      </c>
    </row>
    <row r="28" spans="1:29" ht="15.75" thickBot="1">
      <c r="A28" s="428"/>
      <c r="B28" s="422" t="s">
        <v>2657</v>
      </c>
      <c r="C28" s="616" t="s">
        <v>3120</v>
      </c>
      <c r="D28" s="435">
        <v>100</v>
      </c>
      <c r="E28" s="616" t="s">
        <v>3120</v>
      </c>
      <c r="F28" s="461">
        <f>SUMIF(92:92,E28,93:93)-SUMIF(92:92,C28,93:93)+100</f>
        <v>100</v>
      </c>
      <c r="G28" s="616" t="s">
        <v>3120</v>
      </c>
      <c r="H28" s="435">
        <f>SUMIF(92:92,G28,93:93)-SUMIF(92:92,C28,93:93)+100</f>
        <v>100</v>
      </c>
      <c r="I28" s="616" t="s">
        <v>3120</v>
      </c>
      <c r="J28" s="435">
        <f>SUMIF(92:92,I28,93:93)-SUMIF(92:92,C28,93:93)+100</f>
        <v>100</v>
      </c>
      <c r="K28" s="613"/>
      <c r="L28" s="1142"/>
      <c r="M28" s="1133"/>
      <c r="N28" s="1133"/>
      <c r="O28" s="1133"/>
      <c r="P28" s="3261"/>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63"/>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61"/>
      <c r="Q29" s="1812">
        <f t="shared" si="11"/>
        <v>111</v>
      </c>
      <c r="R29" s="773" t="s">
        <v>17</v>
      </c>
      <c r="S29" s="774">
        <f t="shared" si="12"/>
        <v>100</v>
      </c>
      <c r="T29" s="773" t="s">
        <v>17</v>
      </c>
      <c r="U29" s="774">
        <f t="shared" si="13"/>
        <v>100</v>
      </c>
      <c r="V29" s="773" t="s">
        <v>17</v>
      </c>
      <c r="W29" s="774">
        <f t="shared" si="14"/>
        <v>100</v>
      </c>
      <c r="X29" s="1815"/>
      <c r="Y29" s="3263"/>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61"/>
      <c r="Q30" s="1812">
        <f t="shared" si="11"/>
        <v>111</v>
      </c>
      <c r="R30" s="773" t="s">
        <v>17</v>
      </c>
      <c r="S30" s="774">
        <f t="shared" si="12"/>
        <v>100</v>
      </c>
      <c r="T30" s="773" t="s">
        <v>17</v>
      </c>
      <c r="U30" s="774">
        <f t="shared" si="13"/>
        <v>100</v>
      </c>
      <c r="V30" s="773" t="s">
        <v>17</v>
      </c>
      <c r="W30" s="774">
        <f t="shared" si="14"/>
        <v>100</v>
      </c>
      <c r="X30" s="1815"/>
      <c r="Y30" s="3263"/>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61"/>
      <c r="Q31" s="1812">
        <f t="shared" si="11"/>
        <v>111</v>
      </c>
      <c r="R31" s="773" t="s">
        <v>17</v>
      </c>
      <c r="S31" s="774">
        <f t="shared" si="12"/>
        <v>100</v>
      </c>
      <c r="T31" s="773" t="s">
        <v>17</v>
      </c>
      <c r="U31" s="774">
        <f t="shared" si="13"/>
        <v>100</v>
      </c>
      <c r="V31" s="773" t="s">
        <v>17</v>
      </c>
      <c r="W31" s="774">
        <f t="shared" si="14"/>
        <v>100</v>
      </c>
      <c r="X31" s="1815"/>
      <c r="Y31" s="3263"/>
      <c r="Z31" s="1816">
        <f t="shared" si="15"/>
        <v>111</v>
      </c>
      <c r="AA31" s="1813">
        <f t="shared" si="3"/>
        <v>1</v>
      </c>
      <c r="AB31" s="1813">
        <f t="shared" si="4"/>
        <v>1</v>
      </c>
      <c r="AC31" s="1813">
        <f t="shared" si="5"/>
        <v>1</v>
      </c>
    </row>
    <row r="32" spans="1:29" ht="15">
      <c r="A32" s="440" t="s">
        <v>2561</v>
      </c>
      <c r="B32" s="71" t="s">
        <v>2658</v>
      </c>
      <c r="C32" s="2617" t="s">
        <v>3097</v>
      </c>
      <c r="D32" s="467">
        <v>100</v>
      </c>
      <c r="E32" s="2617" t="s">
        <v>3097</v>
      </c>
      <c r="F32" s="461">
        <f>SUMIF(100:100,E32,101:101)-SUMIF(100:100,C32,101:101)+100</f>
        <v>100</v>
      </c>
      <c r="G32" s="2617" t="s">
        <v>3097</v>
      </c>
      <c r="H32" s="435">
        <f>SUMIF(100:100,G32,101:101)-SUMIF(100:100,C32,101:101)+100</f>
        <v>100</v>
      </c>
      <c r="I32" s="2617" t="s">
        <v>3097</v>
      </c>
      <c r="J32" s="467">
        <f>SUMIF(100:100,I32,101:101)-SUMIF(100:100,C32,101:101)+100</f>
        <v>100</v>
      </c>
      <c r="K32" s="612">
        <v>5</v>
      </c>
      <c r="L32" s="1142"/>
      <c r="M32" s="1133"/>
      <c r="N32" s="1133"/>
      <c r="O32" s="1133"/>
      <c r="P32" s="3264" t="s">
        <v>2563</v>
      </c>
      <c r="Q32" s="1812" t="str">
        <f t="shared" si="11"/>
        <v>商业类型</v>
      </c>
      <c r="R32" s="773" t="s">
        <v>17</v>
      </c>
      <c r="S32" s="774">
        <f t="shared" si="12"/>
        <v>100</v>
      </c>
      <c r="T32" s="773" t="s">
        <v>17</v>
      </c>
      <c r="U32" s="774">
        <f t="shared" si="13"/>
        <v>100</v>
      </c>
      <c r="V32" s="773" t="s">
        <v>17</v>
      </c>
      <c r="W32" s="774">
        <f t="shared" si="14"/>
        <v>100</v>
      </c>
      <c r="X32" s="1815"/>
      <c r="Y32" s="3267" t="s">
        <v>2563</v>
      </c>
      <c r="Z32" s="1816" t="str">
        <f t="shared" si="15"/>
        <v>商业类型</v>
      </c>
      <c r="AA32" s="1813">
        <f t="shared" si="3"/>
        <v>1</v>
      </c>
      <c r="AB32" s="1813">
        <f t="shared" si="4"/>
        <v>1</v>
      </c>
      <c r="AC32" s="1813">
        <f t="shared" si="5"/>
        <v>1</v>
      </c>
    </row>
    <row r="33" spans="1:29" s="471" customFormat="1" ht="15" hidden="1">
      <c r="A33" s="468"/>
      <c r="B33" s="422" t="s">
        <v>2564</v>
      </c>
      <c r="C33" s="469">
        <v>191290</v>
      </c>
      <c r="D33" s="136">
        <v>100</v>
      </c>
      <c r="E33" s="430">
        <v>191290</v>
      </c>
      <c r="F33" s="425">
        <f>LOOKUP(E33,103:103,104:104)-LOOKUP(C33,103:103,104:104)+100</f>
        <v>100</v>
      </c>
      <c r="G33" s="429">
        <v>191290</v>
      </c>
      <c r="H33" s="136">
        <f>LOOKUP(G33,103:103,104:104)-LOOKUP(C33,103:103,104:104)+100</f>
        <v>100</v>
      </c>
      <c r="I33" s="429">
        <v>191290</v>
      </c>
      <c r="J33" s="136">
        <f>LOOKUP(I33,103:103,104:104)-LOOKUP(C33,103:103,104:104)+100</f>
        <v>100</v>
      </c>
      <c r="K33" s="613"/>
      <c r="L33" s="1140"/>
      <c r="M33" s="1143"/>
      <c r="N33" s="1143"/>
      <c r="O33" s="1143"/>
      <c r="P33" s="3265"/>
      <c r="Q33" s="775" t="str">
        <f t="shared" si="11"/>
        <v>项目建筑规模</v>
      </c>
      <c r="R33" s="776" t="s">
        <v>17</v>
      </c>
      <c r="S33" s="777">
        <f t="shared" si="12"/>
        <v>100</v>
      </c>
      <c r="T33" s="776" t="s">
        <v>17</v>
      </c>
      <c r="U33" s="777">
        <f t="shared" si="13"/>
        <v>100</v>
      </c>
      <c r="V33" s="776" t="s">
        <v>17</v>
      </c>
      <c r="W33" s="777">
        <f t="shared" si="14"/>
        <v>100</v>
      </c>
      <c r="X33" s="778"/>
      <c r="Y33" s="3267"/>
      <c r="Z33" s="779" t="str">
        <f t="shared" si="15"/>
        <v>项目建筑规模</v>
      </c>
      <c r="AA33" s="1813">
        <f t="shared" si="3"/>
        <v>1</v>
      </c>
      <c r="AB33" s="1813">
        <f t="shared" si="4"/>
        <v>1</v>
      </c>
      <c r="AC33" s="1813">
        <f t="shared" si="5"/>
        <v>1</v>
      </c>
    </row>
    <row r="34" spans="1:29" ht="15">
      <c r="A34" s="472"/>
      <c r="B34" s="422" t="s">
        <v>2565</v>
      </c>
      <c r="C34" s="2619" t="s">
        <v>3071</v>
      </c>
      <c r="D34" s="435">
        <v>100</v>
      </c>
      <c r="E34" s="2619" t="s">
        <v>3071</v>
      </c>
      <c r="F34" s="461">
        <f>SUMIF(105:105,E34,106:106)-SUMIF(105:105,C34,106:106)+100</f>
        <v>100</v>
      </c>
      <c r="G34" s="2619" t="s">
        <v>3071</v>
      </c>
      <c r="H34" s="435">
        <f>SUMIF(105:105,G34,106:106)-SUMIF(105:105,C34,106:106)+100</f>
        <v>100</v>
      </c>
      <c r="I34" s="2619" t="s">
        <v>3071</v>
      </c>
      <c r="J34" s="435">
        <f>SUMIF(105:105,I34,106:106)-SUMIF(105:105,C34,106:106)+100</f>
        <v>100</v>
      </c>
      <c r="K34" s="612"/>
      <c r="L34" s="1142"/>
      <c r="M34" s="1133"/>
      <c r="N34" s="1133"/>
      <c r="O34" s="1133"/>
      <c r="P34" s="3265"/>
      <c r="Q34" s="1812" t="str">
        <f t="shared" si="11"/>
        <v>建筑结构</v>
      </c>
      <c r="R34" s="773" t="s">
        <v>17</v>
      </c>
      <c r="S34" s="774">
        <f t="shared" si="12"/>
        <v>100</v>
      </c>
      <c r="T34" s="773" t="s">
        <v>17</v>
      </c>
      <c r="U34" s="774">
        <f t="shared" si="13"/>
        <v>100</v>
      </c>
      <c r="V34" s="773" t="s">
        <v>17</v>
      </c>
      <c r="W34" s="774">
        <f t="shared" si="14"/>
        <v>100</v>
      </c>
      <c r="X34" s="1815"/>
      <c r="Y34" s="3267"/>
      <c r="Z34" s="1816" t="str">
        <f t="shared" si="15"/>
        <v>建筑结构</v>
      </c>
      <c r="AA34" s="1813">
        <f t="shared" si="3"/>
        <v>1</v>
      </c>
      <c r="AB34" s="1813">
        <f t="shared" si="4"/>
        <v>1</v>
      </c>
      <c r="AC34" s="1813">
        <f t="shared" si="5"/>
        <v>1</v>
      </c>
    </row>
    <row r="35" spans="1:29" ht="15">
      <c r="A35" s="472"/>
      <c r="B35" s="422" t="s">
        <v>2659</v>
      </c>
      <c r="C35" s="2613" t="s">
        <v>3104</v>
      </c>
      <c r="D35" s="435">
        <v>100</v>
      </c>
      <c r="E35" s="2613" t="s">
        <v>3104</v>
      </c>
      <c r="F35" s="461">
        <f>SUMIF(107:107,E35,108:108)-SUMIF(107:107,C35,108:108)+100</f>
        <v>100</v>
      </c>
      <c r="G35" s="2613" t="s">
        <v>3104</v>
      </c>
      <c r="H35" s="435">
        <f>SUMIF(107:107,G35,108:108)-SUMIF(107:107,C35,108:108)+100</f>
        <v>100</v>
      </c>
      <c r="I35" s="2613" t="s">
        <v>3104</v>
      </c>
      <c r="J35" s="435">
        <f>SUMIF(107:107,I35,108:108)-SUMIF(107:107,C35,108:108)+100</f>
        <v>100</v>
      </c>
      <c r="K35" s="612">
        <v>3</v>
      </c>
      <c r="L35" s="1142"/>
      <c r="M35" s="1133"/>
      <c r="N35" s="1133"/>
      <c r="O35" s="1133"/>
      <c r="P35" s="3265"/>
      <c r="Q35" s="1812" t="str">
        <f t="shared" si="11"/>
        <v>公共部分装修</v>
      </c>
      <c r="R35" s="773" t="s">
        <v>17</v>
      </c>
      <c r="S35" s="774">
        <f t="shared" si="12"/>
        <v>100</v>
      </c>
      <c r="T35" s="773" t="s">
        <v>17</v>
      </c>
      <c r="U35" s="774">
        <f t="shared" si="13"/>
        <v>100</v>
      </c>
      <c r="V35" s="773" t="s">
        <v>17</v>
      </c>
      <c r="W35" s="774">
        <f t="shared" si="14"/>
        <v>100</v>
      </c>
      <c r="X35" s="1815"/>
      <c r="Y35" s="3267"/>
      <c r="Z35" s="1816" t="str">
        <f t="shared" si="15"/>
        <v>公共部分装修</v>
      </c>
      <c r="AA35" s="1813">
        <f t="shared" si="3"/>
        <v>1</v>
      </c>
      <c r="AB35" s="1813">
        <f t="shared" si="4"/>
        <v>1</v>
      </c>
      <c r="AC35" s="1813">
        <f t="shared" si="5"/>
        <v>1</v>
      </c>
    </row>
    <row r="36" spans="1:29" ht="15">
      <c r="A36" s="472"/>
      <c r="B36" s="422" t="s">
        <v>2660</v>
      </c>
      <c r="C36" s="474">
        <f>'数据-取费表'!N6</f>
        <v>0.88</v>
      </c>
      <c r="D36" s="435">
        <v>100</v>
      </c>
      <c r="E36" s="474">
        <v>0.9</v>
      </c>
      <c r="F36" s="461">
        <f>LOOKUP(E36,110:110,111:111)-LOOKUP(C36,110:110,111:111)+100</f>
        <v>102</v>
      </c>
      <c r="G36" s="474">
        <v>0.9</v>
      </c>
      <c r="H36" s="461">
        <f>LOOKUP(G36,110:110,111:111)-LOOKUP(C36,110:110,111:111)+100</f>
        <v>102</v>
      </c>
      <c r="I36" s="474">
        <v>0.9</v>
      </c>
      <c r="J36" s="435">
        <f>LOOKUP(I36,110:110,111:111)-LOOKUP(C36,110:110,111:111)+100</f>
        <v>102</v>
      </c>
      <c r="K36" s="612">
        <v>2</v>
      </c>
      <c r="L36" s="1142"/>
      <c r="M36" s="1133"/>
      <c r="N36" s="1133"/>
      <c r="O36" s="1133"/>
      <c r="P36" s="3265"/>
      <c r="Q36" s="1812" t="str">
        <f t="shared" si="11"/>
        <v>成新度</v>
      </c>
      <c r="R36" s="773" t="s">
        <v>17</v>
      </c>
      <c r="S36" s="774">
        <f t="shared" si="12"/>
        <v>102</v>
      </c>
      <c r="T36" s="773" t="s">
        <v>17</v>
      </c>
      <c r="U36" s="774">
        <f t="shared" si="13"/>
        <v>102</v>
      </c>
      <c r="V36" s="773" t="s">
        <v>17</v>
      </c>
      <c r="W36" s="774">
        <f t="shared" si="14"/>
        <v>102</v>
      </c>
      <c r="X36" s="1815"/>
      <c r="Y36" s="3267"/>
      <c r="Z36" s="1816" t="str">
        <f t="shared" si="15"/>
        <v>成新度</v>
      </c>
      <c r="AA36" s="1813">
        <f t="shared" si="3"/>
        <v>0.98039215686274506</v>
      </c>
      <c r="AB36" s="1813">
        <f t="shared" si="4"/>
        <v>0.98039215686274506</v>
      </c>
      <c r="AC36" s="1813">
        <f t="shared" si="5"/>
        <v>0.98039215686274506</v>
      </c>
    </row>
    <row r="37" spans="1:29" s="117" customFormat="1" ht="15">
      <c r="A37" s="473"/>
      <c r="B37" s="422" t="s">
        <v>2661</v>
      </c>
      <c r="C37" s="2613" t="s">
        <v>3079</v>
      </c>
      <c r="D37" s="136">
        <v>100</v>
      </c>
      <c r="E37" s="2613" t="s">
        <v>3079</v>
      </c>
      <c r="F37" s="461">
        <f>SUMIF(112:112,E37,113:113)-SUMIF(112:112,C37,113:113)+100</f>
        <v>100</v>
      </c>
      <c r="G37" s="2613" t="s">
        <v>3079</v>
      </c>
      <c r="H37" s="435">
        <f>SUMIF(112:112,G37,113:113)-SUMIF(112:112,C37,113:113)+100</f>
        <v>100</v>
      </c>
      <c r="I37" s="2613" t="s">
        <v>3079</v>
      </c>
      <c r="J37" s="435">
        <f>SUMIF(112:112,I37,113:113)-SUMIF(112:112,C37,113:113)+100</f>
        <v>100</v>
      </c>
      <c r="K37" s="612"/>
      <c r="L37" s="1134"/>
      <c r="M37" s="1135"/>
      <c r="N37" s="1135"/>
      <c r="O37" s="1135"/>
      <c r="P37" s="3265"/>
      <c r="Q37" s="1797" t="str">
        <f t="shared" si="11"/>
        <v>市政基础设施</v>
      </c>
      <c r="R37" s="769" t="s">
        <v>17</v>
      </c>
      <c r="S37" s="770">
        <f t="shared" si="12"/>
        <v>100</v>
      </c>
      <c r="T37" s="769" t="s">
        <v>17</v>
      </c>
      <c r="U37" s="770">
        <f t="shared" si="13"/>
        <v>100</v>
      </c>
      <c r="V37" s="769" t="s">
        <v>17</v>
      </c>
      <c r="W37" s="770">
        <f t="shared" si="14"/>
        <v>100</v>
      </c>
      <c r="X37" s="771"/>
      <c r="Y37" s="3267"/>
      <c r="Z37" s="55" t="str">
        <f t="shared" si="15"/>
        <v>市政基础设施</v>
      </c>
      <c r="AA37" s="772">
        <f t="shared" si="3"/>
        <v>1</v>
      </c>
      <c r="AB37" s="772">
        <f t="shared" si="4"/>
        <v>1</v>
      </c>
      <c r="AC37" s="772">
        <f t="shared" si="5"/>
        <v>1</v>
      </c>
    </row>
    <row r="38" spans="1:29" ht="15">
      <c r="A38" s="472"/>
      <c r="B38" s="422" t="s">
        <v>2662</v>
      </c>
      <c r="C38" s="2613" t="s">
        <v>3115</v>
      </c>
      <c r="D38" s="435">
        <v>100</v>
      </c>
      <c r="E38" s="2613" t="s">
        <v>3115</v>
      </c>
      <c r="F38" s="461">
        <f>SUMIF(114:114,E38,115:115)-SUMIF(114:114,C38,115:115)+100</f>
        <v>100</v>
      </c>
      <c r="G38" s="2613" t="s">
        <v>3115</v>
      </c>
      <c r="H38" s="435">
        <f>SUMIF(114:114,G38,115:115)-SUMIF(114:114,C38,115:115)+100</f>
        <v>100</v>
      </c>
      <c r="I38" s="2613" t="s">
        <v>3115</v>
      </c>
      <c r="J38" s="435">
        <f>SUMIF(114:114,I38,115:115)-SUMIF(114:114,C38,115:115)+100</f>
        <v>100</v>
      </c>
      <c r="K38" s="612">
        <v>5</v>
      </c>
      <c r="L38" s="1142"/>
      <c r="M38" s="1133"/>
      <c r="N38" s="1133"/>
      <c r="O38" s="1133"/>
      <c r="P38" s="3265" t="s">
        <v>2563</v>
      </c>
      <c r="Q38" s="1812" t="str">
        <f t="shared" si="11"/>
        <v>业态</v>
      </c>
      <c r="R38" s="773" t="s">
        <v>17</v>
      </c>
      <c r="S38" s="774">
        <f t="shared" si="12"/>
        <v>100</v>
      </c>
      <c r="T38" s="773" t="s">
        <v>17</v>
      </c>
      <c r="U38" s="774">
        <f t="shared" si="13"/>
        <v>100</v>
      </c>
      <c r="V38" s="773" t="s">
        <v>17</v>
      </c>
      <c r="W38" s="774">
        <f t="shared" si="14"/>
        <v>100</v>
      </c>
      <c r="X38" s="1815"/>
      <c r="Y38" s="3267" t="s">
        <v>2563</v>
      </c>
      <c r="Z38" s="1816" t="str">
        <f t="shared" si="15"/>
        <v>业态</v>
      </c>
      <c r="AA38" s="1813">
        <f t="shared" si="3"/>
        <v>1</v>
      </c>
      <c r="AB38" s="1813">
        <f t="shared" si="4"/>
        <v>1</v>
      </c>
      <c r="AC38" s="1813">
        <f t="shared" si="5"/>
        <v>1</v>
      </c>
    </row>
    <row r="39" spans="1:29" ht="15">
      <c r="A39" s="472"/>
      <c r="B39" s="422" t="s">
        <v>2663</v>
      </c>
      <c r="C39" s="2613" t="s">
        <v>3117</v>
      </c>
      <c r="D39" s="435">
        <v>100</v>
      </c>
      <c r="E39" s="2613" t="s">
        <v>3117</v>
      </c>
      <c r="F39" s="461">
        <f>SUMIF(116:116,E39,117:117)-SUMIF(116:116,C39,117:117)+100</f>
        <v>100</v>
      </c>
      <c r="G39" s="2613" t="s">
        <v>3117</v>
      </c>
      <c r="H39" s="435">
        <f>SUMIF(116:116,G39,117:117)-SUMIF(116:116,C39,117:117)+100</f>
        <v>100</v>
      </c>
      <c r="I39" s="2613" t="s">
        <v>3117</v>
      </c>
      <c r="J39" s="435">
        <f>SUMIF(116:116,I39,117:117)-SUMIF(116:116,C39,117:117)+100</f>
        <v>100</v>
      </c>
      <c r="K39" s="612"/>
      <c r="L39" s="1142"/>
      <c r="M39" s="1133"/>
      <c r="N39" s="1133"/>
      <c r="O39" s="1133"/>
      <c r="P39" s="3265"/>
      <c r="Q39" s="1812" t="str">
        <f t="shared" si="11"/>
        <v>层高</v>
      </c>
      <c r="R39" s="773" t="s">
        <v>17</v>
      </c>
      <c r="S39" s="774">
        <f t="shared" si="12"/>
        <v>100</v>
      </c>
      <c r="T39" s="773" t="s">
        <v>17</v>
      </c>
      <c r="U39" s="774">
        <f t="shared" si="13"/>
        <v>100</v>
      </c>
      <c r="V39" s="773" t="s">
        <v>17</v>
      </c>
      <c r="W39" s="774">
        <f t="shared" si="14"/>
        <v>100</v>
      </c>
      <c r="X39" s="1815"/>
      <c r="Y39" s="3267"/>
      <c r="Z39" s="1816" t="str">
        <f t="shared" si="15"/>
        <v>层高</v>
      </c>
      <c r="AA39" s="1813">
        <f t="shared" si="3"/>
        <v>1</v>
      </c>
      <c r="AB39" s="1813">
        <f t="shared" si="4"/>
        <v>1</v>
      </c>
      <c r="AC39" s="1813">
        <f t="shared" si="5"/>
        <v>1</v>
      </c>
    </row>
    <row r="40" spans="1:29" ht="15">
      <c r="A40" s="472"/>
      <c r="B40" s="422" t="s">
        <v>2664</v>
      </c>
      <c r="C40" s="2953">
        <f>Sheet1!E3</f>
        <v>98.27</v>
      </c>
      <c r="D40" s="435">
        <v>100</v>
      </c>
      <c r="E40" s="617">
        <v>82</v>
      </c>
      <c r="F40" s="461">
        <f>SUMIF(118:118,E40,119:119)-SUMIF(118:118,C40,119:119)+100</f>
        <v>100</v>
      </c>
      <c r="G40" s="617">
        <v>50</v>
      </c>
      <c r="H40" s="435">
        <f>SUMIF(118:118,G40,119:119)-SUMIF(118:118,C40,119:119)+100</f>
        <v>100</v>
      </c>
      <c r="I40" s="617">
        <v>65</v>
      </c>
      <c r="J40" s="435">
        <f>SUMIF(118:118,I40,119:119)-SUMIF(118:118,C40,119:119)+100</f>
        <v>100</v>
      </c>
      <c r="K40" s="613"/>
      <c r="L40" s="1142"/>
      <c r="M40" s="1133"/>
      <c r="N40" s="1133"/>
      <c r="O40" s="1133"/>
      <c r="P40" s="3265"/>
      <c r="Q40" s="1812" t="str">
        <f t="shared" si="11"/>
        <v>单套建筑面积</v>
      </c>
      <c r="R40" s="773" t="s">
        <v>17</v>
      </c>
      <c r="S40" s="774">
        <f t="shared" si="12"/>
        <v>100</v>
      </c>
      <c r="T40" s="773" t="s">
        <v>17</v>
      </c>
      <c r="U40" s="774">
        <f t="shared" si="13"/>
        <v>100</v>
      </c>
      <c r="V40" s="773" t="s">
        <v>17</v>
      </c>
      <c r="W40" s="774">
        <f t="shared" si="14"/>
        <v>100</v>
      </c>
      <c r="X40" s="1815"/>
      <c r="Y40" s="3267"/>
      <c r="Z40" s="1816" t="str">
        <f t="shared" si="15"/>
        <v>单套建筑面积</v>
      </c>
      <c r="AA40" s="1813">
        <f t="shared" si="3"/>
        <v>1</v>
      </c>
      <c r="AB40" s="1813">
        <f t="shared" si="4"/>
        <v>1</v>
      </c>
      <c r="AC40" s="1813">
        <f t="shared" si="5"/>
        <v>1</v>
      </c>
    </row>
    <row r="41" spans="1:29" s="471" customFormat="1" ht="15">
      <c r="A41" s="468"/>
      <c r="B41" s="1814" t="s">
        <v>2665</v>
      </c>
      <c r="C41" s="616" t="s">
        <v>3078</v>
      </c>
      <c r="D41" s="435">
        <v>100</v>
      </c>
      <c r="E41" s="616" t="s">
        <v>3078</v>
      </c>
      <c r="F41" s="461">
        <f>SUMIF(120:120,E41,121:121)-SUMIF(120:120,C41,121:121)+100</f>
        <v>100</v>
      </c>
      <c r="G41" s="616" t="s">
        <v>3078</v>
      </c>
      <c r="H41" s="435">
        <f>SUMIF(120:120,G41,121:121)-SUMIF(120:120,C41,121:121)+100</f>
        <v>100</v>
      </c>
      <c r="I41" s="616" t="s">
        <v>3078</v>
      </c>
      <c r="J41" s="435">
        <f>SUMIF(120:120,I41,121:121)-SUMIF(120:120,C41,121:121)+100</f>
        <v>100</v>
      </c>
      <c r="K41" s="612">
        <v>3</v>
      </c>
      <c r="L41" s="1140"/>
      <c r="M41" s="1143"/>
      <c r="N41" s="1143"/>
      <c r="O41" s="1143"/>
      <c r="P41" s="3265"/>
      <c r="Q41" s="775" t="str">
        <f t="shared" si="11"/>
        <v>进深比</v>
      </c>
      <c r="R41" s="776" t="s">
        <v>17</v>
      </c>
      <c r="S41" s="777">
        <f t="shared" si="12"/>
        <v>100</v>
      </c>
      <c r="T41" s="776" t="s">
        <v>17</v>
      </c>
      <c r="U41" s="777">
        <f t="shared" si="13"/>
        <v>100</v>
      </c>
      <c r="V41" s="776" t="s">
        <v>17</v>
      </c>
      <c r="W41" s="777">
        <f t="shared" si="14"/>
        <v>100</v>
      </c>
      <c r="X41" s="778"/>
      <c r="Y41" s="3267"/>
      <c r="Z41" s="779" t="str">
        <f t="shared" si="15"/>
        <v>进深比</v>
      </c>
      <c r="AA41" s="1813">
        <f t="shared" si="3"/>
        <v>1</v>
      </c>
      <c r="AB41" s="1813">
        <f t="shared" si="4"/>
        <v>1</v>
      </c>
      <c r="AC41" s="1813">
        <f t="shared" si="5"/>
        <v>1</v>
      </c>
    </row>
    <row r="42" spans="1:29" ht="15">
      <c r="A42" s="472"/>
      <c r="B42" s="422" t="s">
        <v>2666</v>
      </c>
      <c r="C42" s="2613" t="s">
        <v>3106</v>
      </c>
      <c r="D42" s="435">
        <v>100</v>
      </c>
      <c r="E42" s="2613" t="s">
        <v>3106</v>
      </c>
      <c r="F42" s="461">
        <f>SUMIF(122:122,E42,123:123)-SUMIF(122:122,C42,123:123)+100</f>
        <v>100</v>
      </c>
      <c r="G42" s="2613" t="s">
        <v>3106</v>
      </c>
      <c r="H42" s="435">
        <f>SUMIF(122:122,G42,123:123)-SUMIF(122:122,C42,123:123)+100</f>
        <v>100</v>
      </c>
      <c r="I42" s="2613" t="s">
        <v>3106</v>
      </c>
      <c r="J42" s="435">
        <f>SUMIF(122:122,I42,123:123)-SUMIF(122:122,C42,123:123)+100</f>
        <v>100</v>
      </c>
      <c r="K42" s="612">
        <v>3</v>
      </c>
      <c r="L42" s="1142"/>
      <c r="M42" s="1133"/>
      <c r="N42" s="1133"/>
      <c r="O42" s="1133"/>
      <c r="P42" s="3265"/>
      <c r="Q42" s="1812" t="str">
        <f t="shared" si="11"/>
        <v>内部装修</v>
      </c>
      <c r="R42" s="773" t="s">
        <v>17</v>
      </c>
      <c r="S42" s="774">
        <f t="shared" si="12"/>
        <v>100</v>
      </c>
      <c r="T42" s="773" t="s">
        <v>17</v>
      </c>
      <c r="U42" s="774">
        <f t="shared" si="13"/>
        <v>100</v>
      </c>
      <c r="V42" s="773" t="s">
        <v>17</v>
      </c>
      <c r="W42" s="774">
        <f t="shared" si="14"/>
        <v>100</v>
      </c>
      <c r="X42" s="1815"/>
      <c r="Y42" s="3267"/>
      <c r="Z42" s="1816" t="str">
        <f t="shared" si="15"/>
        <v>内部装修</v>
      </c>
      <c r="AA42" s="1813">
        <f t="shared" si="3"/>
        <v>1</v>
      </c>
      <c r="AB42" s="1813">
        <f t="shared" si="4"/>
        <v>1</v>
      </c>
      <c r="AC42" s="1813">
        <f t="shared" si="5"/>
        <v>1</v>
      </c>
    </row>
    <row r="43" spans="1:29" ht="15.75" thickBot="1">
      <c r="A43" s="472"/>
      <c r="B43" s="422" t="s">
        <v>2574</v>
      </c>
      <c r="C43" s="2613" t="s">
        <v>3554</v>
      </c>
      <c r="D43" s="435">
        <v>100</v>
      </c>
      <c r="E43" s="2613" t="s">
        <v>3553</v>
      </c>
      <c r="F43" s="461">
        <f>SUMIF(124:124,E43,125:125)-SUMIF(124:124,C43,125:125)+100</f>
        <v>103</v>
      </c>
      <c r="G43" s="2613" t="s">
        <v>3553</v>
      </c>
      <c r="H43" s="435">
        <f>SUMIF(124:124,G43,125:125)-SUMIF(124:124,C43,125:125)+100</f>
        <v>103</v>
      </c>
      <c r="I43" s="2613" t="s">
        <v>3553</v>
      </c>
      <c r="J43" s="435">
        <f>SUMIF(124:124,I43,125:125)-SUMIF(124:124,C43,125:125)+100</f>
        <v>103</v>
      </c>
      <c r="K43" s="612">
        <v>3</v>
      </c>
      <c r="L43" s="1142"/>
      <c r="M43" s="1133"/>
      <c r="N43" s="1133"/>
      <c r="O43" s="1133"/>
      <c r="P43" s="3265"/>
      <c r="Q43" s="1812" t="str">
        <f t="shared" si="11"/>
        <v>内部装修维护情况</v>
      </c>
      <c r="R43" s="773" t="s">
        <v>17</v>
      </c>
      <c r="S43" s="774">
        <f t="shared" si="12"/>
        <v>103</v>
      </c>
      <c r="T43" s="773" t="s">
        <v>17</v>
      </c>
      <c r="U43" s="774">
        <f t="shared" si="13"/>
        <v>103</v>
      </c>
      <c r="V43" s="773" t="s">
        <v>17</v>
      </c>
      <c r="W43" s="774">
        <f t="shared" si="14"/>
        <v>103</v>
      </c>
      <c r="X43" s="1815"/>
      <c r="Y43" s="3267"/>
      <c r="Z43" s="1816" t="str">
        <f t="shared" si="15"/>
        <v>内部装修维护情况</v>
      </c>
      <c r="AA43" s="1813">
        <f t="shared" si="3"/>
        <v>0.970873786407767</v>
      </c>
      <c r="AB43" s="1813">
        <f t="shared" si="4"/>
        <v>0.970873786407767</v>
      </c>
      <c r="AC43" s="1813">
        <f t="shared" si="5"/>
        <v>0.970873786407767</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65"/>
      <c r="Q44" s="1797">
        <f t="shared" si="11"/>
        <v>111</v>
      </c>
      <c r="R44" s="769" t="s">
        <v>17</v>
      </c>
      <c r="S44" s="770">
        <f t="shared" si="12"/>
        <v>100</v>
      </c>
      <c r="T44" s="769" t="s">
        <v>17</v>
      </c>
      <c r="U44" s="770">
        <f t="shared" si="13"/>
        <v>100</v>
      </c>
      <c r="V44" s="769" t="s">
        <v>17</v>
      </c>
      <c r="W44" s="770">
        <f t="shared" si="14"/>
        <v>100</v>
      </c>
      <c r="X44" s="771"/>
      <c r="Y44" s="3267"/>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65"/>
      <c r="Q45" s="1812">
        <f t="shared" si="11"/>
        <v>111</v>
      </c>
      <c r="R45" s="773" t="s">
        <v>17</v>
      </c>
      <c r="S45" s="774">
        <f t="shared" si="12"/>
        <v>100</v>
      </c>
      <c r="T45" s="773" t="s">
        <v>17</v>
      </c>
      <c r="U45" s="774">
        <f t="shared" si="13"/>
        <v>100</v>
      </c>
      <c r="V45" s="773" t="s">
        <v>17</v>
      </c>
      <c r="W45" s="774">
        <f t="shared" si="14"/>
        <v>100</v>
      </c>
      <c r="X45" s="1815"/>
      <c r="Y45" s="3267"/>
      <c r="Z45" s="1816">
        <f t="shared" si="15"/>
        <v>111</v>
      </c>
      <c r="AA45" s="1813">
        <f t="shared" si="3"/>
        <v>1</v>
      </c>
      <c r="AB45" s="1813">
        <f t="shared" si="4"/>
        <v>1</v>
      </c>
      <c r="AC45" s="1813">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66"/>
      <c r="Q46" s="1812">
        <f t="shared" si="11"/>
        <v>111</v>
      </c>
      <c r="R46" s="773" t="s">
        <v>17</v>
      </c>
      <c r="S46" s="774">
        <f t="shared" si="12"/>
        <v>100</v>
      </c>
      <c r="T46" s="773" t="s">
        <v>17</v>
      </c>
      <c r="U46" s="774">
        <f t="shared" si="13"/>
        <v>100</v>
      </c>
      <c r="V46" s="773" t="s">
        <v>17</v>
      </c>
      <c r="W46" s="774">
        <f t="shared" si="14"/>
        <v>100</v>
      </c>
      <c r="X46" s="1815"/>
      <c r="Y46" s="3268"/>
      <c r="Z46" s="1816">
        <f t="shared" si="15"/>
        <v>111</v>
      </c>
      <c r="AA46" s="1813">
        <f t="shared" si="3"/>
        <v>1</v>
      </c>
      <c r="AB46" s="1813">
        <f t="shared" si="4"/>
        <v>1</v>
      </c>
      <c r="AC46" s="1813">
        <f t="shared" si="5"/>
        <v>1</v>
      </c>
    </row>
    <row r="47" spans="1:29" ht="15">
      <c r="A47" s="479" t="s">
        <v>2575</v>
      </c>
      <c r="B47" s="480"/>
      <c r="C47" s="1409" t="s">
        <v>1</v>
      </c>
      <c r="D47" s="1410"/>
      <c r="E47" s="1411">
        <f>ROUND(30500*0.95,0)</f>
        <v>28975</v>
      </c>
      <c r="F47" s="1412"/>
      <c r="G47" s="1413">
        <f>ROUND(35000*0.97,0)</f>
        <v>33950</v>
      </c>
      <c r="H47" s="1414"/>
      <c r="I47" s="1411">
        <f>ROUND(33000*0.97,0)</f>
        <v>32010</v>
      </c>
      <c r="J47" s="1414"/>
      <c r="K47" s="782"/>
      <c r="L47" s="1145"/>
      <c r="M47" s="1146"/>
      <c r="N47" s="1133"/>
      <c r="O47" s="1146"/>
      <c r="P47" s="3255" t="str">
        <f>A47</f>
        <v>成交单价（元/平方米）</v>
      </c>
      <c r="Q47" s="3255"/>
      <c r="R47" s="3269">
        <f>E47</f>
        <v>28975</v>
      </c>
      <c r="S47" s="3269"/>
      <c r="T47" s="3269">
        <f>G47</f>
        <v>33950</v>
      </c>
      <c r="U47" s="3269"/>
      <c r="V47" s="3269">
        <f>I47</f>
        <v>32010</v>
      </c>
      <c r="W47" s="3269"/>
      <c r="X47" s="758"/>
      <c r="Y47" s="780"/>
      <c r="Z47" s="758"/>
      <c r="AA47" s="758"/>
      <c r="AB47" s="758"/>
      <c r="AC47" s="758"/>
    </row>
    <row r="48" spans="1:29" ht="15.75" thickBot="1">
      <c r="A48" s="486" t="s">
        <v>2667</v>
      </c>
      <c r="B48" s="487"/>
      <c r="C48" s="1415">
        <f>R49</f>
        <v>30121</v>
      </c>
      <c r="D48" s="1416"/>
      <c r="E48" s="1417">
        <f>R48</f>
        <v>27579</v>
      </c>
      <c r="F48" s="1417"/>
      <c r="G48" s="1415">
        <f>T48</f>
        <v>32315</v>
      </c>
      <c r="H48" s="1416"/>
      <c r="I48" s="1417">
        <f>V48</f>
        <v>30468</v>
      </c>
      <c r="J48" s="1416"/>
      <c r="K48" s="783"/>
      <c r="L48" s="1145"/>
      <c r="M48" s="1146"/>
      <c r="N48" s="1133"/>
      <c r="O48" s="1146"/>
      <c r="P48" s="3255" t="str">
        <f>A48</f>
        <v>比较价值（元/平方米）</v>
      </c>
      <c r="Q48" s="3255"/>
      <c r="R48" s="3256">
        <f>IF(F1="售价",ROUND(PRODUCT(R47,AA7:AA46),0),ROUND(PRODUCT(R47,AA7:AA46),1))</f>
        <v>27579</v>
      </c>
      <c r="S48" s="3256"/>
      <c r="T48" s="3256">
        <f>IF(F1="售价",ROUND(PRODUCT(T47,AB7:AB46),0),ROUND(PRODUCT(T47,AB7:AB46),1))</f>
        <v>32315</v>
      </c>
      <c r="U48" s="3256"/>
      <c r="V48" s="3256">
        <f>IF(F1="售价",ROUND(PRODUCT(V47,AC7:AC46),0),ROUND(PRODUCT(V47,AC7:AC46),1))</f>
        <v>30468</v>
      </c>
      <c r="W48" s="3256"/>
      <c r="X48" s="758"/>
      <c r="Y48" s="758"/>
      <c r="Z48" s="758"/>
      <c r="AA48" s="758"/>
      <c r="AB48" s="758"/>
      <c r="AC48" s="758"/>
    </row>
    <row r="49" spans="1:29" ht="15.75" thickBot="1">
      <c r="A49" s="492" t="s">
        <v>2668</v>
      </c>
      <c r="B49" s="493"/>
      <c r="C49" s="1419">
        <f>R49</f>
        <v>30121</v>
      </c>
      <c r="D49" s="1419"/>
      <c r="E49" s="1419"/>
      <c r="F49" s="1419"/>
      <c r="G49" s="1419"/>
      <c r="H49" s="1419"/>
      <c r="I49" s="1419"/>
      <c r="J49" s="1419"/>
      <c r="K49" s="784"/>
      <c r="L49" s="1145"/>
      <c r="M49" s="1146"/>
      <c r="N49" s="1133"/>
      <c r="O49" s="1146"/>
      <c r="P49" s="3257" t="str">
        <f>A49</f>
        <v>估价对象XX用房的比较价值（楼面单价，元/平方米）</v>
      </c>
      <c r="Q49" s="3258"/>
      <c r="R49" s="3259">
        <f>IF(F1="售价",ROUND(AVERAGE(R48:V48),0),ROUND(AVERAGE(R48:V48),1))</f>
        <v>30121</v>
      </c>
      <c r="S49" s="3259"/>
      <c r="T49" s="3259"/>
      <c r="U49" s="3259"/>
      <c r="V49" s="3259"/>
      <c r="W49" s="325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5.0618224011022894E-2</v>
      </c>
      <c r="F52" s="500" t="str">
        <f>IF(OR(E52&gt;=0.3,E52&lt;=-0.3),"超过30%","")</f>
        <v/>
      </c>
      <c r="G52" s="499">
        <f>IF(G47&lt;G48,G48/G47-1,G47/G48-1)</f>
        <v>5.0595698591985094E-2</v>
      </c>
      <c r="H52" s="500" t="str">
        <f>IF(OR(G52&gt;=0.3,G52&lt;=-0.3),"超过30%","")</f>
        <v/>
      </c>
      <c r="I52" s="499">
        <f>IF(I47&lt;I48,I48/I47-1,I47/I48-1)</f>
        <v>5.0610476565577045E-2</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0.17172486312049018</v>
      </c>
      <c r="F53" s="500" t="str">
        <f>IF(OR(E53&gt;=0.2,E53&lt;=-0.2),"超过20%","")</f>
        <v/>
      </c>
      <c r="G53" s="499">
        <f>IF(G48&lt;I48,I48/G48-1,G48/I48-1)</f>
        <v>6.062097938821065E-2</v>
      </c>
      <c r="H53" s="500" t="str">
        <f>IF(OR(G53&gt;=0.2,G53&lt;=-0.2),"超过20%","")</f>
        <v/>
      </c>
      <c r="I53" s="499">
        <f>IF(I48&lt;E48,E48/I48-1,I48/E48-1)</f>
        <v>0.10475361688241058</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0.17169974115616915</v>
      </c>
      <c r="F54" s="500" t="str">
        <f>IF(OR(E54&gt;=0.3,E54&lt;=-0.3),"超过30%","")</f>
        <v/>
      </c>
      <c r="G54" s="499">
        <f>IF(G47&lt;I47,I47/G47-1,G47/I47-1)</f>
        <v>6.0606060606060552E-2</v>
      </c>
      <c r="H54" s="500" t="str">
        <f>IF(OR(G54&gt;=0.3,G54&lt;=-0.3),"超过30%","")</f>
        <v/>
      </c>
      <c r="I54" s="499">
        <f>IF(I47&lt;E47,E47/I47-1,I47/E47-1)</f>
        <v>0.10474547023295955</v>
      </c>
      <c r="J54" s="500" t="str">
        <f>IF(OR(I54&gt;=0.3,I54&lt;=-0.3),"超过30%","")</f>
        <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2546</v>
      </c>
      <c r="B58" s="506"/>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2556</v>
      </c>
      <c r="C67" s="547" t="str">
        <f>C68&amp;"（含）"&amp;"-"&amp;D68</f>
        <v>0（含）-2</v>
      </c>
      <c r="D67" s="547" t="str">
        <f t="shared" ref="D67:L67" si="17">D68&amp;"（含）"&amp;"-"&amp;E68</f>
        <v>2（含）-4</v>
      </c>
      <c r="E67" s="547" t="str">
        <f t="shared" si="17"/>
        <v>4（含）-6</v>
      </c>
      <c r="F67" s="547" t="str">
        <f t="shared" si="17"/>
        <v>6（含）-8</v>
      </c>
      <c r="G67" s="547" t="str">
        <f t="shared" si="17"/>
        <v>8（含）-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2</v>
      </c>
      <c r="E68" s="549">
        <v>4</v>
      </c>
      <c r="F68" s="549">
        <v>6</v>
      </c>
      <c r="G68" s="549">
        <v>8</v>
      </c>
      <c r="H68" s="549"/>
      <c r="I68" s="549"/>
      <c r="J68" s="549"/>
      <c r="K68" s="550"/>
      <c r="L68" s="551"/>
      <c r="M68" s="552"/>
      <c r="N68" s="1154"/>
      <c r="O68" s="1154"/>
      <c r="P68" s="2630"/>
      <c r="Q68" s="504"/>
    </row>
    <row r="69" spans="1:17" ht="15.75" thickBot="1">
      <c r="A69" s="534"/>
      <c r="B69" s="535"/>
      <c r="C69" s="544">
        <v>100</v>
      </c>
      <c r="D69" s="544">
        <f t="shared" ref="D69:M69" si="18">C69-$K11</f>
        <v>95</v>
      </c>
      <c r="E69" s="544">
        <f t="shared" si="18"/>
        <v>90</v>
      </c>
      <c r="F69" s="544">
        <f t="shared" si="18"/>
        <v>85</v>
      </c>
      <c r="G69" s="544">
        <f t="shared" si="18"/>
        <v>80</v>
      </c>
      <c r="H69" s="544">
        <f t="shared" si="18"/>
        <v>75</v>
      </c>
      <c r="I69" s="544">
        <f t="shared" si="18"/>
        <v>70</v>
      </c>
      <c r="J69" s="544">
        <f t="shared" si="18"/>
        <v>65</v>
      </c>
      <c r="K69" s="544">
        <f t="shared" si="18"/>
        <v>60</v>
      </c>
      <c r="L69" s="544">
        <f t="shared" si="18"/>
        <v>55</v>
      </c>
      <c r="M69" s="545">
        <f t="shared" si="18"/>
        <v>50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5"/>
      <c r="O81" s="1155"/>
      <c r="P81" s="2630"/>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5"/>
      <c r="O85" s="1155"/>
      <c r="P85" s="2630"/>
      <c r="Q85" s="504"/>
    </row>
    <row r="86" spans="1:17" s="117" customFormat="1" ht="15.75" thickTop="1">
      <c r="A86" s="579"/>
      <c r="B86" s="538" t="s">
        <v>2678</v>
      </c>
      <c r="C86" s="2948" t="s">
        <v>3080</v>
      </c>
      <c r="D86" s="2948" t="s">
        <v>3081</v>
      </c>
      <c r="E86" s="2948" t="s">
        <v>3083</v>
      </c>
      <c r="F86" s="2948" t="s">
        <v>3084</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0"/>
      <c r="Q87" s="504"/>
    </row>
    <row r="88" spans="1:17" s="117" customFormat="1" ht="15.75" thickTop="1">
      <c r="A88" s="579"/>
      <c r="B88" s="538" t="str">
        <f>B26</f>
        <v>平面位置/可视性</v>
      </c>
      <c r="C88" s="2948" t="s">
        <v>3085</v>
      </c>
      <c r="D88" s="2948" t="s">
        <v>3086</v>
      </c>
      <c r="E88" s="2948" t="s">
        <v>3087</v>
      </c>
      <c r="F88" s="2949" t="s">
        <v>3088</v>
      </c>
      <c r="G88" s="2948" t="s">
        <v>3089</v>
      </c>
      <c r="H88" s="554"/>
      <c r="I88" s="554"/>
      <c r="J88" s="554"/>
      <c r="K88" s="554"/>
      <c r="L88" s="554"/>
      <c r="M88" s="581"/>
      <c r="N88" s="1153"/>
      <c r="O88" s="1153"/>
      <c r="P88" s="2630"/>
      <c r="Q88" s="504"/>
    </row>
    <row r="89" spans="1:17" s="117" customFormat="1" ht="15.75" thickBot="1">
      <c r="A89" s="579"/>
      <c r="B89" s="543"/>
      <c r="C89" s="560">
        <v>100</v>
      </c>
      <c r="D89" s="536">
        <v>97</v>
      </c>
      <c r="E89" s="536">
        <v>94</v>
      </c>
      <c r="F89" s="536">
        <v>91</v>
      </c>
      <c r="G89" s="536">
        <v>88</v>
      </c>
      <c r="H89" s="536"/>
      <c r="I89" s="536"/>
      <c r="J89" s="536"/>
      <c r="K89" s="536"/>
      <c r="L89" s="536"/>
      <c r="M89" s="536"/>
      <c r="N89" s="1155"/>
      <c r="O89" s="1155"/>
      <c r="P89" s="2630"/>
      <c r="Q89" s="504"/>
    </row>
    <row r="90" spans="1:17" s="471" customFormat="1" ht="15.75" thickTop="1">
      <c r="A90" s="553"/>
      <c r="B90" s="538" t="str">
        <f>B27</f>
        <v>人流量</v>
      </c>
      <c r="C90" s="2948" t="s">
        <v>3085</v>
      </c>
      <c r="D90" s="2948" t="s">
        <v>3086</v>
      </c>
      <c r="E90" s="2948" t="s">
        <v>3087</v>
      </c>
      <c r="F90" s="2949" t="s">
        <v>3088</v>
      </c>
      <c r="G90" s="2948" t="s">
        <v>3089</v>
      </c>
      <c r="H90" s="555"/>
      <c r="I90" s="555"/>
      <c r="J90" s="555"/>
      <c r="K90" s="555"/>
      <c r="L90" s="556"/>
      <c r="M90" s="557"/>
      <c r="N90" s="1156"/>
      <c r="O90" s="1156"/>
      <c r="P90" s="2631"/>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31"/>
      <c r="Q91" s="559"/>
    </row>
    <row r="92" spans="1:17" ht="15.75" thickTop="1">
      <c r="A92" s="534"/>
      <c r="B92" s="538" t="str">
        <f>B28</f>
        <v>楼层</v>
      </c>
      <c r="C92" s="554" t="s">
        <v>3090</v>
      </c>
      <c r="D92" s="554" t="s">
        <v>3092</v>
      </c>
      <c r="E92" s="554" t="s">
        <v>3091</v>
      </c>
      <c r="F92" s="554" t="s">
        <v>3093</v>
      </c>
      <c r="G92" s="554"/>
      <c r="H92" s="554"/>
      <c r="I92" s="554"/>
      <c r="J92" s="554"/>
      <c r="K92" s="554"/>
      <c r="L92" s="580"/>
      <c r="M92" s="581"/>
      <c r="N92" s="1154"/>
      <c r="O92" s="1154"/>
      <c r="P92" s="2630"/>
      <c r="Q92" s="504"/>
    </row>
    <row r="93" spans="1:17" ht="15.75" thickBot="1">
      <c r="A93" s="534"/>
      <c r="B93" s="543"/>
      <c r="C93" s="536">
        <v>100</v>
      </c>
      <c r="D93" s="536">
        <v>85</v>
      </c>
      <c r="E93" s="536">
        <v>60</v>
      </c>
      <c r="F93" s="536">
        <v>50</v>
      </c>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111</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15" thickTop="1">
      <c r="A100" s="527" t="s">
        <v>2561</v>
      </c>
      <c r="B100" s="528" t="s">
        <v>2679</v>
      </c>
      <c r="C100" s="2950" t="s">
        <v>3094</v>
      </c>
      <c r="D100" s="2950" t="s">
        <v>3095</v>
      </c>
      <c r="E100" s="2950" t="s">
        <v>3096</v>
      </c>
      <c r="F100" s="2950" t="s">
        <v>3098</v>
      </c>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5"/>
      <c r="O101" s="1155"/>
      <c r="P101" s="2630"/>
      <c r="Q101" s="504"/>
    </row>
    <row r="102" spans="1:17" ht="29.25" thickTop="1">
      <c r="A102" s="534"/>
      <c r="B102" s="538" t="s">
        <v>2611</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1" t="str">
        <f>M103&amp;"(含)"&amp;"-"&amp;P103</f>
        <v>(含)-</v>
      </c>
      <c r="N102" s="1153"/>
      <c r="O102" s="1153"/>
      <c r="P102" s="263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6"/>
      <c r="O103" s="1156"/>
      <c r="P103" s="2631"/>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7"/>
      <c r="N104" s="1155"/>
      <c r="O104" s="1155"/>
      <c r="P104" s="2631"/>
      <c r="Q104" s="559"/>
    </row>
    <row r="105" spans="1:17" ht="15" thickTop="1">
      <c r="A105" s="599"/>
      <c r="B105" s="538" t="s">
        <v>2612</v>
      </c>
      <c r="C105" s="2948" t="s">
        <v>3099</v>
      </c>
      <c r="D105" s="2948" t="s">
        <v>3100</v>
      </c>
      <c r="E105" s="2951" t="s">
        <v>3101</v>
      </c>
      <c r="F105" s="2951" t="s">
        <v>3102</v>
      </c>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2614</v>
      </c>
      <c r="C107" s="2948" t="s">
        <v>3103</v>
      </c>
      <c r="D107" s="2948" t="s">
        <v>3105</v>
      </c>
      <c r="E107" s="2948" t="s">
        <v>3107</v>
      </c>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97</v>
      </c>
      <c r="E108" s="544">
        <f t="shared" si="25"/>
        <v>94</v>
      </c>
      <c r="F108" s="544">
        <f t="shared" si="25"/>
        <v>91</v>
      </c>
      <c r="G108" s="544">
        <f t="shared" si="25"/>
        <v>88</v>
      </c>
      <c r="H108" s="544">
        <f t="shared" si="25"/>
        <v>85</v>
      </c>
      <c r="I108" s="544">
        <f t="shared" si="25"/>
        <v>82</v>
      </c>
      <c r="J108" s="544">
        <f t="shared" si="25"/>
        <v>79</v>
      </c>
      <c r="K108" s="544">
        <f t="shared" si="25"/>
        <v>76</v>
      </c>
      <c r="L108" s="544">
        <f t="shared" si="25"/>
        <v>73</v>
      </c>
      <c r="M108" s="545">
        <f t="shared" si="25"/>
        <v>70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0"/>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0"/>
      <c r="Q111" s="504"/>
    </row>
    <row r="112" spans="1:17" s="471" customFormat="1" ht="15" thickTop="1">
      <c r="A112" s="593"/>
      <c r="B112" s="538" t="s">
        <v>2616</v>
      </c>
      <c r="C112" s="2948" t="s">
        <v>3112</v>
      </c>
      <c r="D112" s="2948" t="s">
        <v>3108</v>
      </c>
      <c r="E112" s="2948" t="s">
        <v>3109</v>
      </c>
      <c r="F112" s="2948" t="s">
        <v>3110</v>
      </c>
      <c r="G112" s="2948" t="s">
        <v>3111</v>
      </c>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2680</v>
      </c>
      <c r="C114" s="2948" t="s">
        <v>3113</v>
      </c>
      <c r="D114" s="2948" t="s">
        <v>3114</v>
      </c>
      <c r="E114" s="2951" t="s">
        <v>3116</v>
      </c>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5"/>
      <c r="O115" s="1155"/>
      <c r="P115" s="2630"/>
      <c r="Q115" s="504"/>
    </row>
    <row r="116" spans="1:17" ht="15" thickTop="1">
      <c r="A116" s="599"/>
      <c r="B116" s="538" t="s">
        <v>2681</v>
      </c>
      <c r="C116" s="2948" t="s">
        <v>3118</v>
      </c>
      <c r="D116" s="2948" t="s">
        <v>3119</v>
      </c>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2682</v>
      </c>
      <c r="C118" s="626">
        <f>Sheet1!E3</f>
        <v>98.27</v>
      </c>
      <c r="D118" s="626">
        <v>82</v>
      </c>
      <c r="E118" s="626">
        <v>50</v>
      </c>
      <c r="F118" s="626">
        <v>65</v>
      </c>
      <c r="G118" s="626"/>
      <c r="H118" s="555"/>
      <c r="I118" s="555"/>
      <c r="J118" s="555"/>
      <c r="K118" s="555"/>
      <c r="L118" s="556"/>
      <c r="M118" s="557"/>
      <c r="N118" s="1154"/>
      <c r="O118" s="1154"/>
      <c r="P118" s="2630"/>
      <c r="Q118" s="504"/>
    </row>
    <row r="119" spans="1:17" ht="15.75" thickBot="1">
      <c r="A119" s="534"/>
      <c r="B119" s="543"/>
      <c r="C119" s="560">
        <v>100</v>
      </c>
      <c r="D119" s="536">
        <v>100</v>
      </c>
      <c r="E119" s="536">
        <v>100</v>
      </c>
      <c r="F119" s="536">
        <v>100</v>
      </c>
      <c r="G119" s="536"/>
      <c r="H119" s="536"/>
      <c r="I119" s="536"/>
      <c r="J119" s="536"/>
      <c r="K119" s="536"/>
      <c r="L119" s="536"/>
      <c r="M119" s="537"/>
      <c r="N119" s="1155"/>
      <c r="O119" s="1155"/>
      <c r="P119" s="2630"/>
      <c r="Q119" s="504"/>
    </row>
    <row r="120" spans="1:17" s="471" customFormat="1" ht="15" thickTop="1">
      <c r="A120" s="593"/>
      <c r="B120" s="538" t="s">
        <v>2683</v>
      </c>
      <c r="C120" s="2948" t="s">
        <v>3085</v>
      </c>
      <c r="D120" s="2948" t="s">
        <v>3086</v>
      </c>
      <c r="E120" s="2948" t="s">
        <v>3087</v>
      </c>
      <c r="F120" s="2949" t="s">
        <v>3088</v>
      </c>
      <c r="G120" s="2948" t="s">
        <v>3089</v>
      </c>
      <c r="H120" s="555"/>
      <c r="I120" s="555"/>
      <c r="J120" s="555"/>
      <c r="K120" s="555"/>
      <c r="L120" s="556"/>
      <c r="M120" s="557"/>
      <c r="N120" s="1156"/>
      <c r="O120" s="1156"/>
      <c r="P120" s="2631"/>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6"/>
      <c r="O121" s="1156"/>
      <c r="P121" s="2631"/>
      <c r="Q121" s="559"/>
    </row>
    <row r="122" spans="1:17" ht="15" thickTop="1">
      <c r="A122" s="599"/>
      <c r="B122" s="538" t="s">
        <v>2618</v>
      </c>
      <c r="C122" s="2948" t="s">
        <v>3103</v>
      </c>
      <c r="D122" s="2948" t="s">
        <v>3105</v>
      </c>
      <c r="E122" s="2948" t="s">
        <v>3107</v>
      </c>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5"/>
      <c r="O125" s="1155"/>
      <c r="P125" s="2630"/>
      <c r="Q125" s="504"/>
    </row>
    <row r="126" spans="1:17" s="471" customFormat="1" ht="15" hidden="1"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1"/>
      <c r="Q127" s="559"/>
    </row>
    <row r="128" spans="1:17" ht="15" hidden="1" thickTop="1">
      <c r="A128" s="599"/>
      <c r="B128" s="538">
        <f>B45</f>
        <v>111</v>
      </c>
      <c r="C128" s="554"/>
      <c r="D128" s="554"/>
      <c r="E128" s="554"/>
      <c r="F128" s="554"/>
      <c r="G128" s="583"/>
      <c r="H128" s="583"/>
      <c r="I128" s="583"/>
      <c r="J128" s="583"/>
      <c r="K128" s="584"/>
      <c r="L128" s="585"/>
      <c r="M128" s="586"/>
      <c r="N128" s="1154"/>
      <c r="O128" s="1154"/>
      <c r="P128" s="2630"/>
      <c r="Q128" s="504"/>
    </row>
    <row r="129" spans="1:17" ht="15.75" hidden="1" thickBot="1">
      <c r="A129" s="534"/>
      <c r="B129" s="543"/>
      <c r="C129" s="560"/>
      <c r="D129" s="536"/>
      <c r="E129" s="536"/>
      <c r="F129" s="536"/>
      <c r="G129" s="536"/>
      <c r="H129" s="536"/>
      <c r="I129" s="536"/>
      <c r="J129" s="536"/>
      <c r="K129" s="536"/>
      <c r="L129" s="536"/>
      <c r="M129" s="537"/>
      <c r="N129" s="1155"/>
      <c r="O129" s="1155"/>
      <c r="P129" s="2630"/>
      <c r="Q129" s="504"/>
    </row>
    <row r="130" spans="1:17" ht="15" hidden="1" thickTop="1">
      <c r="A130" s="599"/>
      <c r="B130" s="546">
        <f>B46</f>
        <v>111</v>
      </c>
      <c r="C130" s="554"/>
      <c r="D130" s="554"/>
      <c r="E130" s="554"/>
      <c r="F130" s="554"/>
      <c r="G130" s="587"/>
      <c r="H130" s="587"/>
      <c r="I130" s="587"/>
      <c r="J130" s="587"/>
      <c r="K130" s="523"/>
      <c r="L130" s="524"/>
      <c r="M130" s="590"/>
      <c r="N130" s="1154"/>
      <c r="O130" s="1154"/>
      <c r="P130" s="2630"/>
      <c r="Q130" s="504"/>
    </row>
    <row r="131" spans="1:17" ht="15.75" hidden="1" thickBot="1">
      <c r="A131" s="2636"/>
      <c r="B131" s="569"/>
      <c r="C131" s="570"/>
      <c r="D131" s="570"/>
      <c r="E131" s="570"/>
      <c r="F131" s="570"/>
      <c r="G131" s="591"/>
      <c r="H131" s="591"/>
      <c r="I131" s="591"/>
      <c r="J131" s="591"/>
      <c r="K131" s="591"/>
      <c r="L131" s="591"/>
      <c r="M131" s="592"/>
      <c r="N131" s="1155"/>
      <c r="O131" s="1155"/>
      <c r="P131" s="2630"/>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00B0F0"/>
  </sheetPr>
  <dimension ref="A1:AK83"/>
  <sheetViews>
    <sheetView zoomScale="90" zoomScaleNormal="90" zoomScaleSheetLayoutView="90" workbookViewId="0">
      <selection activeCell="G12" sqref="G1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3066</v>
      </c>
      <c r="D1" s="1822" t="s">
        <v>70</v>
      </c>
      <c r="E1" s="1823" t="s">
        <v>1387</v>
      </c>
      <c r="F1" s="1285">
        <f ca="1">J53</f>
        <v>40</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242</v>
      </c>
      <c r="C2" s="1847" t="s">
        <v>1516</v>
      </c>
      <c r="D2" s="1847"/>
      <c r="E2" s="1848"/>
      <c r="F2" s="1849"/>
      <c r="G2" s="1850"/>
      <c r="H2" s="1842"/>
      <c r="I2" s="1842"/>
      <c r="J2" s="1842"/>
      <c r="K2" s="1843"/>
      <c r="L2" s="1842"/>
      <c r="M2" s="1842"/>
    </row>
    <row r="3" spans="1:37" ht="18" customHeight="1" thickBot="1">
      <c r="A3" s="1851" t="s">
        <v>1517</v>
      </c>
      <c r="B3" s="1852">
        <f ca="1">IF(ISERROR(B2*10000/F43),0,ROUND(B2*10000/F43,0))</f>
        <v>24626</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12</v>
      </c>
      <c r="D5" s="1824" t="s">
        <v>1402</v>
      </c>
      <c r="E5" s="1295"/>
      <c r="F5" s="1296"/>
      <c r="G5" s="1853"/>
      <c r="H5" s="344">
        <v>1</v>
      </c>
      <c r="I5" s="345" t="s">
        <v>1401</v>
      </c>
      <c r="J5" s="1294">
        <f ca="1">J6+J10+J12</f>
        <v>0</v>
      </c>
      <c r="K5" s="1824" t="s">
        <v>1402</v>
      </c>
      <c r="L5" s="1295"/>
      <c r="M5" s="1296"/>
    </row>
    <row r="6" spans="1:37" ht="18" customHeight="1">
      <c r="A6" s="1293" t="s">
        <v>1035</v>
      </c>
      <c r="B6" s="3304" t="s">
        <v>1403</v>
      </c>
      <c r="C6" s="1298">
        <f ca="1">ROUND(F6*F8*F7*(1-F9)/10000,0)</f>
        <v>12</v>
      </c>
      <c r="D6" s="164" t="s">
        <v>3029</v>
      </c>
      <c r="E6" s="347" t="s">
        <v>1405</v>
      </c>
      <c r="F6" s="348">
        <f ca="1">INDIRECT("'数据-取费表'!u"&amp;$G$1)</f>
        <v>4.5</v>
      </c>
      <c r="G6" s="1853"/>
      <c r="H6" s="1293" t="s">
        <v>1035</v>
      </c>
      <c r="I6" s="3304" t="s">
        <v>1403</v>
      </c>
      <c r="J6" s="346">
        <f ca="1">ROUND(M6*M8*M7*(1-M9)/10000,0)</f>
        <v>0</v>
      </c>
      <c r="K6" s="164" t="s">
        <v>3028</v>
      </c>
      <c r="L6" s="347" t="s">
        <v>1405</v>
      </c>
      <c r="M6" s="348">
        <f ca="1">INDIRECT("'数据-取费表'!z"&amp;$G$1)</f>
        <v>0</v>
      </c>
    </row>
    <row r="7" spans="1:37" ht="18" customHeight="1">
      <c r="A7" s="1297"/>
      <c r="B7" s="3305"/>
      <c r="C7" s="1299"/>
      <c r="D7" s="352"/>
      <c r="E7" s="1300" t="s">
        <v>1406</v>
      </c>
      <c r="F7" s="348">
        <f ca="1">IF(INDIRECT("'数据-取费表'!ah"&amp;$G$1)="",INDIRECT("'数据-取费表'!k"&amp;$G$1),INDIRECT("'数据-取费表'!ah"&amp;$G$1))</f>
        <v>98.27</v>
      </c>
      <c r="G7" s="1853"/>
      <c r="H7" s="349"/>
      <c r="I7" s="3305"/>
      <c r="J7" s="351"/>
      <c r="K7" s="352"/>
      <c r="L7" s="347" t="s">
        <v>1406</v>
      </c>
      <c r="M7" s="348">
        <f ca="1">F7</f>
        <v>98.27</v>
      </c>
    </row>
    <row r="8" spans="1:37" ht="18" customHeight="1">
      <c r="A8" s="349"/>
      <c r="B8" s="3305"/>
      <c r="C8" s="351"/>
      <c r="D8" s="352"/>
      <c r="E8" s="347" t="s">
        <v>1407</v>
      </c>
      <c r="F8" s="348">
        <f ca="1">INDIRECT("'数据-取费表'!ai"&amp;$G$1)</f>
        <v>365</v>
      </c>
      <c r="G8" s="1853"/>
      <c r="H8" s="349"/>
      <c r="I8" s="3305"/>
      <c r="J8" s="351"/>
      <c r="K8" s="352"/>
      <c r="L8" s="347" t="s">
        <v>1407</v>
      </c>
      <c r="M8" s="348">
        <f ca="1">INDIRECT("'数据-取费表'!ai"&amp;$G$1)</f>
        <v>365</v>
      </c>
    </row>
    <row r="9" spans="1:37" ht="18" customHeight="1">
      <c r="A9" s="349"/>
      <c r="B9" s="3306"/>
      <c r="C9" s="351"/>
      <c r="D9" s="352"/>
      <c r="E9" s="347" t="s">
        <v>1408</v>
      </c>
      <c r="F9" s="357">
        <f ca="1">INDIRECT("'数据-取费表'!w"&amp;$G$1)</f>
        <v>0.25</v>
      </c>
      <c r="G9" s="1853"/>
      <c r="H9" s="349"/>
      <c r="I9" s="3306"/>
      <c r="J9" s="351"/>
      <c r="K9" s="352"/>
      <c r="L9" s="358" t="s">
        <v>1408</v>
      </c>
      <c r="M9" s="359">
        <f ca="1">INDIRECT("'数据-取费表'!ab"&amp;$G$1)</f>
        <v>0</v>
      </c>
    </row>
    <row r="10" spans="1:37" ht="18" customHeight="1">
      <c r="A10" s="1293" t="s">
        <v>1039</v>
      </c>
      <c r="B10" s="1825" t="s">
        <v>1409</v>
      </c>
      <c r="C10" s="2960">
        <f ca="1">ROUND(IF(F10="押一",C6/12*F11,IF(F10="押二",C6/12*2*F11,IF(F10="押三",C6/12*3*F11,C11*F11))),1)</f>
        <v>0</v>
      </c>
      <c r="D10" s="1826" t="s">
        <v>3038</v>
      </c>
      <c r="E10" s="358" t="s">
        <v>1410</v>
      </c>
      <c r="F10" s="1368" t="s">
        <v>3551</v>
      </c>
      <c r="G10" s="1853"/>
      <c r="H10" s="1293" t="s">
        <v>1039</v>
      </c>
      <c r="I10" s="1825" t="s">
        <v>1409</v>
      </c>
      <c r="J10" s="346">
        <f ca="1">ROUND(IF(M10="押一",J6/12*M11,IF(M10="押二",J6/12*2*M11,IF(M10="押三",J6/12*3*M11,J11*M11))),0)</f>
        <v>0</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35</v>
      </c>
      <c r="D13" s="1333" t="s">
        <v>1415</v>
      </c>
      <c r="E13" s="1333" t="s">
        <v>1416</v>
      </c>
      <c r="F13" s="1334">
        <f ca="1">INDIRECT("'数据-取费表'!y"&amp;$G$1)</f>
        <v>0.88</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25</v>
      </c>
      <c r="D14" s="1802" t="s">
        <v>1418</v>
      </c>
      <c r="E14" s="1796"/>
      <c r="F14" s="364"/>
      <c r="G14" s="1853"/>
      <c r="H14" s="1203" t="s">
        <v>1035</v>
      </c>
      <c r="I14" s="347" t="s">
        <v>1419</v>
      </c>
      <c r="J14" s="24">
        <f ca="1">C29</f>
        <v>40</v>
      </c>
      <c r="K14" s="15"/>
      <c r="L14" s="981"/>
      <c r="M14" s="982"/>
    </row>
    <row r="15" spans="1:37" s="1860" customFormat="1" ht="18" customHeight="1" thickBot="1">
      <c r="A15" s="1203" t="s">
        <v>1036</v>
      </c>
      <c r="B15" s="347" t="s">
        <v>1420</v>
      </c>
      <c r="C15" s="24">
        <f ca="1">ROUND(C14*F15,0)</f>
        <v>1</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v>
      </c>
      <c r="K16" s="1339" t="s">
        <v>1425</v>
      </c>
      <c r="L16" s="1340"/>
      <c r="M16" s="1296"/>
    </row>
    <row r="17" spans="1:37" s="1860" customFormat="1" ht="18" customHeight="1">
      <c r="A17" s="1203" t="s">
        <v>1390</v>
      </c>
      <c r="B17" s="347" t="s">
        <v>1426</v>
      </c>
      <c r="C17" s="24">
        <f ca="1">ROUND(F17*(F43+INDIRECT("'数据-取费表'!S"&amp;$G$1))/10000,0)</f>
        <v>2</v>
      </c>
      <c r="D17" s="347" t="s">
        <v>1427</v>
      </c>
      <c r="E17" s="347" t="s">
        <v>1428</v>
      </c>
      <c r="F17" s="26">
        <f>'数据-取费表'!B35</f>
        <v>200</v>
      </c>
      <c r="G17" s="1856"/>
      <c r="H17" s="1203" t="s">
        <v>1035</v>
      </c>
      <c r="I17" s="347" t="s">
        <v>1429</v>
      </c>
      <c r="J17" s="24">
        <f ca="1">ROUND(IF(项目基本情况!B11="自然人",J5*M17,J18+J19+J20),1)</f>
        <v>0.4</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28</v>
      </c>
      <c r="D19" s="140" t="s">
        <v>1436</v>
      </c>
      <c r="E19" s="1820"/>
      <c r="F19" s="26"/>
      <c r="G19" s="1853"/>
      <c r="H19" s="1203" t="s">
        <v>1036</v>
      </c>
      <c r="I19" s="347" t="s">
        <v>1437</v>
      </c>
      <c r="J19" s="24">
        <f ca="1">IF(K19="按租金收入计税",ROUND(J5*M19,2),ROUND(C29*M19*0.7,2))</f>
        <v>0.34</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v>
      </c>
      <c r="D20" s="369" t="s">
        <v>1440</v>
      </c>
      <c r="E20" s="347" t="s">
        <v>1422</v>
      </c>
      <c r="F20" s="367">
        <f>'数据-取费表'!B37</f>
        <v>0.02</v>
      </c>
      <c r="G20" s="1856"/>
      <c r="H20" s="1203" t="s">
        <v>1389</v>
      </c>
      <c r="I20" s="164" t="s">
        <v>1441</v>
      </c>
      <c r="J20" s="25">
        <f ca="1">ROUND(M20*M21/10000,2)</f>
        <v>0.06</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39.31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0.6</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-1</v>
      </c>
      <c r="K25" s="1347" t="s">
        <v>1464</v>
      </c>
      <c r="L25" s="1348"/>
      <c r="M25" s="1349"/>
    </row>
    <row r="26" spans="1:37">
      <c r="A26" s="1203" t="s">
        <v>1034</v>
      </c>
      <c r="B26" s="347" t="s">
        <v>1465</v>
      </c>
      <c r="C26" s="24">
        <f ca="1">ROUND((C19+C20)*F26,0)</f>
        <v>6</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4.0000000000000001E-3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40</v>
      </c>
      <c r="D29" s="1344"/>
      <c r="E29" s="1342"/>
      <c r="F29" s="1345"/>
      <c r="G29" s="1856"/>
      <c r="H29" s="380" t="s">
        <v>1033</v>
      </c>
      <c r="I29" s="381" t="s">
        <v>1479</v>
      </c>
      <c r="J29" s="382">
        <f ca="1">ROUND(J26/(1+F40)^F41,0)</f>
        <v>0</v>
      </c>
      <c r="K29" s="383" t="s">
        <v>1480</v>
      </c>
      <c r="L29" s="384"/>
      <c r="M29" s="385">
        <f ca="1">INDIRECT("'数据-取费表'!k"&amp;$G$1)</f>
        <v>98.27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3</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2.1</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0.64</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1.44</v>
      </c>
      <c r="D33" s="2959" t="s">
        <v>3126</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0.06</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39.31</v>
      </c>
      <c r="G35" s="1853"/>
      <c r="H35" s="744"/>
      <c r="I35" s="1862"/>
      <c r="J35" s="1863"/>
      <c r="K35" s="1864"/>
      <c r="L35" s="1861"/>
      <c r="M35" s="1861"/>
    </row>
    <row r="36" spans="1:18" ht="18" customHeight="1">
      <c r="A36" s="1354" t="s">
        <v>1039</v>
      </c>
      <c r="B36" s="347" t="s">
        <v>1449</v>
      </c>
      <c r="C36" s="24">
        <f ca="1">ROUND(C29*F36,1)</f>
        <v>0.6</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0.1</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0.1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9</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241</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40</v>
      </c>
      <c r="G41" s="1853"/>
      <c r="H41" s="731"/>
      <c r="I41" s="1862"/>
      <c r="J41" s="1863"/>
      <c r="K41" s="750"/>
      <c r="L41" s="731"/>
      <c r="M41" s="731"/>
    </row>
    <row r="42" spans="1:18" ht="18" customHeight="1">
      <c r="A42" s="353"/>
      <c r="B42" s="354"/>
      <c r="C42" s="355"/>
      <c r="D42" s="373"/>
      <c r="E42" s="347" t="s">
        <v>1477</v>
      </c>
      <c r="F42" s="357">
        <f ca="1">INDIRECT("'数据-取费表'!v"&amp;$G$1)</f>
        <v>0.03</v>
      </c>
      <c r="G42" s="1853"/>
      <c r="H42" s="731"/>
      <c r="I42" s="1862"/>
      <c r="J42" s="1863"/>
      <c r="K42" s="750"/>
      <c r="L42" s="731"/>
      <c r="M42" s="731"/>
    </row>
    <row r="43" spans="1:18" ht="18" customHeight="1" thickBot="1">
      <c r="A43" s="380" t="s">
        <v>1033</v>
      </c>
      <c r="B43" s="381" t="s">
        <v>1487</v>
      </c>
      <c r="C43" s="382">
        <f ca="1">ROUND(C40*10000/F43,0)</f>
        <v>24524</v>
      </c>
      <c r="D43" s="383" t="s">
        <v>1488</v>
      </c>
      <c r="E43" s="384" t="s">
        <v>1489</v>
      </c>
      <c r="F43" s="385">
        <f ca="1">INDIRECT("'数据-取费表'!k"&amp;$G$1)</f>
        <v>98.27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24.75" thickBot="1">
      <c r="A46" s="1872" t="s">
        <v>1520</v>
      </c>
      <c r="C46" s="1873">
        <f ca="1">C68-C40</f>
        <v>-310</v>
      </c>
      <c r="D46" s="1874" t="str">
        <f>C2</f>
        <v>万元</v>
      </c>
      <c r="E46" s="1868"/>
      <c r="F46" s="1868"/>
      <c r="I46" s="2976" t="s">
        <v>1521</v>
      </c>
      <c r="J46" s="2977"/>
      <c r="K46" s="2978"/>
      <c r="L46" s="2979">
        <f ca="1">IF(M47="住宅",0,IF(L48&gt;J51,L60,J60))</f>
        <v>1</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2980" t="s">
        <v>1526</v>
      </c>
      <c r="J47" s="2783" t="s">
        <v>3071</v>
      </c>
      <c r="K47" s="2981" t="s">
        <v>1527</v>
      </c>
      <c r="L47" s="2982">
        <f ca="1">INDIRECT("'数据-取费表'!d"&amp;$G$1)</f>
        <v>40</v>
      </c>
      <c r="M47" s="1840" t="str">
        <f>IF(ISNUMBER(FIND("住宅",C1)),"住宅","非住宅")</f>
        <v>非住宅</v>
      </c>
      <c r="O47" s="1886" t="s">
        <v>1040</v>
      </c>
      <c r="P47" s="1887" t="s">
        <v>1528</v>
      </c>
      <c r="Q47" s="1888">
        <f ca="1">C40+J29</f>
        <v>241</v>
      </c>
      <c r="R47" s="1888" t="s">
        <v>1529</v>
      </c>
    </row>
    <row r="48" spans="1:18" s="1844" customFormat="1" ht="28.5" thickBot="1">
      <c r="A48" s="1362" t="s">
        <v>1135</v>
      </c>
      <c r="B48" s="345" t="s">
        <v>1401</v>
      </c>
      <c r="C48" s="1819">
        <f ca="1">C49+C53+C55</f>
        <v>0</v>
      </c>
      <c r="D48" s="1364"/>
      <c r="E48" s="1365"/>
      <c r="F48" s="1183"/>
      <c r="G48" s="791"/>
      <c r="H48" s="792"/>
      <c r="I48" s="1924" t="s">
        <v>1530</v>
      </c>
      <c r="J48" s="2983" t="s">
        <v>3072</v>
      </c>
      <c r="K48" s="2984" t="s">
        <v>1531</v>
      </c>
      <c r="L48" s="818">
        <f ca="1">INDIRECT("'数据-取费表'!f"&amp;$G$1)</f>
        <v>40</v>
      </c>
      <c r="O48" s="1886" t="s">
        <v>1041</v>
      </c>
      <c r="P48" s="1887" t="s">
        <v>1532</v>
      </c>
      <c r="Q48" s="1888">
        <f ca="1">J60</f>
        <v>1</v>
      </c>
      <c r="R48" s="1888" t="s">
        <v>1533</v>
      </c>
    </row>
    <row r="49" spans="1:18" s="1844" customFormat="1" ht="13.5" thickBot="1">
      <c r="A49" s="1196" t="s">
        <v>1136</v>
      </c>
      <c r="B49" s="1831" t="s">
        <v>1490</v>
      </c>
      <c r="C49" s="1366">
        <f ca="1">ROUND(F49*F51*F50*(1-F52)/10000,0)</f>
        <v>0</v>
      </c>
      <c r="D49" s="1278" t="s">
        <v>3030</v>
      </c>
      <c r="E49" s="1832" t="s">
        <v>1491</v>
      </c>
      <c r="F49" s="1283"/>
      <c r="G49" s="1893"/>
      <c r="H49" s="792"/>
      <c r="I49" s="1924" t="s">
        <v>1534</v>
      </c>
      <c r="J49" s="2985">
        <v>2011</v>
      </c>
      <c r="K49" s="2984" t="s">
        <v>1535</v>
      </c>
      <c r="L49" s="2767"/>
      <c r="O49" s="1896" t="s">
        <v>1042</v>
      </c>
      <c r="P49" s="1887" t="s">
        <v>1536</v>
      </c>
      <c r="Q49" s="1888">
        <f ca="1">C29</f>
        <v>40</v>
      </c>
      <c r="R49" s="1888" t="s">
        <v>1529</v>
      </c>
    </row>
    <row r="50" spans="1:18" s="1844" customFormat="1" ht="13.5" thickBot="1">
      <c r="A50" s="1197"/>
      <c r="B50" s="1200"/>
      <c r="C50" s="1370"/>
      <c r="D50" s="1174"/>
      <c r="E50" s="1279" t="s">
        <v>1406</v>
      </c>
      <c r="F50" s="1280">
        <f ca="1">F7</f>
        <v>98.27</v>
      </c>
      <c r="H50" s="792"/>
      <c r="I50" s="1924" t="s">
        <v>1537</v>
      </c>
      <c r="J50" s="2986">
        <f>SUMPRODUCT((I63:I65=J47)*(J62:L62=J48)*(J63:L65))</f>
        <v>60</v>
      </c>
      <c r="K50" s="2984" t="s">
        <v>1538</v>
      </c>
      <c r="L50" s="2767"/>
      <c r="M50" s="1898"/>
      <c r="O50" s="1896" t="s">
        <v>1043</v>
      </c>
      <c r="P50" s="1887" t="s">
        <v>1539</v>
      </c>
      <c r="Q50" s="1899">
        <f ca="1">J58</f>
        <v>0.4</v>
      </c>
      <c r="R50" s="1888"/>
    </row>
    <row r="51" spans="1:18" s="1844" customFormat="1" ht="13.5" thickBot="1">
      <c r="A51" s="1198"/>
      <c r="B51" s="1200"/>
      <c r="C51" s="1201"/>
      <c r="D51" s="1174"/>
      <c r="E51" s="1202" t="s">
        <v>1407</v>
      </c>
      <c r="F51" s="348">
        <f ca="1">F8</f>
        <v>365</v>
      </c>
      <c r="I51" s="2987" t="s">
        <v>1540</v>
      </c>
      <c r="J51" s="2988">
        <f>IF(J49="",J50,J49+J50-YEAR('数据-取费表'!B2))</f>
        <v>53</v>
      </c>
      <c r="K51" s="2989" t="s">
        <v>1541</v>
      </c>
      <c r="L51" s="2990">
        <f ca="1">ROUND(-PV(INDIRECT("'数据-取费表'!h"&amp;$G$1),L48,(C39-C13*C76),0),0)</f>
        <v>111</v>
      </c>
      <c r="M51" s="1904"/>
      <c r="O51" s="1896" t="s">
        <v>1044</v>
      </c>
      <c r="P51" s="1887" t="s">
        <v>1542</v>
      </c>
      <c r="Q51" s="1899">
        <f>J52</f>
        <v>0.09</v>
      </c>
      <c r="R51" s="1888"/>
    </row>
    <row r="52" spans="1:18" s="1844" customFormat="1" ht="13.5" thickBot="1">
      <c r="A52" s="1198"/>
      <c r="B52" s="1200"/>
      <c r="C52" s="1201"/>
      <c r="D52" s="1174"/>
      <c r="E52" s="1202" t="s">
        <v>1408</v>
      </c>
      <c r="F52" s="1277"/>
      <c r="I52" s="2869" t="s">
        <v>1543</v>
      </c>
      <c r="J52" s="2991">
        <v>0.09</v>
      </c>
      <c r="K52" s="2869" t="s">
        <v>1544</v>
      </c>
      <c r="L52" s="2991"/>
      <c r="O52" s="1896" t="s">
        <v>1045</v>
      </c>
      <c r="P52" s="1887" t="s">
        <v>1545</v>
      </c>
      <c r="Q52" s="1888">
        <f ca="1">J53</f>
        <v>40</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2992">
        <f ca="1">IF(M47="住宅",J51,IF(D1="——",MIN(J51,L48),IF(D1="在建（套用方法）",MIN(J51,L48-'数据-取费表'!B24),IF(D1="土地（套用方法）",MIN(J51,L48-'数据-取费表'!B20)))))</f>
        <v>40</v>
      </c>
      <c r="K53" s="3302" t="s">
        <v>1548</v>
      </c>
      <c r="L53" s="3303"/>
      <c r="O53" s="1886" t="s">
        <v>1046</v>
      </c>
      <c r="P53" s="1887" t="s">
        <v>1549</v>
      </c>
      <c r="Q53" s="1888">
        <f ca="1">Q47+Q48</f>
        <v>242</v>
      </c>
      <c r="R53" s="1888" t="s">
        <v>1047</v>
      </c>
    </row>
    <row r="54" spans="1:18" s="1844" customFormat="1" ht="51.75" thickBot="1">
      <c r="A54" s="1408"/>
      <c r="B54" s="1827" t="s">
        <v>1388</v>
      </c>
      <c r="C54" s="1180"/>
      <c r="D54" s="1826"/>
      <c r="E54" s="1834"/>
      <c r="F54" s="1909"/>
      <c r="I54" s="29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2994">
        <f ca="1">ROUND(IF(J47="钢混",J57/J50,1-(1-2%)*(J50-J57)/J50),3)</f>
        <v>0.217</v>
      </c>
      <c r="K55" s="2995" t="s">
        <v>1552</v>
      </c>
      <c r="L55" s="2996" t="s">
        <v>3073</v>
      </c>
      <c r="O55" s="1879" t="s">
        <v>1522</v>
      </c>
      <c r="P55" s="1880" t="s">
        <v>1523</v>
      </c>
      <c r="Q55" s="1881" t="s">
        <v>1524</v>
      </c>
      <c r="R55" s="1881" t="s">
        <v>1525</v>
      </c>
    </row>
    <row r="56" spans="1:18" s="1844" customFormat="1" ht="25.5" thickTop="1" thickBot="1">
      <c r="A56" s="1178">
        <v>2</v>
      </c>
      <c r="B56" s="1179" t="s">
        <v>1414</v>
      </c>
      <c r="C56" s="276">
        <f ca="1">C13</f>
        <v>35</v>
      </c>
      <c r="D56" s="1916"/>
      <c r="E56" s="1917"/>
      <c r="F56" s="1909"/>
      <c r="I56" s="1918" t="s">
        <v>1553</v>
      </c>
      <c r="J56" s="2997" t="s">
        <v>3049</v>
      </c>
      <c r="K56" s="1924" t="s">
        <v>1554</v>
      </c>
      <c r="L56" s="818" t="str">
        <f ca="1">IF(L48&lt;J51,"——",L48-J53)</f>
        <v>——</v>
      </c>
      <c r="O56" s="1886" t="s">
        <v>1040</v>
      </c>
      <c r="P56" s="1887" t="s">
        <v>1528</v>
      </c>
      <c r="Q56" s="1888">
        <f ca="1">C40+J29</f>
        <v>241</v>
      </c>
      <c r="R56" s="1888" t="s">
        <v>1529</v>
      </c>
    </row>
    <row r="57" spans="1:18" s="1844" customFormat="1" ht="24.75" thickBot="1">
      <c r="A57" s="1920"/>
      <c r="B57" s="1171" t="s">
        <v>1478</v>
      </c>
      <c r="C57" s="282">
        <f ca="1">C29</f>
        <v>40</v>
      </c>
      <c r="D57" s="1921"/>
      <c r="E57" s="1922"/>
      <c r="F57" s="1923"/>
      <c r="I57" s="1924" t="s">
        <v>1555</v>
      </c>
      <c r="J57" s="235">
        <f ca="1">IF(OR(M47="住宅",J51&lt;L48,J56="是"),"——",J51-L48)</f>
        <v>13</v>
      </c>
      <c r="K57" s="1924" t="s">
        <v>1556</v>
      </c>
      <c r="L57" s="818"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4</v>
      </c>
      <c r="D58" s="1181" t="s">
        <v>1425</v>
      </c>
      <c r="E58" s="1182"/>
      <c r="F58" s="1183"/>
      <c r="I58" s="1924" t="s">
        <v>1559</v>
      </c>
      <c r="J58" s="2998">
        <f ca="1">IF(J55&lt;0.4,0.4,J55)</f>
        <v>0.4</v>
      </c>
      <c r="K58" s="2989" t="s">
        <v>1560</v>
      </c>
      <c r="L58" s="818"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3.4</v>
      </c>
      <c r="D59" s="1184" t="s">
        <v>1430</v>
      </c>
      <c r="E59" s="1185" t="s">
        <v>1431</v>
      </c>
      <c r="F59" s="368" t="str">
        <f ca="1">IF(项目基本情况!B11="企业","",IF(INDIRECT("'数据-取费表'!c"&amp;$G$1)="住宅",5%,IF(F49*F50*F51/12/(1+'数据-取费表'!C42)&gt;20000,12%,7%)))</f>
        <v/>
      </c>
      <c r="I59" s="1924" t="s">
        <v>1562</v>
      </c>
      <c r="J59" s="235">
        <f ca="1">IF(OR(M47="住宅",J51&lt;L48,J56="是"),"——",ROUND(C29*J58,0))</f>
        <v>16</v>
      </c>
      <c r="K59" s="19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2999" t="s">
        <v>1564</v>
      </c>
      <c r="J60" s="3000">
        <f ca="1">IF(OR(M47="住宅",J51&lt;L48,J56="是"),"0",ROUND(J59/(1+J52)^J53,0))</f>
        <v>1</v>
      </c>
      <c r="K60" s="3001" t="s">
        <v>1565</v>
      </c>
      <c r="L60" s="3000">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3.36</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0.06</v>
      </c>
      <c r="D62" s="1186" t="s">
        <v>1497</v>
      </c>
      <c r="E62" s="1171" t="s">
        <v>1498</v>
      </c>
      <c r="F62" s="371">
        <f t="shared" si="0"/>
        <v>16</v>
      </c>
      <c r="I62" s="1931" t="s">
        <v>1569</v>
      </c>
      <c r="J62" s="1932" t="s">
        <v>1570</v>
      </c>
      <c r="K62" s="1932" t="s">
        <v>1571</v>
      </c>
      <c r="L62" s="1932" t="s">
        <v>1572</v>
      </c>
      <c r="M62" s="1933" t="s">
        <v>1573</v>
      </c>
      <c r="O62" s="1886" t="s">
        <v>1046</v>
      </c>
      <c r="P62" s="1887" t="s">
        <v>1574</v>
      </c>
      <c r="Q62" s="1888">
        <f ca="1">Q56+Q57</f>
        <v>241</v>
      </c>
      <c r="R62" s="1888" t="s">
        <v>1047</v>
      </c>
    </row>
    <row r="63" spans="1:18" s="1844" customFormat="1" ht="13.5" thickBot="1">
      <c r="A63" s="372"/>
      <c r="B63" s="1177"/>
      <c r="C63" s="29"/>
      <c r="D63" s="1187"/>
      <c r="E63" s="1171" t="s">
        <v>1499</v>
      </c>
      <c r="F63" s="348">
        <f t="shared" ca="1" si="0"/>
        <v>39.31</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0.6</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0.1</v>
      </c>
      <c r="D65" s="1185" t="s">
        <v>1454</v>
      </c>
      <c r="E65" s="1171" t="s">
        <v>1455</v>
      </c>
      <c r="F65" s="376">
        <f t="shared" ca="1" si="0"/>
        <v>1.5E-3</v>
      </c>
      <c r="I65" s="1931" t="s">
        <v>1578</v>
      </c>
      <c r="J65" s="1932">
        <v>40</v>
      </c>
      <c r="K65" s="1932">
        <v>30</v>
      </c>
      <c r="L65" s="1932">
        <v>50</v>
      </c>
      <c r="M65" s="1934">
        <v>0.02</v>
      </c>
      <c r="O65" s="1886" t="s">
        <v>1040</v>
      </c>
      <c r="P65" s="1887" t="s">
        <v>1579</v>
      </c>
      <c r="Q65" s="1888">
        <f ca="1">C40+J29</f>
        <v>241</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-4</v>
      </c>
      <c r="D67" s="1184" t="s">
        <v>1464</v>
      </c>
      <c r="E67" s="1189"/>
      <c r="F67" s="1190"/>
      <c r="O67" s="1896" t="s">
        <v>1042</v>
      </c>
      <c r="P67" s="1887" t="s">
        <v>1561</v>
      </c>
      <c r="Q67" s="1935">
        <f ca="1">L51</f>
        <v>111</v>
      </c>
      <c r="R67" s="1888" t="s">
        <v>1581</v>
      </c>
    </row>
    <row r="68" spans="1:18" s="1844" customFormat="1" ht="16.5" thickBot="1">
      <c r="A68" s="1168" t="s">
        <v>1032</v>
      </c>
      <c r="B68" s="1169" t="s">
        <v>1485</v>
      </c>
      <c r="C68" s="346">
        <f ca="1">ROUND(C67*(1-((1+F70)/(1+F68))^F69)/(F68-F70),0)</f>
        <v>-69</v>
      </c>
      <c r="D68" s="1186" t="s">
        <v>1469</v>
      </c>
      <c r="E68" s="1171" t="s">
        <v>1470</v>
      </c>
      <c r="F68" s="357">
        <f ca="1">F40</f>
        <v>0.05</v>
      </c>
      <c r="O68" s="1896" t="s">
        <v>1043</v>
      </c>
      <c r="P68" s="1936" t="s">
        <v>1582</v>
      </c>
      <c r="Q68" s="1888">
        <f ca="1">ROUND(Q69-Q70*Q71,0)</f>
        <v>6</v>
      </c>
      <c r="R68" s="1888" t="s">
        <v>1051</v>
      </c>
    </row>
    <row r="69" spans="1:18" s="1844" customFormat="1" ht="13.5" thickBot="1">
      <c r="A69" s="1172"/>
      <c r="B69" s="1173"/>
      <c r="C69" s="351"/>
      <c r="D69" s="1191" t="s">
        <v>1473</v>
      </c>
      <c r="E69" s="1171" t="s">
        <v>1474</v>
      </c>
      <c r="F69" s="379">
        <f ca="1">F41</f>
        <v>40</v>
      </c>
      <c r="O69" s="1896" t="s">
        <v>1048</v>
      </c>
      <c r="P69" s="1936" t="s">
        <v>1583</v>
      </c>
      <c r="Q69" s="1888">
        <f ca="1">C39</f>
        <v>9</v>
      </c>
      <c r="R69" s="1888" t="s">
        <v>1529</v>
      </c>
    </row>
    <row r="70" spans="1:18" s="1844" customFormat="1" ht="13.5" thickBot="1">
      <c r="A70" s="1175"/>
      <c r="B70" s="1176"/>
      <c r="C70" s="355"/>
      <c r="D70" s="1187"/>
      <c r="E70" s="1171" t="s">
        <v>1477</v>
      </c>
      <c r="F70" s="1277"/>
      <c r="O70" s="1896" t="s">
        <v>1049</v>
      </c>
      <c r="P70" s="1936" t="s">
        <v>1584</v>
      </c>
      <c r="Q70" s="1888">
        <f ca="1">C13</f>
        <v>35</v>
      </c>
      <c r="R70" s="1888" t="s">
        <v>1529</v>
      </c>
    </row>
    <row r="71" spans="1:18" s="1844" customFormat="1" ht="13.5" thickBot="1">
      <c r="A71" s="1192" t="s">
        <v>1033</v>
      </c>
      <c r="B71" s="1193" t="s">
        <v>1487</v>
      </c>
      <c r="C71" s="382">
        <f ca="1">ROUND(C68*10000/F71,0)</f>
        <v>-7021</v>
      </c>
      <c r="D71" s="1194" t="s">
        <v>1488</v>
      </c>
      <c r="E71" s="1195" t="s">
        <v>1489</v>
      </c>
      <c r="F71" s="385">
        <f ca="1">F43</f>
        <v>98.27</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3</v>
      </c>
      <c r="D75" s="1844"/>
      <c r="E75" s="1844"/>
      <c r="F75" s="1844"/>
      <c r="K75" s="1870"/>
      <c r="L75" s="1844"/>
      <c r="O75" s="1886" t="s">
        <v>1046</v>
      </c>
      <c r="P75" s="1887" t="s">
        <v>1549</v>
      </c>
      <c r="Q75" s="1888">
        <f ca="1">Q65+Q66</f>
        <v>241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0.66700000000000004</v>
      </c>
    </row>
    <row r="80" spans="1:18">
      <c r="B80" s="386" t="s">
        <v>1511</v>
      </c>
      <c r="C80" s="318">
        <f ca="1">ROUND(C75/C39,3)</f>
        <v>0.33300000000000002</v>
      </c>
    </row>
    <row r="81" spans="2:3">
      <c r="B81" s="314" t="s">
        <v>1512</v>
      </c>
      <c r="C81" s="282"/>
    </row>
    <row r="82" spans="2:3">
      <c r="B82" s="317" t="s">
        <v>1513</v>
      </c>
      <c r="C82" s="319">
        <f ca="1">1-C83</f>
        <v>0.85499999999999998</v>
      </c>
    </row>
    <row r="83" spans="2:3">
      <c r="B83" s="317" t="s">
        <v>1514</v>
      </c>
      <c r="C83" s="318">
        <f ca="1">ROUND(C13/C40,3)</f>
        <v>0.14499999999999999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304" t="s">
        <v>1403</v>
      </c>
      <c r="C6" s="1298">
        <f ca="1">ROUND(F6*F8*F7*(1-F9),0)</f>
        <v>0</v>
      </c>
      <c r="D6" s="164" t="s">
        <v>3026</v>
      </c>
      <c r="E6" s="347" t="s">
        <v>1405</v>
      </c>
      <c r="F6" s="348">
        <f ca="1">INDIRECT("'数据-取费表'!u"&amp;$G$1)</f>
        <v>0</v>
      </c>
      <c r="G6" s="1853"/>
      <c r="H6" s="1293" t="s">
        <v>1035</v>
      </c>
      <c r="I6" s="3304" t="s">
        <v>1403</v>
      </c>
      <c r="J6" s="346">
        <f ca="1">ROUND(M6*M8*M7*(1-M9),0)</f>
        <v>0</v>
      </c>
      <c r="K6" s="1836" t="s">
        <v>3027</v>
      </c>
      <c r="L6" s="347" t="s">
        <v>1405</v>
      </c>
      <c r="M6" s="348">
        <f ca="1">INDIRECT("'数据-取费表'!z"&amp;$G$1)</f>
        <v>0</v>
      </c>
    </row>
    <row r="7" spans="1:37" ht="18" customHeight="1">
      <c r="A7" s="1297"/>
      <c r="B7" s="3305"/>
      <c r="C7" s="1299"/>
      <c r="D7" s="352"/>
      <c r="E7" s="1300" t="s">
        <v>1406</v>
      </c>
      <c r="F7" s="348">
        <f ca="1">IF(INDIRECT("'数据-取费表'!ah"&amp;$G$1)="",INDIRECT("'数据-取费表'!k"&amp;$G$1),INDIRECT("'数据-取费表'!ah"&amp;$G$1))</f>
        <v>0</v>
      </c>
      <c r="G7" s="1853"/>
      <c r="H7" s="349"/>
      <c r="I7" s="3305"/>
      <c r="J7" s="351"/>
      <c r="K7" s="352"/>
      <c r="L7" s="347" t="s">
        <v>1406</v>
      </c>
      <c r="M7" s="348">
        <f ca="1">F7</f>
        <v>0</v>
      </c>
    </row>
    <row r="8" spans="1:37" ht="18" customHeight="1">
      <c r="A8" s="349"/>
      <c r="B8" s="3305"/>
      <c r="C8" s="351"/>
      <c r="D8" s="352"/>
      <c r="E8" s="347" t="s">
        <v>1407</v>
      </c>
      <c r="F8" s="348">
        <f ca="1">INDIRECT("'数据-取费表'!ai"&amp;$G$1)</f>
        <v>0</v>
      </c>
      <c r="G8" s="1853"/>
      <c r="H8" s="349"/>
      <c r="I8" s="3305"/>
      <c r="J8" s="351"/>
      <c r="K8" s="352"/>
      <c r="L8" s="347" t="s">
        <v>1407</v>
      </c>
      <c r="M8" s="348">
        <f ca="1">INDIRECT("'数据-取费表'!ai"&amp;$G$1)</f>
        <v>0</v>
      </c>
    </row>
    <row r="9" spans="1:37" ht="18" customHeight="1">
      <c r="A9" s="349"/>
      <c r="B9" s="3306"/>
      <c r="C9" s="351"/>
      <c r="D9" s="352"/>
      <c r="E9" s="347" t="s">
        <v>1408</v>
      </c>
      <c r="F9" s="357">
        <f ca="1">INDIRECT("'数据-取费表'!w"&amp;$G$1)</f>
        <v>0</v>
      </c>
      <c r="G9" s="1853"/>
      <c r="H9" s="349"/>
      <c r="I9" s="3306"/>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3037</v>
      </c>
      <c r="E10" s="358" t="s">
        <v>1410</v>
      </c>
      <c r="F10" s="1368"/>
      <c r="G10" s="1853"/>
      <c r="H10" s="1293" t="s">
        <v>1039</v>
      </c>
      <c r="I10" s="1825" t="s">
        <v>1409</v>
      </c>
      <c r="J10" s="346">
        <f ca="1">ROUND(IF(M10="押一",J6/12*M11,IF(M10="押二",J6/12*2*M11,IF(M10="押三",J6/12*3*M11,J11*M11))),0)</f>
        <v>0</v>
      </c>
      <c r="K10" s="1837" t="s">
        <v>3039</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3040</v>
      </c>
      <c r="E53" s="358" t="s">
        <v>1410</v>
      </c>
      <c r="F53" s="1368"/>
      <c r="I53" s="1907" t="s">
        <v>1547</v>
      </c>
      <c r="J53" s="1908" t="b">
        <f>IF(M47="住宅",J51,IF(D1="——",MIN(J51,L48),IF(D1="在建（套用方法）",MIN(J51,L48-'数据-取费表'!B24),IF(D1="土地（套用方法）",MIN(J51,L48-'数据-取费表'!B20)))))</f>
        <v>0</v>
      </c>
      <c r="K53" s="3302" t="s">
        <v>1548</v>
      </c>
      <c r="L53" s="3303"/>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16</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2524</v>
      </c>
      <c r="B1" s="2562"/>
      <c r="C1" s="2562"/>
      <c r="D1" s="2562"/>
      <c r="E1" s="2563"/>
    </row>
    <row r="2" spans="1:6" ht="15.75">
      <c r="A2" s="2564" t="s">
        <v>2325</v>
      </c>
      <c r="B2" s="2565">
        <f ca="1">SUMIF(B6:B13,"&lt;&gt;#ref!",B6:B13)</f>
        <v>242</v>
      </c>
      <c r="C2" s="2566" t="s">
        <v>2517</v>
      </c>
      <c r="D2" s="2567" t="s">
        <v>2518</v>
      </c>
      <c r="E2" s="2568">
        <f>SUM(E6:E13)</f>
        <v>98.27</v>
      </c>
    </row>
    <row r="3" spans="1:6" ht="15.75">
      <c r="A3" s="2564" t="s">
        <v>1395</v>
      </c>
      <c r="B3" s="2565">
        <f ca="1">ROUND(B2*10000/E2,0)</f>
        <v>24626</v>
      </c>
      <c r="C3" s="2566" t="s">
        <v>2525</v>
      </c>
      <c r="D3" s="2569"/>
      <c r="E3" s="2570"/>
    </row>
    <row r="4" spans="1:6" ht="15.75">
      <c r="A4" s="2571"/>
      <c r="B4" s="2569"/>
      <c r="C4" s="2569"/>
      <c r="D4" s="2569"/>
      <c r="E4" s="2570"/>
    </row>
    <row r="5" spans="1:6" ht="15">
      <c r="A5" s="2572" t="s">
        <v>2519</v>
      </c>
      <c r="B5" s="3307" t="s">
        <v>2520</v>
      </c>
      <c r="C5" s="3307"/>
      <c r="D5" s="2573"/>
      <c r="E5" s="2574" t="s">
        <v>2521</v>
      </c>
      <c r="F5" s="2575" t="s">
        <v>2522</v>
      </c>
    </row>
    <row r="6" spans="1:6">
      <c r="A6" s="2576" t="str">
        <f>'数据-取费表'!AN6</f>
        <v>收益法</v>
      </c>
      <c r="B6" s="2575">
        <f ca="1">IF(F6="是",'数据-取费表'!AO6,0)</f>
        <v>242</v>
      </c>
      <c r="C6" s="2566" t="s">
        <v>2517</v>
      </c>
      <c r="D6" s="2569"/>
      <c r="E6" s="2577">
        <f>IF(OR(A6=0,F6="否"),0,'数据-取费表'!K6+'数据-取费表'!S6)</f>
        <v>98.27</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4" t="s">
        <v>1076</v>
      </c>
      <c r="B1" s="3325"/>
      <c r="C1" s="3326"/>
      <c r="D1" s="3327">
        <f>SUM(I10,I15,I20,I21,I23)</f>
        <v>0</v>
      </c>
      <c r="E1" s="3327"/>
      <c r="F1" s="3327"/>
      <c r="G1" s="3327"/>
      <c r="H1" s="3327"/>
      <c r="I1" s="3328"/>
    </row>
    <row r="2" spans="1:9">
      <c r="A2" s="3314" t="s">
        <v>1077</v>
      </c>
      <c r="B2" s="3315" t="s">
        <v>1078</v>
      </c>
      <c r="C2" s="3315"/>
      <c r="D2" s="1303" t="s">
        <v>1079</v>
      </c>
      <c r="E2" s="1303" t="s">
        <v>1080</v>
      </c>
      <c r="F2" s="1303" t="s">
        <v>1081</v>
      </c>
      <c r="G2" s="1303" t="s">
        <v>1082</v>
      </c>
      <c r="H2" s="1303" t="s">
        <v>1083</v>
      </c>
      <c r="I2" s="1304" t="s">
        <v>1084</v>
      </c>
    </row>
    <row r="3" spans="1:9">
      <c r="A3" s="3314"/>
      <c r="B3" s="3315" t="s">
        <v>1085</v>
      </c>
      <c r="C3" s="3315"/>
      <c r="D3" s="1305"/>
      <c r="E3" s="1303"/>
      <c r="F3" s="1306"/>
      <c r="G3" s="1306"/>
      <c r="H3" s="1307"/>
      <c r="I3" s="1308">
        <f>ROUND(D3*E3*F3*G3*H3/10000,0)</f>
        <v>0</v>
      </c>
    </row>
    <row r="4" spans="1:9">
      <c r="A4" s="3314"/>
      <c r="B4" s="3315" t="s">
        <v>1086</v>
      </c>
      <c r="C4" s="3315"/>
      <c r="D4" s="1305"/>
      <c r="E4" s="1303"/>
      <c r="F4" s="1306"/>
      <c r="G4" s="1306"/>
      <c r="H4" s="1307"/>
      <c r="I4" s="1308">
        <f t="shared" ref="I4:I9" si="0">ROUND(D4*E4*F4*G4*H4/10000,0)</f>
        <v>0</v>
      </c>
    </row>
    <row r="5" spans="1:9">
      <c r="A5" s="3314"/>
      <c r="B5" s="3315" t="s">
        <v>1087</v>
      </c>
      <c r="C5" s="3315"/>
      <c r="D5" s="1305"/>
      <c r="E5" s="1303"/>
      <c r="F5" s="1306"/>
      <c r="G5" s="1306"/>
      <c r="H5" s="1307"/>
      <c r="I5" s="1308">
        <f t="shared" si="0"/>
        <v>0</v>
      </c>
    </row>
    <row r="6" spans="1:9">
      <c r="A6" s="3314"/>
      <c r="B6" s="3315" t="s">
        <v>1088</v>
      </c>
      <c r="C6" s="3315"/>
      <c r="D6" s="1305"/>
      <c r="E6" s="1303"/>
      <c r="F6" s="1306"/>
      <c r="G6" s="1306"/>
      <c r="H6" s="1307"/>
      <c r="I6" s="1308">
        <f t="shared" si="0"/>
        <v>0</v>
      </c>
    </row>
    <row r="7" spans="1:9">
      <c r="A7" s="3314"/>
      <c r="B7" s="3315" t="s">
        <v>1089</v>
      </c>
      <c r="C7" s="3315"/>
      <c r="D7" s="1305"/>
      <c r="E7" s="1303"/>
      <c r="F7" s="1306"/>
      <c r="G7" s="1306"/>
      <c r="H7" s="1307"/>
      <c r="I7" s="1308">
        <f t="shared" si="0"/>
        <v>0</v>
      </c>
    </row>
    <row r="8" spans="1:9">
      <c r="A8" s="3314"/>
      <c r="B8" s="3315" t="s">
        <v>1090</v>
      </c>
      <c r="C8" s="3315"/>
      <c r="D8" s="1305"/>
      <c r="E8" s="1303"/>
      <c r="F8" s="1306"/>
      <c r="G8" s="1306"/>
      <c r="H8" s="1307"/>
      <c r="I8" s="1308">
        <f t="shared" si="0"/>
        <v>0</v>
      </c>
    </row>
    <row r="9" spans="1:9">
      <c r="A9" s="3314"/>
      <c r="B9" s="3315" t="s">
        <v>1091</v>
      </c>
      <c r="C9" s="3315"/>
      <c r="D9" s="1305"/>
      <c r="E9" s="1303"/>
      <c r="F9" s="1306"/>
      <c r="G9" s="1306"/>
      <c r="H9" s="1307"/>
      <c r="I9" s="1308">
        <f t="shared" si="0"/>
        <v>0</v>
      </c>
    </row>
    <row r="10" spans="1:9">
      <c r="A10" s="3314"/>
      <c r="B10" s="3316" t="s">
        <v>1092</v>
      </c>
      <c r="C10" s="3316"/>
      <c r="D10" s="1309"/>
      <c r="E10" s="1309" t="e">
        <f>ROUND(D1*10000/D10/H9,0)</f>
        <v>#DIV/0!</v>
      </c>
      <c r="F10" s="1310"/>
      <c r="G10" s="1310"/>
      <c r="H10" s="1311"/>
      <c r="I10" s="1312">
        <f>SUM(I3:I9)</f>
        <v>0</v>
      </c>
    </row>
    <row r="11" spans="1:9" ht="14.25">
      <c r="A11" s="3314" t="s">
        <v>1093</v>
      </c>
      <c r="B11" s="3315" t="s">
        <v>1094</v>
      </c>
      <c r="C11" s="3315"/>
      <c r="D11" s="1305" t="s">
        <v>1095</v>
      </c>
      <c r="E11" s="1305" t="s">
        <v>1096</v>
      </c>
      <c r="F11" s="1306" t="s">
        <v>1097</v>
      </c>
      <c r="G11" s="1306" t="s">
        <v>1083</v>
      </c>
      <c r="H11" s="1313" t="s">
        <v>1098</v>
      </c>
      <c r="I11" s="1304" t="s">
        <v>1084</v>
      </c>
    </row>
    <row r="12" spans="1:9">
      <c r="A12" s="3314"/>
      <c r="B12" s="3315" t="s">
        <v>1099</v>
      </c>
      <c r="C12" s="3315"/>
      <c r="D12" s="1305"/>
      <c r="E12" s="1305"/>
      <c r="F12" s="1306"/>
      <c r="G12" s="1307"/>
      <c r="H12" s="1314"/>
      <c r="I12" s="1304">
        <f>ROUND(D12*E12*F12*G12/10000,0)</f>
        <v>0</v>
      </c>
    </row>
    <row r="13" spans="1:9">
      <c r="A13" s="3314"/>
      <c r="B13" s="3315" t="s">
        <v>1100</v>
      </c>
      <c r="C13" s="3315"/>
      <c r="D13" s="1305"/>
      <c r="E13" s="1305"/>
      <c r="F13" s="1306"/>
      <c r="G13" s="1307"/>
      <c r="H13" s="1314"/>
      <c r="I13" s="1304">
        <f>ROUND(D13*E13*F13*G13/10000,0)</f>
        <v>0</v>
      </c>
    </row>
    <row r="14" spans="1:9">
      <c r="A14" s="3314"/>
      <c r="B14" s="3315" t="s">
        <v>1101</v>
      </c>
      <c r="C14" s="3315"/>
      <c r="D14" s="1305"/>
      <c r="E14" s="1305"/>
      <c r="F14" s="1306"/>
      <c r="G14" s="1307"/>
      <c r="H14" s="1314"/>
      <c r="I14" s="1304">
        <f>ROUND(D14*E14*F14*G14/10000,0)</f>
        <v>0</v>
      </c>
    </row>
    <row r="15" spans="1:9">
      <c r="A15" s="3314"/>
      <c r="B15" s="3316" t="s">
        <v>1092</v>
      </c>
      <c r="C15" s="3316"/>
      <c r="D15" s="1309"/>
      <c r="E15" s="1309">
        <f>SUM(E12:E14)</f>
        <v>0</v>
      </c>
      <c r="F15" s="1310"/>
      <c r="G15" s="1307"/>
      <c r="H15" s="1314"/>
      <c r="I15" s="1315">
        <f>SUM(I12:I14)</f>
        <v>0</v>
      </c>
    </row>
    <row r="16" spans="1:9" ht="24">
      <c r="A16" s="3314" t="s">
        <v>1102</v>
      </c>
      <c r="B16" s="3315" t="s">
        <v>1103</v>
      </c>
      <c r="C16" s="3315"/>
      <c r="D16" s="1305" t="s">
        <v>1079</v>
      </c>
      <c r="E16" s="1316" t="s">
        <v>1104</v>
      </c>
      <c r="F16" s="1306" t="s">
        <v>1105</v>
      </c>
      <c r="G16" s="1307" t="s">
        <v>1083</v>
      </c>
      <c r="H16" s="1313" t="s">
        <v>1098</v>
      </c>
      <c r="I16" s="1304" t="s">
        <v>1084</v>
      </c>
    </row>
    <row r="17" spans="1:9" ht="14.25">
      <c r="A17" s="3314"/>
      <c r="B17" s="3315" t="s">
        <v>1106</v>
      </c>
      <c r="C17" s="3315"/>
      <c r="D17" s="1305"/>
      <c r="E17" s="1305"/>
      <c r="F17" s="1306"/>
      <c r="G17" s="1307"/>
      <c r="H17" s="1317"/>
      <c r="I17" s="1318">
        <f>ROUND(D17*E17*F17*G17/10000,0)</f>
        <v>0</v>
      </c>
    </row>
    <row r="18" spans="1:9" ht="14.25">
      <c r="A18" s="3314"/>
      <c r="B18" s="3315" t="s">
        <v>1107</v>
      </c>
      <c r="C18" s="3315"/>
      <c r="D18" s="1305"/>
      <c r="E18" s="1305"/>
      <c r="F18" s="1306"/>
      <c r="G18" s="1307"/>
      <c r="H18" s="1317"/>
      <c r="I18" s="1318">
        <f>ROUND(D18*E18*F18*G18/10000,0)</f>
        <v>0</v>
      </c>
    </row>
    <row r="19" spans="1:9" ht="14.25">
      <c r="A19" s="3314"/>
      <c r="B19" s="3315" t="s">
        <v>1108</v>
      </c>
      <c r="C19" s="3315"/>
      <c r="D19" s="1305"/>
      <c r="E19" s="1305"/>
      <c r="F19" s="1306"/>
      <c r="G19" s="1307"/>
      <c r="H19" s="1317"/>
      <c r="I19" s="1318">
        <f>ROUND(D19*E19*F19*G19/10000,0)</f>
        <v>0</v>
      </c>
    </row>
    <row r="20" spans="1:9">
      <c r="A20" s="3314"/>
      <c r="B20" s="3316" t="s">
        <v>1092</v>
      </c>
      <c r="C20" s="3316"/>
      <c r="D20" s="1309">
        <f>SUM(D17:D19)</f>
        <v>0</v>
      </c>
      <c r="E20" s="1309"/>
      <c r="F20" s="1310"/>
      <c r="G20" s="1307"/>
      <c r="H20" s="1314"/>
      <c r="I20" s="1315">
        <f>SUM(I17:I19)</f>
        <v>0</v>
      </c>
    </row>
    <row r="21" spans="1:9">
      <c r="A21" s="3314" t="s">
        <v>1109</v>
      </c>
      <c r="B21" s="3317"/>
      <c r="C21" s="3317"/>
      <c r="D21" s="3317"/>
      <c r="E21" s="3317"/>
      <c r="F21" s="3317"/>
      <c r="G21" s="3317"/>
      <c r="H21" s="1767">
        <v>0.1</v>
      </c>
      <c r="I21" s="1312">
        <f>ROUND(I10*H21,0)</f>
        <v>0</v>
      </c>
    </row>
    <row r="22" spans="1:9" ht="14.25">
      <c r="A22" s="3318" t="s">
        <v>1110</v>
      </c>
      <c r="B22" s="3319"/>
      <c r="C22" s="3320"/>
      <c r="D22" s="1319" t="s">
        <v>1111</v>
      </c>
      <c r="E22" s="1319" t="s">
        <v>1112</v>
      </c>
      <c r="F22" s="1320" t="s">
        <v>1113</v>
      </c>
      <c r="G22" s="1320" t="s">
        <v>1114</v>
      </c>
      <c r="H22" s="1313" t="s">
        <v>1115</v>
      </c>
      <c r="I22" s="1304" t="s">
        <v>1116</v>
      </c>
    </row>
    <row r="23" spans="1:9" ht="14.25" thickBot="1">
      <c r="A23" s="3321"/>
      <c r="B23" s="3322"/>
      <c r="C23" s="3323"/>
      <c r="D23" s="1321"/>
      <c r="E23" s="1321"/>
      <c r="F23" s="1321"/>
      <c r="G23" s="1322"/>
      <c r="H23" s="1323"/>
      <c r="I23" s="1324">
        <f>ROUND(E23*D23*F23*(1-G23)/10000,0)</f>
        <v>0</v>
      </c>
    </row>
    <row r="26" spans="1:9">
      <c r="A26" s="1325" t="s">
        <v>1117</v>
      </c>
      <c r="B26" s="1325"/>
      <c r="C26" s="1325"/>
      <c r="D26" s="1325"/>
      <c r="E26" s="3311">
        <f>C27-C30-C31-C32</f>
        <v>0</v>
      </c>
      <c r="F26" s="3311"/>
      <c r="G26" s="3311"/>
      <c r="H26" s="1739" t="s">
        <v>1340</v>
      </c>
    </row>
    <row r="27" spans="1:9">
      <c r="A27" s="1326">
        <v>1</v>
      </c>
      <c r="B27" s="1327" t="s">
        <v>1118</v>
      </c>
      <c r="C27" s="1327">
        <f>C28+C29</f>
        <v>0</v>
      </c>
      <c r="D27" s="1327"/>
      <c r="E27" s="3312"/>
      <c r="F27" s="3312"/>
      <c r="G27" s="3312"/>
    </row>
    <row r="28" spans="1:9">
      <c r="A28" s="1328" t="s">
        <v>1119</v>
      </c>
      <c r="B28" s="1327" t="s">
        <v>1120</v>
      </c>
      <c r="C28" s="1327"/>
      <c r="D28" s="1327"/>
      <c r="E28" s="3312"/>
      <c r="F28" s="3312"/>
      <c r="G28" s="331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313"/>
      <c r="F32" s="3313"/>
      <c r="G32" s="3313"/>
    </row>
    <row r="33" spans="1:7" hidden="1">
      <c r="A33" s="3308" t="s">
        <v>1129</v>
      </c>
      <c r="B33" s="3309"/>
      <c r="C33" s="3309"/>
      <c r="D33" s="3310"/>
      <c r="E33" s="3311"/>
      <c r="F33" s="3311"/>
      <c r="G33" s="3311"/>
    </row>
    <row r="34" spans="1:7" hidden="1">
      <c r="A34" s="1330">
        <v>1</v>
      </c>
      <c r="B34" s="1327" t="s">
        <v>1130</v>
      </c>
      <c r="C34" s="1327"/>
      <c r="D34" s="1327"/>
      <c r="E34" s="3312"/>
      <c r="F34" s="3312"/>
      <c r="G34" s="3312"/>
    </row>
    <row r="35" spans="1:7" hidden="1">
      <c r="A35" s="1330">
        <v>2</v>
      </c>
      <c r="B35" s="1327" t="s">
        <v>1131</v>
      </c>
      <c r="C35" s="1327"/>
      <c r="D35" s="1327"/>
      <c r="E35" s="3312"/>
      <c r="F35" s="3312"/>
      <c r="G35" s="3312"/>
    </row>
    <row r="36" spans="1:7" hidden="1">
      <c r="A36" s="1330">
        <v>3</v>
      </c>
      <c r="B36" s="1327" t="s">
        <v>1132</v>
      </c>
      <c r="C36" s="1327"/>
      <c r="D36" s="1327"/>
      <c r="E36" s="3312"/>
      <c r="F36" s="3312"/>
      <c r="G36" s="3312"/>
    </row>
    <row r="37" spans="1:7" hidden="1">
      <c r="A37" s="1330">
        <v>4</v>
      </c>
      <c r="B37" s="1327" t="s">
        <v>1133</v>
      </c>
      <c r="C37" s="1327"/>
      <c r="D37" s="1327"/>
      <c r="E37" s="3312"/>
      <c r="F37" s="3312"/>
      <c r="G37" s="3312"/>
    </row>
    <row r="38" spans="1:7" hidden="1">
      <c r="A38" s="3308" t="s">
        <v>1134</v>
      </c>
      <c r="B38" s="3309"/>
      <c r="C38" s="3309"/>
      <c r="D38" s="3310"/>
      <c r="E38" s="3311"/>
      <c r="F38" s="3311"/>
      <c r="G38" s="33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2527</v>
      </c>
      <c r="C1" s="1636" t="s">
        <v>2528</v>
      </c>
      <c r="D1" s="1623"/>
      <c r="E1" s="2583"/>
      <c r="F1" s="2584" t="s">
        <v>2529</v>
      </c>
      <c r="G1" s="1633" t="s">
        <v>2530</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2531</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2532</v>
      </c>
      <c r="D3" s="399">
        <f>IF(D1="",'数据-汇总表'!E3,SUMIF('数据-汇总表'!$C19:$C33,D1,'数据-汇总表'!$E19:$E33))</f>
        <v>39089.930000000037</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2533</v>
      </c>
      <c r="B4" s="402"/>
      <c r="C4" s="3274" t="s">
        <v>2534</v>
      </c>
      <c r="D4" s="3275"/>
      <c r="E4" s="3276" t="s">
        <v>2535</v>
      </c>
      <c r="F4" s="3277"/>
      <c r="G4" s="3274" t="s">
        <v>2536</v>
      </c>
      <c r="H4" s="3275"/>
      <c r="I4" s="3274" t="s">
        <v>2537</v>
      </c>
      <c r="J4" s="3275"/>
      <c r="K4" s="2596" t="s">
        <v>2538</v>
      </c>
      <c r="L4" s="1132"/>
      <c r="M4" s="1133"/>
      <c r="N4" s="1133"/>
      <c r="O4" s="1133"/>
      <c r="P4" s="3278" t="s">
        <v>2539</v>
      </c>
      <c r="Q4" s="3279"/>
      <c r="R4" s="3284" t="s">
        <v>2535</v>
      </c>
      <c r="S4" s="3285"/>
      <c r="T4" s="3284" t="s">
        <v>2536</v>
      </c>
      <c r="U4" s="3285"/>
      <c r="V4" s="3269" t="s">
        <v>2537</v>
      </c>
      <c r="W4" s="3269"/>
      <c r="X4" s="1815"/>
      <c r="Y4" s="3284" t="s">
        <v>2539</v>
      </c>
      <c r="Z4" s="3285"/>
      <c r="AA4" s="3271" t="s">
        <v>2535</v>
      </c>
      <c r="AB4" s="3271" t="s">
        <v>2536</v>
      </c>
      <c r="AC4" s="3271" t="s">
        <v>2537</v>
      </c>
    </row>
    <row r="5" spans="1:29" ht="15">
      <c r="A5" s="404"/>
      <c r="B5" s="405"/>
      <c r="C5" s="3329" t="s">
        <v>2540</v>
      </c>
      <c r="D5" s="3293"/>
      <c r="E5" s="3331" t="s">
        <v>2541</v>
      </c>
      <c r="F5" s="3301"/>
      <c r="G5" s="3329" t="s">
        <v>2542</v>
      </c>
      <c r="H5" s="3293"/>
      <c r="I5" s="3329" t="s">
        <v>2543</v>
      </c>
      <c r="J5" s="3293"/>
      <c r="K5" s="2597"/>
      <c r="L5" s="1132"/>
      <c r="M5" s="1133"/>
      <c r="N5" s="1133"/>
      <c r="O5" s="1133"/>
      <c r="P5" s="3280"/>
      <c r="Q5" s="3281"/>
      <c r="R5" s="3286"/>
      <c r="S5" s="3287"/>
      <c r="T5" s="3286"/>
      <c r="U5" s="3287"/>
      <c r="V5" s="3269"/>
      <c r="W5" s="3269"/>
      <c r="X5" s="1815"/>
      <c r="Y5" s="3286"/>
      <c r="Z5" s="3287"/>
      <c r="AA5" s="3272"/>
      <c r="AB5" s="3272"/>
      <c r="AC5" s="3272"/>
    </row>
    <row r="6" spans="1:29" ht="15.75" thickBot="1">
      <c r="A6" s="406"/>
      <c r="B6" s="407"/>
      <c r="C6" s="3297" t="s">
        <v>2544</v>
      </c>
      <c r="D6" s="3291"/>
      <c r="E6" s="3330" t="s">
        <v>2544</v>
      </c>
      <c r="F6" s="3299"/>
      <c r="G6" s="3297" t="s">
        <v>2544</v>
      </c>
      <c r="H6" s="3291"/>
      <c r="I6" s="3297" t="s">
        <v>2544</v>
      </c>
      <c r="J6" s="3291"/>
      <c r="K6" s="2597" t="s">
        <v>2545</v>
      </c>
      <c r="L6" s="1132"/>
      <c r="M6" s="1133"/>
      <c r="N6" s="1133"/>
      <c r="O6" s="1133"/>
      <c r="P6" s="3282"/>
      <c r="Q6" s="3283"/>
      <c r="R6" s="3286"/>
      <c r="S6" s="3287"/>
      <c r="T6" s="3288"/>
      <c r="U6" s="3289"/>
      <c r="V6" s="3269"/>
      <c r="W6" s="3269"/>
      <c r="X6" s="1815"/>
      <c r="Y6" s="3288"/>
      <c r="Z6" s="3289"/>
      <c r="AA6" s="3273"/>
      <c r="AB6" s="3273"/>
      <c r="AC6" s="3273"/>
    </row>
    <row r="7" spans="1:29" s="117" customFormat="1" ht="15.75" thickBot="1">
      <c r="A7" s="408" t="s">
        <v>2546</v>
      </c>
      <c r="B7" s="409"/>
      <c r="C7" s="410">
        <f>'数据-取费表'!B2</f>
        <v>43209</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294" t="s">
        <v>2547</v>
      </c>
      <c r="Q7" s="3296"/>
      <c r="R7" s="769" t="s">
        <v>23</v>
      </c>
      <c r="S7" s="770">
        <f t="shared" ref="S7:S15" si="0">F7</f>
        <v>0</v>
      </c>
      <c r="T7" s="769" t="s">
        <v>23</v>
      </c>
      <c r="U7" s="770">
        <f t="shared" ref="U7:U15" si="1">H7</f>
        <v>0</v>
      </c>
      <c r="V7" s="769" t="s">
        <v>23</v>
      </c>
      <c r="W7" s="770">
        <f t="shared" ref="W7:W15" si="2">J7</f>
        <v>0</v>
      </c>
      <c r="X7" s="771"/>
      <c r="Y7" s="3294" t="s">
        <v>2547</v>
      </c>
      <c r="Z7" s="3295"/>
      <c r="AA7" s="772" t="e">
        <f>D7/F7</f>
        <v>#DIV/0!</v>
      </c>
      <c r="AB7" s="772" t="e">
        <f>D7/H7</f>
        <v>#DIV/0!</v>
      </c>
      <c r="AC7" s="772"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294" t="s">
        <v>2550</v>
      </c>
      <c r="Q8" s="3295"/>
      <c r="R8" s="769" t="s">
        <v>23</v>
      </c>
      <c r="S8" s="770">
        <f t="shared" si="0"/>
        <v>0</v>
      </c>
      <c r="T8" s="769" t="s">
        <v>23</v>
      </c>
      <c r="U8" s="770">
        <f t="shared" si="1"/>
        <v>0</v>
      </c>
      <c r="V8" s="769" t="s">
        <v>23</v>
      </c>
      <c r="W8" s="770">
        <f t="shared" si="2"/>
        <v>0</v>
      </c>
      <c r="X8" s="771"/>
      <c r="Y8" s="3294" t="s">
        <v>2550</v>
      </c>
      <c r="Z8" s="3295"/>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70" t="s">
        <v>2553</v>
      </c>
      <c r="Q9" s="1797" t="str">
        <f t="shared" ref="Q9:Q15" si="6">B9</f>
        <v>用途</v>
      </c>
      <c r="R9" s="769" t="s">
        <v>17</v>
      </c>
      <c r="S9" s="770">
        <f t="shared" si="0"/>
        <v>100</v>
      </c>
      <c r="T9" s="769" t="s">
        <v>17</v>
      </c>
      <c r="U9" s="770">
        <f t="shared" si="1"/>
        <v>100</v>
      </c>
      <c r="V9" s="769" t="s">
        <v>17</v>
      </c>
      <c r="W9" s="770">
        <f t="shared" si="2"/>
        <v>100</v>
      </c>
      <c r="X9" s="771"/>
      <c r="Y9" s="3110"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70"/>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70"/>
      <c r="Q11" s="1797" t="str">
        <f t="shared" si="6"/>
        <v>容积率</v>
      </c>
      <c r="R11" s="769" t="s">
        <v>21</v>
      </c>
      <c r="S11" s="770" t="e">
        <f t="shared" si="0"/>
        <v>#N/A</v>
      </c>
      <c r="T11" s="769" t="s">
        <v>21</v>
      </c>
      <c r="U11" s="770" t="e">
        <f t="shared" si="1"/>
        <v>#N/A</v>
      </c>
      <c r="V11" s="769" t="s">
        <v>21</v>
      </c>
      <c r="W11" s="770" t="e">
        <f t="shared" si="2"/>
        <v>#N/A</v>
      </c>
      <c r="X11" s="771"/>
      <c r="Y11" s="3110"/>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70"/>
      <c r="Q12" s="1797">
        <f t="shared" si="6"/>
        <v>111</v>
      </c>
      <c r="R12" s="769" t="s">
        <v>21</v>
      </c>
      <c r="S12" s="770">
        <f t="shared" si="0"/>
        <v>100</v>
      </c>
      <c r="T12" s="769" t="s">
        <v>21</v>
      </c>
      <c r="U12" s="770">
        <f t="shared" si="1"/>
        <v>100</v>
      </c>
      <c r="V12" s="769" t="s">
        <v>21</v>
      </c>
      <c r="W12" s="770">
        <f t="shared" si="2"/>
        <v>100</v>
      </c>
      <c r="X12" s="771"/>
      <c r="Y12" s="3110"/>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70"/>
      <c r="Q13" s="1797">
        <f t="shared" si="6"/>
        <v>111</v>
      </c>
      <c r="R13" s="769" t="s">
        <v>21</v>
      </c>
      <c r="S13" s="770">
        <f t="shared" si="0"/>
        <v>100</v>
      </c>
      <c r="T13" s="769" t="s">
        <v>21</v>
      </c>
      <c r="U13" s="770">
        <f t="shared" si="1"/>
        <v>100</v>
      </c>
      <c r="V13" s="769" t="s">
        <v>21</v>
      </c>
      <c r="W13" s="770">
        <f t="shared" si="2"/>
        <v>100</v>
      </c>
      <c r="X13" s="771"/>
      <c r="Y13" s="3110"/>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70"/>
      <c r="Q14" s="1797">
        <f t="shared" si="6"/>
        <v>111</v>
      </c>
      <c r="R14" s="769" t="s">
        <v>21</v>
      </c>
      <c r="S14" s="770">
        <f t="shared" si="0"/>
        <v>100</v>
      </c>
      <c r="T14" s="769" t="s">
        <v>21</v>
      </c>
      <c r="U14" s="770">
        <f t="shared" si="1"/>
        <v>100</v>
      </c>
      <c r="V14" s="769" t="s">
        <v>21</v>
      </c>
      <c r="W14" s="770">
        <f t="shared" si="2"/>
        <v>100</v>
      </c>
      <c r="X14" s="771"/>
      <c r="Y14" s="3110"/>
      <c r="Z14" s="55">
        <f t="shared" si="7"/>
        <v>111</v>
      </c>
      <c r="AA14" s="772">
        <f t="shared" si="3"/>
        <v>1</v>
      </c>
      <c r="AB14" s="772">
        <f t="shared" si="4"/>
        <v>1</v>
      </c>
      <c r="AC14" s="772">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60" t="s">
        <v>2558</v>
      </c>
      <c r="Q15" s="1812" t="str">
        <f t="shared" si="6"/>
        <v>居住社区成熟度</v>
      </c>
      <c r="R15" s="773" t="s">
        <v>21</v>
      </c>
      <c r="S15" s="774">
        <f t="shared" si="0"/>
        <v>100</v>
      </c>
      <c r="T15" s="773" t="s">
        <v>21</v>
      </c>
      <c r="U15" s="774">
        <f t="shared" si="1"/>
        <v>100</v>
      </c>
      <c r="V15" s="773" t="s">
        <v>21</v>
      </c>
      <c r="W15" s="774">
        <f t="shared" si="2"/>
        <v>100</v>
      </c>
      <c r="X15" s="1815"/>
      <c r="Y15" s="3262" t="s">
        <v>2558</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261"/>
      <c r="Q16" s="1812"/>
      <c r="R16" s="773"/>
      <c r="S16" s="774"/>
      <c r="T16" s="773"/>
      <c r="U16" s="774"/>
      <c r="V16" s="773"/>
      <c r="W16" s="774"/>
      <c r="X16" s="1815"/>
      <c r="Y16" s="3263"/>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61"/>
      <c r="Q17" s="1812" t="str">
        <f>B17</f>
        <v>交通便捷度</v>
      </c>
      <c r="R17" s="773" t="s">
        <v>21</v>
      </c>
      <c r="S17" s="774">
        <f>F17</f>
        <v>100</v>
      </c>
      <c r="T17" s="773" t="s">
        <v>21</v>
      </c>
      <c r="U17" s="774">
        <f>H17</f>
        <v>100</v>
      </c>
      <c r="V17" s="773" t="s">
        <v>21</v>
      </c>
      <c r="W17" s="774">
        <f>J17</f>
        <v>100</v>
      </c>
      <c r="X17" s="1815"/>
      <c r="Y17" s="3263"/>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261"/>
      <c r="Q18" s="1812"/>
      <c r="R18" s="773"/>
      <c r="S18" s="774"/>
      <c r="T18" s="773"/>
      <c r="U18" s="774"/>
      <c r="V18" s="773"/>
      <c r="W18" s="774"/>
      <c r="X18" s="1815"/>
      <c r="Y18" s="3263"/>
      <c r="Z18" s="1816"/>
      <c r="AA18" s="1813">
        <v>1</v>
      </c>
      <c r="AB18" s="1813">
        <v>1</v>
      </c>
      <c r="AC18" s="1813">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61"/>
      <c r="Q19" s="1812" t="str">
        <f>B19</f>
        <v>公共配套设施</v>
      </c>
      <c r="R19" s="773" t="s">
        <v>21</v>
      </c>
      <c r="S19" s="774">
        <f>F19</f>
        <v>100</v>
      </c>
      <c r="T19" s="773" t="s">
        <v>21</v>
      </c>
      <c r="U19" s="774">
        <f>H19</f>
        <v>100</v>
      </c>
      <c r="V19" s="773" t="s">
        <v>21</v>
      </c>
      <c r="W19" s="774">
        <f>J19</f>
        <v>100</v>
      </c>
      <c r="X19" s="1815"/>
      <c r="Y19" s="3263"/>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261"/>
      <c r="Q20" s="1812"/>
      <c r="R20" s="773"/>
      <c r="S20" s="774"/>
      <c r="T20" s="773"/>
      <c r="U20" s="774"/>
      <c r="V20" s="773"/>
      <c r="W20" s="774"/>
      <c r="X20" s="1815"/>
      <c r="Y20" s="3263"/>
      <c r="Z20" s="1816"/>
      <c r="AA20" s="1813">
        <v>1</v>
      </c>
      <c r="AB20" s="1813">
        <v>1</v>
      </c>
      <c r="AC20" s="1813">
        <v>1</v>
      </c>
    </row>
    <row r="21" spans="1:29" ht="28.5">
      <c r="A21" s="428"/>
      <c r="B21" s="1386"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61"/>
      <c r="Q21" s="1812" t="str">
        <f>B21</f>
        <v>基础设施水平</v>
      </c>
      <c r="R21" s="773" t="s">
        <v>17</v>
      </c>
      <c r="S21" s="774">
        <f>F21</f>
        <v>100</v>
      </c>
      <c r="T21" s="773" t="s">
        <v>17</v>
      </c>
      <c r="U21" s="774">
        <f>H21</f>
        <v>100</v>
      </c>
      <c r="V21" s="773" t="s">
        <v>17</v>
      </c>
      <c r="W21" s="774">
        <f>J21</f>
        <v>100</v>
      </c>
      <c r="X21" s="1815"/>
      <c r="Y21" s="3263"/>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261"/>
      <c r="Q22" s="1812"/>
      <c r="R22" s="773"/>
      <c r="S22" s="774"/>
      <c r="T22" s="773"/>
      <c r="U22" s="774"/>
      <c r="V22" s="773"/>
      <c r="W22" s="774"/>
      <c r="X22" s="1815"/>
      <c r="Y22" s="3263"/>
      <c r="Z22" s="1816"/>
      <c r="AA22" s="1813">
        <v>1</v>
      </c>
      <c r="AB22" s="1813">
        <v>1</v>
      </c>
      <c r="AC22" s="1813">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61"/>
      <c r="Q23" s="1812" t="str">
        <f>B23</f>
        <v>自然及人文环境</v>
      </c>
      <c r="R23" s="773" t="s">
        <v>21</v>
      </c>
      <c r="S23" s="774">
        <f>F23</f>
        <v>100</v>
      </c>
      <c r="T23" s="773" t="s">
        <v>21</v>
      </c>
      <c r="U23" s="774">
        <f>H23</f>
        <v>100</v>
      </c>
      <c r="V23" s="773" t="s">
        <v>21</v>
      </c>
      <c r="W23" s="774">
        <f>J23</f>
        <v>100</v>
      </c>
      <c r="X23" s="1815"/>
      <c r="Y23" s="3263"/>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261"/>
      <c r="Q24" s="1812"/>
      <c r="R24" s="773"/>
      <c r="S24" s="774"/>
      <c r="T24" s="773"/>
      <c r="U24" s="774"/>
      <c r="V24" s="773"/>
      <c r="W24" s="774"/>
      <c r="X24" s="1815"/>
      <c r="Y24" s="3263"/>
      <c r="Z24" s="1816"/>
      <c r="AA24" s="1813">
        <v>1</v>
      </c>
      <c r="AB24" s="1813">
        <v>1</v>
      </c>
      <c r="AC24" s="1813">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61"/>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63"/>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61"/>
      <c r="Q26" s="1812" t="str">
        <f t="shared" si="11"/>
        <v>朝向</v>
      </c>
      <c r="R26" s="773" t="s">
        <v>21</v>
      </c>
      <c r="S26" s="774">
        <f t="shared" si="12"/>
        <v>100</v>
      </c>
      <c r="T26" s="773" t="s">
        <v>21</v>
      </c>
      <c r="U26" s="774">
        <f t="shared" si="13"/>
        <v>100</v>
      </c>
      <c r="V26" s="773" t="s">
        <v>21</v>
      </c>
      <c r="W26" s="774">
        <f t="shared" si="14"/>
        <v>100</v>
      </c>
      <c r="X26" s="1815"/>
      <c r="Y26" s="3263"/>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61"/>
      <c r="Q27" s="1797">
        <f t="shared" si="11"/>
        <v>111</v>
      </c>
      <c r="R27" s="769" t="s">
        <v>21</v>
      </c>
      <c r="S27" s="770">
        <f t="shared" si="12"/>
        <v>100</v>
      </c>
      <c r="T27" s="769" t="s">
        <v>21</v>
      </c>
      <c r="U27" s="770">
        <f t="shared" si="13"/>
        <v>100</v>
      </c>
      <c r="V27" s="769" t="s">
        <v>21</v>
      </c>
      <c r="W27" s="770">
        <f t="shared" si="14"/>
        <v>100</v>
      </c>
      <c r="X27" s="771"/>
      <c r="Y27" s="3263"/>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61"/>
      <c r="Q28" s="1812">
        <f t="shared" si="11"/>
        <v>111</v>
      </c>
      <c r="R28" s="773" t="s">
        <v>21</v>
      </c>
      <c r="S28" s="774">
        <f t="shared" si="12"/>
        <v>100</v>
      </c>
      <c r="T28" s="773" t="s">
        <v>21</v>
      </c>
      <c r="U28" s="774">
        <f t="shared" si="13"/>
        <v>100</v>
      </c>
      <c r="V28" s="773" t="s">
        <v>21</v>
      </c>
      <c r="W28" s="774">
        <f t="shared" si="14"/>
        <v>100</v>
      </c>
      <c r="X28" s="1815"/>
      <c r="Y28" s="3263"/>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61"/>
      <c r="Q29" s="1812">
        <f t="shared" si="11"/>
        <v>111</v>
      </c>
      <c r="R29" s="773" t="s">
        <v>21</v>
      </c>
      <c r="S29" s="774">
        <f t="shared" si="12"/>
        <v>100</v>
      </c>
      <c r="T29" s="773" t="s">
        <v>21</v>
      </c>
      <c r="U29" s="774">
        <f t="shared" si="13"/>
        <v>100</v>
      </c>
      <c r="V29" s="773" t="s">
        <v>21</v>
      </c>
      <c r="W29" s="774">
        <f t="shared" si="14"/>
        <v>100</v>
      </c>
      <c r="X29" s="1815"/>
      <c r="Y29" s="3263"/>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61"/>
      <c r="Q30" s="1812">
        <f t="shared" si="11"/>
        <v>111</v>
      </c>
      <c r="R30" s="773" t="s">
        <v>21</v>
      </c>
      <c r="S30" s="774">
        <f t="shared" si="12"/>
        <v>100</v>
      </c>
      <c r="T30" s="773" t="s">
        <v>21</v>
      </c>
      <c r="U30" s="774">
        <f t="shared" si="13"/>
        <v>100</v>
      </c>
      <c r="V30" s="773" t="s">
        <v>21</v>
      </c>
      <c r="W30" s="774">
        <f t="shared" si="14"/>
        <v>100</v>
      </c>
      <c r="X30" s="1815"/>
      <c r="Y30" s="3263"/>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61"/>
      <c r="Q31" s="1812">
        <f t="shared" si="11"/>
        <v>111</v>
      </c>
      <c r="R31" s="773" t="s">
        <v>21</v>
      </c>
      <c r="S31" s="774">
        <f t="shared" si="12"/>
        <v>100</v>
      </c>
      <c r="T31" s="773" t="s">
        <v>21</v>
      </c>
      <c r="U31" s="774">
        <f t="shared" si="13"/>
        <v>100</v>
      </c>
      <c r="V31" s="773" t="s">
        <v>21</v>
      </c>
      <c r="W31" s="774">
        <f t="shared" si="14"/>
        <v>100</v>
      </c>
      <c r="X31" s="1815"/>
      <c r="Y31" s="3263"/>
      <c r="Z31" s="1816">
        <f t="shared" si="18"/>
        <v>111</v>
      </c>
      <c r="AA31" s="1813">
        <f t="shared" si="15"/>
        <v>1</v>
      </c>
      <c r="AB31" s="1813">
        <f t="shared" si="16"/>
        <v>1</v>
      </c>
      <c r="AC31" s="1813">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64" t="s">
        <v>2563</v>
      </c>
      <c r="Q32" s="1812" t="str">
        <f t="shared" si="11"/>
        <v>建筑类型</v>
      </c>
      <c r="R32" s="773" t="s">
        <v>21</v>
      </c>
      <c r="S32" s="774">
        <f t="shared" si="12"/>
        <v>100</v>
      </c>
      <c r="T32" s="773" t="s">
        <v>21</v>
      </c>
      <c r="U32" s="774">
        <f t="shared" si="13"/>
        <v>100</v>
      </c>
      <c r="V32" s="773" t="s">
        <v>21</v>
      </c>
      <c r="W32" s="774">
        <f t="shared" si="14"/>
        <v>100</v>
      </c>
      <c r="X32" s="1815"/>
      <c r="Y32" s="3267"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65"/>
      <c r="Q33" s="775" t="str">
        <f t="shared" si="11"/>
        <v>项目建筑规模</v>
      </c>
      <c r="R33" s="776" t="s">
        <v>21</v>
      </c>
      <c r="S33" s="777" t="e">
        <f t="shared" si="12"/>
        <v>#N/A</v>
      </c>
      <c r="T33" s="776" t="s">
        <v>21</v>
      </c>
      <c r="U33" s="777" t="e">
        <f t="shared" si="13"/>
        <v>#N/A</v>
      </c>
      <c r="V33" s="776" t="s">
        <v>21</v>
      </c>
      <c r="W33" s="777" t="e">
        <f t="shared" si="14"/>
        <v>#N/A</v>
      </c>
      <c r="X33" s="778"/>
      <c r="Y33" s="3267"/>
      <c r="Z33" s="779" t="str">
        <f t="shared" si="18"/>
        <v>项目建筑规模</v>
      </c>
      <c r="AA33" s="1813" t="e">
        <f t="shared" si="15"/>
        <v>#N/A</v>
      </c>
      <c r="AB33" s="1813" t="e">
        <f t="shared" si="16"/>
        <v>#N/A</v>
      </c>
      <c r="AC33" s="1813"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65"/>
      <c r="Q34" s="1812" t="str">
        <f t="shared" si="11"/>
        <v>建筑结构</v>
      </c>
      <c r="R34" s="773" t="s">
        <v>21</v>
      </c>
      <c r="S34" s="774">
        <f t="shared" si="12"/>
        <v>100</v>
      </c>
      <c r="T34" s="773" t="s">
        <v>21</v>
      </c>
      <c r="U34" s="774">
        <f t="shared" si="13"/>
        <v>100</v>
      </c>
      <c r="V34" s="773" t="s">
        <v>21</v>
      </c>
      <c r="W34" s="774">
        <f t="shared" si="14"/>
        <v>100</v>
      </c>
      <c r="X34" s="1815"/>
      <c r="Y34" s="3267"/>
      <c r="Z34" s="1816" t="str">
        <f t="shared" si="18"/>
        <v>建筑结构</v>
      </c>
      <c r="AA34" s="1813">
        <f t="shared" si="15"/>
        <v>1</v>
      </c>
      <c r="AB34" s="1813">
        <f t="shared" si="16"/>
        <v>1</v>
      </c>
      <c r="AC34" s="1813">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65"/>
      <c r="Q35" s="1812" t="str">
        <f t="shared" si="11"/>
        <v>建筑品质</v>
      </c>
      <c r="R35" s="773" t="s">
        <v>21</v>
      </c>
      <c r="S35" s="774">
        <f t="shared" si="12"/>
        <v>100</v>
      </c>
      <c r="T35" s="773" t="s">
        <v>21</v>
      </c>
      <c r="U35" s="774">
        <f t="shared" si="13"/>
        <v>100</v>
      </c>
      <c r="V35" s="773" t="s">
        <v>21</v>
      </c>
      <c r="W35" s="774">
        <f t="shared" si="14"/>
        <v>100</v>
      </c>
      <c r="X35" s="1815"/>
      <c r="Y35" s="3267"/>
      <c r="Z35" s="1816" t="str">
        <f t="shared" si="18"/>
        <v>建筑品质</v>
      </c>
      <c r="AA35" s="1813">
        <f t="shared" si="15"/>
        <v>1</v>
      </c>
      <c r="AB35" s="1813">
        <f t="shared" si="16"/>
        <v>1</v>
      </c>
      <c r="AC35" s="1813">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65"/>
      <c r="Q36" s="1812" t="str">
        <f t="shared" si="11"/>
        <v>公共部分装修</v>
      </c>
      <c r="R36" s="773" t="s">
        <v>21</v>
      </c>
      <c r="S36" s="774">
        <f t="shared" si="12"/>
        <v>100</v>
      </c>
      <c r="T36" s="773" t="s">
        <v>21</v>
      </c>
      <c r="U36" s="774">
        <f t="shared" si="13"/>
        <v>100</v>
      </c>
      <c r="V36" s="773" t="s">
        <v>21</v>
      </c>
      <c r="W36" s="774">
        <f t="shared" si="14"/>
        <v>100</v>
      </c>
      <c r="X36" s="1815"/>
      <c r="Y36" s="3267"/>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65"/>
      <c r="Q37" s="1797" t="str">
        <f t="shared" si="11"/>
        <v>成新度</v>
      </c>
      <c r="R37" s="769" t="s">
        <v>21</v>
      </c>
      <c r="S37" s="770" t="e">
        <f t="shared" si="12"/>
        <v>#N/A</v>
      </c>
      <c r="T37" s="769" t="s">
        <v>21</v>
      </c>
      <c r="U37" s="770" t="e">
        <f t="shared" si="13"/>
        <v>#N/A</v>
      </c>
      <c r="V37" s="769" t="s">
        <v>21</v>
      </c>
      <c r="W37" s="770" t="e">
        <f t="shared" si="14"/>
        <v>#N/A</v>
      </c>
      <c r="X37" s="771"/>
      <c r="Y37" s="3267"/>
      <c r="Z37" s="55" t="str">
        <f t="shared" si="18"/>
        <v>成新度</v>
      </c>
      <c r="AA37" s="772" t="e">
        <f t="shared" si="15"/>
        <v>#N/A</v>
      </c>
      <c r="AB37" s="772" t="e">
        <f t="shared" si="16"/>
        <v>#N/A</v>
      </c>
      <c r="AC37" s="772"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65" t="s">
        <v>2563</v>
      </c>
      <c r="Q38" s="1812" t="str">
        <f t="shared" si="11"/>
        <v>物业管理</v>
      </c>
      <c r="R38" s="773" t="s">
        <v>21</v>
      </c>
      <c r="S38" s="774">
        <f t="shared" si="12"/>
        <v>100</v>
      </c>
      <c r="T38" s="773" t="s">
        <v>21</v>
      </c>
      <c r="U38" s="774">
        <f t="shared" si="13"/>
        <v>100</v>
      </c>
      <c r="V38" s="773" t="s">
        <v>21</v>
      </c>
      <c r="W38" s="774">
        <f t="shared" si="14"/>
        <v>100</v>
      </c>
      <c r="X38" s="1815"/>
      <c r="Y38" s="3267" t="s">
        <v>2563</v>
      </c>
      <c r="Z38" s="1816" t="str">
        <f t="shared" si="18"/>
        <v>物业管理</v>
      </c>
      <c r="AA38" s="1813">
        <f t="shared" si="15"/>
        <v>1</v>
      </c>
      <c r="AB38" s="1813">
        <f t="shared" si="16"/>
        <v>1</v>
      </c>
      <c r="AC38" s="1813">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65"/>
      <c r="Q39" s="1812" t="str">
        <f t="shared" si="11"/>
        <v>市政基础设施</v>
      </c>
      <c r="R39" s="773" t="s">
        <v>21</v>
      </c>
      <c r="S39" s="774">
        <f t="shared" si="12"/>
        <v>100</v>
      </c>
      <c r="T39" s="773" t="s">
        <v>21</v>
      </c>
      <c r="U39" s="774">
        <f t="shared" si="13"/>
        <v>100</v>
      </c>
      <c r="V39" s="773" t="s">
        <v>21</v>
      </c>
      <c r="W39" s="774">
        <f t="shared" si="14"/>
        <v>100</v>
      </c>
      <c r="X39" s="1815"/>
      <c r="Y39" s="3267"/>
      <c r="Z39" s="1816" t="str">
        <f t="shared" si="18"/>
        <v>市政基础设施</v>
      </c>
      <c r="AA39" s="1813">
        <f t="shared" si="15"/>
        <v>1</v>
      </c>
      <c r="AB39" s="1813">
        <f t="shared" si="16"/>
        <v>1</v>
      </c>
      <c r="AC39" s="1813">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65"/>
      <c r="Q40" s="1812" t="str">
        <f t="shared" si="11"/>
        <v>房型</v>
      </c>
      <c r="R40" s="773" t="s">
        <v>21</v>
      </c>
      <c r="S40" s="774">
        <f t="shared" si="12"/>
        <v>100</v>
      </c>
      <c r="T40" s="773" t="s">
        <v>21</v>
      </c>
      <c r="U40" s="774">
        <f t="shared" si="13"/>
        <v>100</v>
      </c>
      <c r="V40" s="773" t="s">
        <v>21</v>
      </c>
      <c r="W40" s="774">
        <f t="shared" si="14"/>
        <v>100</v>
      </c>
      <c r="X40" s="1815"/>
      <c r="Y40" s="3267"/>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65"/>
      <c r="Q41" s="775" t="str">
        <f t="shared" si="11"/>
        <v>单套/主力户型建筑面积</v>
      </c>
      <c r="R41" s="776" t="s">
        <v>21</v>
      </c>
      <c r="S41" s="777">
        <f t="shared" si="12"/>
        <v>100</v>
      </c>
      <c r="T41" s="776" t="s">
        <v>21</v>
      </c>
      <c r="U41" s="777">
        <f t="shared" si="13"/>
        <v>100</v>
      </c>
      <c r="V41" s="776" t="s">
        <v>21</v>
      </c>
      <c r="W41" s="777">
        <f t="shared" si="14"/>
        <v>100</v>
      </c>
      <c r="X41" s="778"/>
      <c r="Y41" s="3267"/>
      <c r="Z41" s="779" t="str">
        <f t="shared" si="18"/>
        <v>单套/主力户型建筑面积</v>
      </c>
      <c r="AA41" s="1813">
        <f t="shared" si="15"/>
        <v>1</v>
      </c>
      <c r="AB41" s="1813">
        <f t="shared" si="16"/>
        <v>1</v>
      </c>
      <c r="AC41" s="1813">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65"/>
      <c r="Q42" s="1812" t="str">
        <f t="shared" si="11"/>
        <v>内部装修</v>
      </c>
      <c r="R42" s="773" t="s">
        <v>21</v>
      </c>
      <c r="S42" s="774">
        <f t="shared" si="12"/>
        <v>100</v>
      </c>
      <c r="T42" s="773" t="s">
        <v>21</v>
      </c>
      <c r="U42" s="774">
        <f t="shared" si="13"/>
        <v>100</v>
      </c>
      <c r="V42" s="773" t="s">
        <v>21</v>
      </c>
      <c r="W42" s="774">
        <f t="shared" si="14"/>
        <v>100</v>
      </c>
      <c r="X42" s="1815"/>
      <c r="Y42" s="3267"/>
      <c r="Z42" s="1816" t="str">
        <f t="shared" si="18"/>
        <v>内部装修</v>
      </c>
      <c r="AA42" s="1813">
        <f t="shared" si="15"/>
        <v>1</v>
      </c>
      <c r="AB42" s="1813">
        <f t="shared" si="16"/>
        <v>1</v>
      </c>
      <c r="AC42" s="1813">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65"/>
      <c r="Q43" s="1812" t="str">
        <f t="shared" si="11"/>
        <v>内部装修维护情况</v>
      </c>
      <c r="R43" s="773" t="s">
        <v>21</v>
      </c>
      <c r="S43" s="774">
        <f t="shared" si="12"/>
        <v>100</v>
      </c>
      <c r="T43" s="773" t="s">
        <v>21</v>
      </c>
      <c r="U43" s="774">
        <f t="shared" si="13"/>
        <v>100</v>
      </c>
      <c r="V43" s="773" t="s">
        <v>21</v>
      </c>
      <c r="W43" s="774">
        <f t="shared" si="14"/>
        <v>100</v>
      </c>
      <c r="X43" s="1815"/>
      <c r="Y43" s="3267"/>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65"/>
      <c r="Q44" s="1797">
        <f t="shared" si="11"/>
        <v>111</v>
      </c>
      <c r="R44" s="769" t="s">
        <v>21</v>
      </c>
      <c r="S44" s="770">
        <f t="shared" si="12"/>
        <v>100</v>
      </c>
      <c r="T44" s="769" t="s">
        <v>21</v>
      </c>
      <c r="U44" s="770">
        <f t="shared" si="13"/>
        <v>100</v>
      </c>
      <c r="V44" s="769" t="s">
        <v>21</v>
      </c>
      <c r="W44" s="770">
        <f t="shared" si="14"/>
        <v>100</v>
      </c>
      <c r="X44" s="771"/>
      <c r="Y44" s="3267"/>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65"/>
      <c r="Q45" s="1812">
        <f t="shared" si="11"/>
        <v>111</v>
      </c>
      <c r="R45" s="773" t="s">
        <v>21</v>
      </c>
      <c r="S45" s="774">
        <f t="shared" si="12"/>
        <v>100</v>
      </c>
      <c r="T45" s="773" t="s">
        <v>21</v>
      </c>
      <c r="U45" s="774">
        <f t="shared" si="13"/>
        <v>100</v>
      </c>
      <c r="V45" s="773" t="s">
        <v>21</v>
      </c>
      <c r="W45" s="774">
        <f t="shared" si="14"/>
        <v>100</v>
      </c>
      <c r="X45" s="1815"/>
      <c r="Y45" s="3267"/>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66"/>
      <c r="Q46" s="1812">
        <f t="shared" si="11"/>
        <v>111</v>
      </c>
      <c r="R46" s="773" t="s">
        <v>20</v>
      </c>
      <c r="S46" s="774">
        <f t="shared" si="12"/>
        <v>100</v>
      </c>
      <c r="T46" s="773" t="s">
        <v>20</v>
      </c>
      <c r="U46" s="774">
        <f t="shared" si="13"/>
        <v>100</v>
      </c>
      <c r="V46" s="773" t="s">
        <v>20</v>
      </c>
      <c r="W46" s="774">
        <f t="shared" si="14"/>
        <v>100</v>
      </c>
      <c r="X46" s="1815"/>
      <c r="Y46" s="3268"/>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1"/>
      <c r="L47" s="1145"/>
      <c r="M47" s="1146"/>
      <c r="N47" s="1133"/>
      <c r="O47" s="1146"/>
      <c r="P47" s="3255" t="str">
        <f>A47</f>
        <v>成交单价（元/平方米）</v>
      </c>
      <c r="Q47" s="3255"/>
      <c r="R47" s="3256">
        <f>E47</f>
        <v>0</v>
      </c>
      <c r="S47" s="3256"/>
      <c r="T47" s="3256">
        <f>G47</f>
        <v>0</v>
      </c>
      <c r="U47" s="3256"/>
      <c r="V47" s="3256">
        <f>I47</f>
        <v>0</v>
      </c>
      <c r="W47" s="3256"/>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22"/>
      <c r="L48" s="1145"/>
      <c r="M48" s="1146"/>
      <c r="N48" s="1146"/>
      <c r="O48" s="1146"/>
      <c r="P48" s="3255" t="str">
        <f>A48</f>
        <v>比较价值（元/平方米）</v>
      </c>
      <c r="Q48" s="3255"/>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23"/>
      <c r="L49" s="1145"/>
      <c r="M49" s="1146"/>
      <c r="N49" s="1146"/>
      <c r="O49" s="1146"/>
      <c r="P49" s="3257" t="str">
        <f>A49</f>
        <v>估价对象XX用房的比较价值（楼面单价，元/平方米）</v>
      </c>
      <c r="Q49" s="3258"/>
      <c r="R49" s="3259" t="e">
        <f>IF(F1="售价",ROUND(AVERAGE(R48:V48),0),ROUND(AVERAGE(R48:V48),1))</f>
        <v>#DIV/0!</v>
      </c>
      <c r="S49" s="3259"/>
      <c r="T49" s="3259"/>
      <c r="U49" s="3259"/>
      <c r="V49" s="3259"/>
      <c r="W49" s="325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6"/>
      <c r="Q57" s="504"/>
    </row>
    <row r="58" spans="1:29" s="508" customFormat="1" ht="15">
      <c r="A58" s="505" t="s">
        <v>2582</v>
      </c>
      <c r="B58" s="506"/>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0"/>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2608</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2609</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2561</v>
      </c>
      <c r="B100" s="528" t="s">
        <v>2610</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2612</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2613</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2614</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2615</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2616</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2617</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2618</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6">
        <v>6</v>
      </c>
      <c r="C139" s="1087">
        <v>96</v>
      </c>
      <c r="D139" s="2648" t="s">
        <v>2629</v>
      </c>
      <c r="E139" s="1088">
        <v>100</v>
      </c>
      <c r="F139" s="1089">
        <v>102.5</v>
      </c>
      <c r="G139" s="2648" t="s">
        <v>2629</v>
      </c>
      <c r="H139" s="1090">
        <v>105</v>
      </c>
      <c r="I139" s="2649" t="s">
        <v>2630</v>
      </c>
      <c r="J139" s="1087">
        <v>20</v>
      </c>
      <c r="K139" s="1091">
        <f>C145/(J139-2)</f>
        <v>4.0555555555555553E-3</v>
      </c>
    </row>
    <row r="140" spans="1:17" ht="15">
      <c r="B140" s="1092">
        <v>5</v>
      </c>
      <c r="C140" s="1093">
        <v>100</v>
      </c>
      <c r="D140" s="1093"/>
      <c r="E140" s="1094"/>
      <c r="F140" s="1095">
        <v>102</v>
      </c>
      <c r="G140" s="1093"/>
      <c r="H140" s="1096"/>
      <c r="I140" s="2650" t="s">
        <v>2631</v>
      </c>
      <c r="J140" s="315">
        <f>ROUNDUP((J139-1)/2,0)</f>
        <v>10</v>
      </c>
      <c r="K140" s="1097">
        <v>100</v>
      </c>
    </row>
    <row r="141" spans="1:17" ht="15">
      <c r="B141" s="1092">
        <v>4</v>
      </c>
      <c r="C141" s="1093">
        <v>102</v>
      </c>
      <c r="D141" s="1093"/>
      <c r="E141" s="1094"/>
      <c r="F141" s="1095">
        <v>101.5</v>
      </c>
      <c r="G141" s="1093"/>
      <c r="H141" s="1096"/>
      <c r="I141" s="2650" t="s">
        <v>2632</v>
      </c>
      <c r="J141" s="315">
        <v>1</v>
      </c>
      <c r="K141" s="1098">
        <f>ROUND(100+(J141-J140)*K139*100,1)</f>
        <v>96.4</v>
      </c>
    </row>
    <row r="142" spans="1:17" ht="15">
      <c r="B142" s="1092">
        <v>3</v>
      </c>
      <c r="C142" s="1093">
        <v>103</v>
      </c>
      <c r="D142" s="1093"/>
      <c r="E142" s="1094"/>
      <c r="F142" s="1095">
        <v>101</v>
      </c>
      <c r="G142" s="1093"/>
      <c r="H142" s="1096"/>
      <c r="I142" s="2650" t="s">
        <v>2633</v>
      </c>
      <c r="J142" s="315">
        <f>J139</f>
        <v>20</v>
      </c>
      <c r="K142" s="1099">
        <v>95</v>
      </c>
    </row>
    <row r="143" spans="1:17" ht="15">
      <c r="B143" s="1092">
        <v>2</v>
      </c>
      <c r="C143" s="1093">
        <v>100</v>
      </c>
      <c r="D143" s="1093"/>
      <c r="E143" s="1094"/>
      <c r="F143" s="1095">
        <v>100.5</v>
      </c>
      <c r="G143" s="1093"/>
      <c r="H143" s="1096"/>
      <c r="I143" s="2650" t="s">
        <v>2634</v>
      </c>
      <c r="J143" s="1093">
        <v>15</v>
      </c>
      <c r="K143" s="1098">
        <f>ROUND(100+(J143-J140)*K139*100,1)</f>
        <v>102</v>
      </c>
    </row>
    <row r="144" spans="1:17" ht="15">
      <c r="B144" s="1092">
        <v>1</v>
      </c>
      <c r="C144" s="1093">
        <v>98</v>
      </c>
      <c r="D144" s="2651" t="s">
        <v>2635</v>
      </c>
      <c r="E144" s="1094">
        <v>102</v>
      </c>
      <c r="F144" s="1100">
        <v>100</v>
      </c>
      <c r="G144" s="2651" t="s">
        <v>2635</v>
      </c>
      <c r="H144" s="1096">
        <v>105</v>
      </c>
      <c r="I144" s="2650" t="s">
        <v>2634</v>
      </c>
      <c r="J144" s="1093">
        <v>18</v>
      </c>
      <c r="K144" s="1098">
        <f>ROUND(100+(J144-J140)*K139*100,1)</f>
        <v>103.2</v>
      </c>
    </row>
    <row r="145" spans="2:11" ht="15.75" thickBot="1">
      <c r="B145" s="2652" t="s">
        <v>2636</v>
      </c>
      <c r="C145" s="1101">
        <f>ROUND(MAX(C139:C144)/MIN(C139:C144)-1,3)</f>
        <v>7.2999999999999995E-2</v>
      </c>
      <c r="D145" s="1102"/>
      <c r="E145" s="1102"/>
      <c r="F145" s="2653" t="s">
        <v>2637</v>
      </c>
      <c r="G145" s="2654"/>
      <c r="H145" s="2655"/>
      <c r="I145" s="2656" t="s">
        <v>2634</v>
      </c>
      <c r="J145" s="1103">
        <v>8</v>
      </c>
      <c r="K145" s="1104">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2684</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6"/>
      <c r="D2" s="1367"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39089.930000000037</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274" t="s">
        <v>2644</v>
      </c>
      <c r="D4" s="3275"/>
      <c r="E4" s="3276" t="s">
        <v>2645</v>
      </c>
      <c r="F4" s="3277"/>
      <c r="G4" s="3274" t="s">
        <v>2646</v>
      </c>
      <c r="H4" s="3275"/>
      <c r="I4" s="3274" t="s">
        <v>2647</v>
      </c>
      <c r="J4" s="3275"/>
      <c r="K4" s="610" t="s">
        <v>2648</v>
      </c>
      <c r="L4" s="1132"/>
      <c r="M4" s="1133"/>
      <c r="N4" s="1133"/>
      <c r="O4" s="1133"/>
      <c r="P4" s="3338" t="s">
        <v>2649</v>
      </c>
      <c r="Q4" s="3339"/>
      <c r="R4" s="3342" t="s">
        <v>2645</v>
      </c>
      <c r="S4" s="3343"/>
      <c r="T4" s="3342" t="s">
        <v>2646</v>
      </c>
      <c r="U4" s="3343"/>
      <c r="V4" s="3344" t="s">
        <v>2647</v>
      </c>
      <c r="W4" s="3344"/>
      <c r="X4" s="2670"/>
      <c r="Y4" s="3342" t="s">
        <v>2649</v>
      </c>
      <c r="Z4" s="3343"/>
      <c r="AA4" s="3346" t="s">
        <v>2645</v>
      </c>
      <c r="AB4" s="3346" t="s">
        <v>2646</v>
      </c>
      <c r="AC4" s="3335" t="s">
        <v>2647</v>
      </c>
    </row>
    <row r="5" spans="1:29" ht="15">
      <c r="A5" s="404"/>
      <c r="B5" s="405"/>
      <c r="C5" s="3329" t="s">
        <v>2540</v>
      </c>
      <c r="D5" s="3293"/>
      <c r="E5" s="3331" t="s">
        <v>2541</v>
      </c>
      <c r="F5" s="3301"/>
      <c r="G5" s="3329" t="s">
        <v>2542</v>
      </c>
      <c r="H5" s="3293"/>
      <c r="I5" s="3329" t="s">
        <v>2543</v>
      </c>
      <c r="J5" s="3293"/>
      <c r="K5" s="610"/>
      <c r="L5" s="1132"/>
      <c r="M5" s="1133"/>
      <c r="N5" s="1133"/>
      <c r="O5" s="1133"/>
      <c r="P5" s="3340"/>
      <c r="Q5" s="3281"/>
      <c r="R5" s="3286"/>
      <c r="S5" s="3287"/>
      <c r="T5" s="3286"/>
      <c r="U5" s="3287"/>
      <c r="V5" s="3269"/>
      <c r="W5" s="3269"/>
      <c r="X5" s="1815"/>
      <c r="Y5" s="3286"/>
      <c r="Z5" s="3287"/>
      <c r="AA5" s="3272"/>
      <c r="AB5" s="3272"/>
      <c r="AC5" s="3336"/>
    </row>
    <row r="6" spans="1:29" ht="15.75" thickBot="1">
      <c r="A6" s="406"/>
      <c r="B6" s="407"/>
      <c r="C6" s="3297" t="s">
        <v>2544</v>
      </c>
      <c r="D6" s="3291"/>
      <c r="E6" s="3330" t="s">
        <v>2544</v>
      </c>
      <c r="F6" s="3299"/>
      <c r="G6" s="3297" t="s">
        <v>2544</v>
      </c>
      <c r="H6" s="3291"/>
      <c r="I6" s="3297" t="s">
        <v>2544</v>
      </c>
      <c r="J6" s="3291"/>
      <c r="K6" s="610" t="s">
        <v>2545</v>
      </c>
      <c r="L6" s="1132"/>
      <c r="M6" s="1133"/>
      <c r="N6" s="1133"/>
      <c r="O6" s="1133"/>
      <c r="P6" s="3341"/>
      <c r="Q6" s="3283"/>
      <c r="R6" s="3286"/>
      <c r="S6" s="3287"/>
      <c r="T6" s="3288"/>
      <c r="U6" s="3289"/>
      <c r="V6" s="3269"/>
      <c r="W6" s="3269"/>
      <c r="X6" s="1815"/>
      <c r="Y6" s="3288"/>
      <c r="Z6" s="3289"/>
      <c r="AA6" s="3273"/>
      <c r="AB6" s="3273"/>
      <c r="AC6" s="3337"/>
    </row>
    <row r="7" spans="1:29" s="117" customFormat="1" ht="15.75" thickBot="1">
      <c r="A7" s="408" t="s">
        <v>2546</v>
      </c>
      <c r="B7" s="409"/>
      <c r="C7" s="410">
        <f>'数据-取费表'!B2</f>
        <v>43209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45" t="s">
        <v>2547</v>
      </c>
      <c r="Q7" s="3296"/>
      <c r="R7" s="769" t="s">
        <v>17</v>
      </c>
      <c r="S7" s="770">
        <f t="shared" ref="S7:S15" si="0">F7</f>
        <v>0</v>
      </c>
      <c r="T7" s="769" t="s">
        <v>17</v>
      </c>
      <c r="U7" s="770">
        <f t="shared" ref="U7:U15" si="1">H7</f>
        <v>0</v>
      </c>
      <c r="V7" s="769" t="s">
        <v>17</v>
      </c>
      <c r="W7" s="770">
        <f t="shared" ref="W7:W15" si="2">J7</f>
        <v>0</v>
      </c>
      <c r="X7" s="771"/>
      <c r="Y7" s="3294" t="s">
        <v>2547</v>
      </c>
      <c r="Z7" s="3295"/>
      <c r="AA7" s="772" t="e">
        <f>D7/F7</f>
        <v>#DIV/0!</v>
      </c>
      <c r="AB7" s="772"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45" t="s">
        <v>2550</v>
      </c>
      <c r="Q8" s="3295"/>
      <c r="R8" s="769" t="s">
        <v>17</v>
      </c>
      <c r="S8" s="770">
        <f t="shared" si="0"/>
        <v>0</v>
      </c>
      <c r="T8" s="769" t="s">
        <v>17</v>
      </c>
      <c r="U8" s="770">
        <f t="shared" si="1"/>
        <v>0</v>
      </c>
      <c r="V8" s="769" t="s">
        <v>17</v>
      </c>
      <c r="W8" s="770">
        <f t="shared" si="2"/>
        <v>0</v>
      </c>
      <c r="X8" s="771"/>
      <c r="Y8" s="3294" t="s">
        <v>2550</v>
      </c>
      <c r="Z8" s="3295"/>
      <c r="AA8" s="772" t="e">
        <f t="shared" ref="AA8:AA47" si="3">D8/F8</f>
        <v>#DIV/0!</v>
      </c>
      <c r="AB8" s="772"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70" t="s">
        <v>2553</v>
      </c>
      <c r="Q9" s="1797" t="str">
        <f t="shared" ref="Q9:Q15" si="6">B9</f>
        <v>用途</v>
      </c>
      <c r="R9" s="769" t="s">
        <v>17</v>
      </c>
      <c r="S9" s="770">
        <f t="shared" si="0"/>
        <v>100</v>
      </c>
      <c r="T9" s="769" t="s">
        <v>17</v>
      </c>
      <c r="U9" s="770">
        <f t="shared" si="1"/>
        <v>100</v>
      </c>
      <c r="V9" s="769" t="s">
        <v>17</v>
      </c>
      <c r="W9" s="770">
        <f t="shared" si="2"/>
        <v>100</v>
      </c>
      <c r="X9" s="771"/>
      <c r="Y9" s="3110" t="s">
        <v>2554</v>
      </c>
      <c r="Z9" s="55" t="str">
        <f t="shared" ref="Z9:Z15" si="7">Q9</f>
        <v>用途</v>
      </c>
      <c r="AA9" s="772">
        <f t="shared" si="3"/>
        <v>1</v>
      </c>
      <c r="AB9" s="772">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70"/>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70"/>
      <c r="Q11" s="1797" t="str">
        <f t="shared" si="6"/>
        <v>容积率</v>
      </c>
      <c r="R11" s="769" t="s">
        <v>17</v>
      </c>
      <c r="S11" s="770" t="e">
        <f t="shared" si="0"/>
        <v>#N/A</v>
      </c>
      <c r="T11" s="769" t="s">
        <v>17</v>
      </c>
      <c r="U11" s="770" t="e">
        <f t="shared" si="1"/>
        <v>#N/A</v>
      </c>
      <c r="V11" s="769" t="s">
        <v>17</v>
      </c>
      <c r="W11" s="770" t="e">
        <f t="shared" si="2"/>
        <v>#N/A</v>
      </c>
      <c r="X11" s="771"/>
      <c r="Y11" s="3110"/>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70"/>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70"/>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2671">
        <f t="shared" si="5"/>
        <v>1</v>
      </c>
    </row>
    <row r="14" spans="1:29" ht="15.75" thickBot="1">
      <c r="A14" s="436"/>
      <c r="B14" s="2602">
        <v>111</v>
      </c>
      <c r="C14" s="437"/>
      <c r="D14" s="438">
        <v>100</v>
      </c>
      <c r="E14" s="627"/>
      <c r="F14" s="438">
        <f>SUMIF(75:75,E14,76:76)-SUMIF(75:75,C14,76:76)+100</f>
        <v>100</v>
      </c>
      <c r="G14" s="2672"/>
      <c r="H14" s="438">
        <f>SUMIF(75:75,G14,76:76)-SUMIF(75:75,C14,76:76)+100</f>
        <v>100</v>
      </c>
      <c r="I14" s="432"/>
      <c r="J14" s="438">
        <f>SUMIF(75:75,I14,76:76)-SUMIF(75:75,C14,76:76)+100</f>
        <v>100</v>
      </c>
      <c r="K14" s="613"/>
      <c r="L14" s="1142"/>
      <c r="M14" s="1133"/>
      <c r="N14" s="1133"/>
      <c r="O14" s="1133"/>
      <c r="P14" s="3270"/>
      <c r="Q14" s="1797">
        <f t="shared" si="6"/>
        <v>111</v>
      </c>
      <c r="R14" s="769" t="s">
        <v>17</v>
      </c>
      <c r="S14" s="770">
        <f t="shared" si="0"/>
        <v>100</v>
      </c>
      <c r="T14" s="769" t="s">
        <v>17</v>
      </c>
      <c r="U14" s="770">
        <f t="shared" si="1"/>
        <v>100</v>
      </c>
      <c r="V14" s="769" t="s">
        <v>17</v>
      </c>
      <c r="W14" s="770">
        <f t="shared" si="2"/>
        <v>100</v>
      </c>
      <c r="X14" s="771"/>
      <c r="Y14" s="3110"/>
      <c r="Z14" s="55">
        <f t="shared" si="7"/>
        <v>111</v>
      </c>
      <c r="AA14" s="772">
        <f t="shared" si="3"/>
        <v>1</v>
      </c>
      <c r="AB14" s="772">
        <f t="shared" si="4"/>
        <v>1</v>
      </c>
      <c r="AC14" s="2671">
        <f t="shared" si="5"/>
        <v>1</v>
      </c>
    </row>
    <row r="15" spans="1:29" ht="71.25">
      <c r="A15" s="440" t="s">
        <v>2557</v>
      </c>
      <c r="B15" s="628"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60" t="s">
        <v>2558</v>
      </c>
      <c r="Q15" s="1812" t="str">
        <f t="shared" si="6"/>
        <v>办公集聚程度</v>
      </c>
      <c r="R15" s="773" t="s">
        <v>17</v>
      </c>
      <c r="S15" s="774">
        <f t="shared" si="0"/>
        <v>100</v>
      </c>
      <c r="T15" s="773" t="s">
        <v>17</v>
      </c>
      <c r="U15" s="774">
        <f t="shared" si="1"/>
        <v>100</v>
      </c>
      <c r="V15" s="773" t="s">
        <v>17</v>
      </c>
      <c r="W15" s="774">
        <f t="shared" si="2"/>
        <v>100</v>
      </c>
      <c r="X15" s="1815"/>
      <c r="Y15" s="3262" t="s">
        <v>2558</v>
      </c>
      <c r="Z15" s="1816" t="str">
        <f t="shared" si="7"/>
        <v>办公集聚程度</v>
      </c>
      <c r="AA15" s="1813">
        <f t="shared" si="3"/>
        <v>1</v>
      </c>
      <c r="AB15" s="1813">
        <f t="shared" si="4"/>
        <v>1</v>
      </c>
      <c r="AC15" s="2674">
        <f t="shared" si="5"/>
        <v>1</v>
      </c>
    </row>
    <row r="16" spans="1:29" ht="15">
      <c r="A16" s="428"/>
      <c r="B16" s="629"/>
      <c r="C16" s="2611"/>
      <c r="D16" s="448"/>
      <c r="E16" s="447"/>
      <c r="F16" s="448"/>
      <c r="G16" s="2611"/>
      <c r="H16" s="450"/>
      <c r="I16" s="447"/>
      <c r="J16" s="448"/>
      <c r="K16" s="615"/>
      <c r="L16" s="1142"/>
      <c r="M16" s="1133"/>
      <c r="N16" s="1133"/>
      <c r="O16" s="1133"/>
      <c r="P16" s="3261"/>
      <c r="Q16" s="1812"/>
      <c r="R16" s="773"/>
      <c r="S16" s="774"/>
      <c r="T16" s="773"/>
      <c r="U16" s="774"/>
      <c r="V16" s="773"/>
      <c r="W16" s="774"/>
      <c r="X16" s="1815"/>
      <c r="Y16" s="3263"/>
      <c r="Z16" s="1816"/>
      <c r="AA16" s="1813">
        <v>1</v>
      </c>
      <c r="AB16" s="1813">
        <v>1</v>
      </c>
      <c r="AC16" s="2674">
        <v>1</v>
      </c>
    </row>
    <row r="17" spans="1:29" ht="71.25">
      <c r="A17" s="428"/>
      <c r="B17" s="630"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61"/>
      <c r="Q17" s="1812" t="str">
        <f>B17</f>
        <v>交通便捷度</v>
      </c>
      <c r="R17" s="773" t="s">
        <v>17</v>
      </c>
      <c r="S17" s="774">
        <f>F17</f>
        <v>100</v>
      </c>
      <c r="T17" s="773" t="s">
        <v>17</v>
      </c>
      <c r="U17" s="774">
        <f>H17</f>
        <v>100</v>
      </c>
      <c r="V17" s="773" t="s">
        <v>17</v>
      </c>
      <c r="W17" s="774">
        <f>J17</f>
        <v>100</v>
      </c>
      <c r="X17" s="1815"/>
      <c r="Y17" s="3263"/>
      <c r="Z17" s="1816" t="str">
        <f>Q17</f>
        <v>交通便捷度</v>
      </c>
      <c r="AA17" s="1813">
        <f t="shared" si="3"/>
        <v>1</v>
      </c>
      <c r="AB17" s="1813">
        <f t="shared" si="4"/>
        <v>1</v>
      </c>
      <c r="AC17" s="2674">
        <f t="shared" si="5"/>
        <v>1</v>
      </c>
    </row>
    <row r="18" spans="1:29" ht="15">
      <c r="A18" s="428"/>
      <c r="B18" s="631"/>
      <c r="C18" s="2676"/>
      <c r="D18" s="450"/>
      <c r="E18" s="2609"/>
      <c r="F18" s="450"/>
      <c r="G18" s="2610"/>
      <c r="H18" s="448"/>
      <c r="I18" s="2610"/>
      <c r="J18" s="448"/>
      <c r="K18" s="615"/>
      <c r="L18" s="1142"/>
      <c r="M18" s="1133"/>
      <c r="N18" s="1133"/>
      <c r="O18" s="1133"/>
      <c r="P18" s="3261"/>
      <c r="Q18" s="1812"/>
      <c r="R18" s="773"/>
      <c r="S18" s="774"/>
      <c r="T18" s="773"/>
      <c r="U18" s="774"/>
      <c r="V18" s="773"/>
      <c r="W18" s="774"/>
      <c r="X18" s="1815"/>
      <c r="Y18" s="3263"/>
      <c r="Z18" s="1816"/>
      <c r="AA18" s="1813">
        <v>1</v>
      </c>
      <c r="AB18" s="1813">
        <v>1</v>
      </c>
      <c r="AC18" s="2674">
        <v>1</v>
      </c>
    </row>
    <row r="19" spans="1:29" ht="42.75">
      <c r="A19" s="428"/>
      <c r="B19" s="630"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61"/>
      <c r="Q19" s="1812" t="str">
        <f>B19</f>
        <v>公共配套设施</v>
      </c>
      <c r="R19" s="773" t="s">
        <v>17</v>
      </c>
      <c r="S19" s="774">
        <f>F19</f>
        <v>100</v>
      </c>
      <c r="T19" s="773" t="s">
        <v>17</v>
      </c>
      <c r="U19" s="774">
        <f>H19</f>
        <v>100</v>
      </c>
      <c r="V19" s="773" t="s">
        <v>17</v>
      </c>
      <c r="W19" s="774">
        <f>J19</f>
        <v>100</v>
      </c>
      <c r="X19" s="1815"/>
      <c r="Y19" s="3263"/>
      <c r="Z19" s="1816" t="str">
        <f>Q19</f>
        <v>公共配套设施</v>
      </c>
      <c r="AA19" s="1813">
        <f t="shared" si="3"/>
        <v>1</v>
      </c>
      <c r="AB19" s="1813">
        <f t="shared" si="4"/>
        <v>1</v>
      </c>
      <c r="AC19" s="2674">
        <f t="shared" si="5"/>
        <v>1</v>
      </c>
    </row>
    <row r="20" spans="1:29" ht="15">
      <c r="A20" s="428"/>
      <c r="B20" s="631"/>
      <c r="C20" s="2611"/>
      <c r="D20" s="448"/>
      <c r="E20" s="2604"/>
      <c r="F20" s="448"/>
      <c r="G20" s="2605"/>
      <c r="H20" s="448"/>
      <c r="I20" s="2605"/>
      <c r="J20" s="448"/>
      <c r="K20" s="615"/>
      <c r="L20" s="1142"/>
      <c r="M20" s="1133"/>
      <c r="N20" s="1133"/>
      <c r="O20" s="1133"/>
      <c r="P20" s="3261"/>
      <c r="Q20" s="1812"/>
      <c r="R20" s="773"/>
      <c r="S20" s="774"/>
      <c r="T20" s="773"/>
      <c r="U20" s="774"/>
      <c r="V20" s="773"/>
      <c r="W20" s="774"/>
      <c r="X20" s="1815"/>
      <c r="Y20" s="3263"/>
      <c r="Z20" s="1816"/>
      <c r="AA20" s="1813">
        <v>1</v>
      </c>
      <c r="AB20" s="1813">
        <v>1</v>
      </c>
      <c r="AC20" s="2674">
        <v>1</v>
      </c>
    </row>
    <row r="21" spans="1:29" ht="28.5">
      <c r="A21" s="428"/>
      <c r="B21" s="632"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61"/>
      <c r="Q21" s="1812" t="str">
        <f>B21</f>
        <v>基础设施水平</v>
      </c>
      <c r="R21" s="773" t="s">
        <v>17</v>
      </c>
      <c r="S21" s="774">
        <f>F21</f>
        <v>100</v>
      </c>
      <c r="T21" s="773" t="s">
        <v>17</v>
      </c>
      <c r="U21" s="774">
        <f>H21</f>
        <v>100</v>
      </c>
      <c r="V21" s="773" t="s">
        <v>17</v>
      </c>
      <c r="W21" s="774">
        <f>J21</f>
        <v>100</v>
      </c>
      <c r="X21" s="1815"/>
      <c r="Y21" s="3263"/>
      <c r="Z21" s="1816" t="str">
        <f>Q21</f>
        <v>基础设施水平</v>
      </c>
      <c r="AA21" s="1813">
        <f t="shared" ref="AA21" si="8">D21/F21</f>
        <v>1</v>
      </c>
      <c r="AB21" s="1813">
        <f t="shared" ref="AB21" si="9">D21/H21</f>
        <v>1</v>
      </c>
      <c r="AC21" s="2674">
        <f t="shared" ref="AC21" si="10">D21/J21</f>
        <v>1</v>
      </c>
    </row>
    <row r="22" spans="1:29" ht="15">
      <c r="A22" s="428"/>
      <c r="B22" s="632"/>
      <c r="C22" s="2676"/>
      <c r="D22" s="448"/>
      <c r="E22" s="447"/>
      <c r="F22" s="448"/>
      <c r="G22" s="2611"/>
      <c r="H22" s="448"/>
      <c r="I22" s="2611"/>
      <c r="J22" s="448"/>
      <c r="K22" s="1385"/>
      <c r="L22" s="1142"/>
      <c r="M22" s="1133"/>
      <c r="N22" s="1133"/>
      <c r="O22" s="1133"/>
      <c r="P22" s="3261"/>
      <c r="Q22" s="1812"/>
      <c r="R22" s="773"/>
      <c r="S22" s="774"/>
      <c r="T22" s="773"/>
      <c r="U22" s="774"/>
      <c r="V22" s="773"/>
      <c r="W22" s="774"/>
      <c r="X22" s="1815"/>
      <c r="Y22" s="3263"/>
      <c r="Z22" s="1816"/>
      <c r="AA22" s="1813">
        <v>1</v>
      </c>
      <c r="AB22" s="1813">
        <v>1</v>
      </c>
      <c r="AC22" s="2674">
        <v>1</v>
      </c>
    </row>
    <row r="23" spans="1:29" ht="42.75">
      <c r="A23" s="428"/>
      <c r="B23" s="630"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61"/>
      <c r="Q23" s="1812" t="str">
        <f>B23</f>
        <v>环境质量</v>
      </c>
      <c r="R23" s="773" t="s">
        <v>17</v>
      </c>
      <c r="S23" s="774">
        <f>F23</f>
        <v>100</v>
      </c>
      <c r="T23" s="773" t="s">
        <v>17</v>
      </c>
      <c r="U23" s="774">
        <f>H23</f>
        <v>100</v>
      </c>
      <c r="V23" s="773" t="s">
        <v>17</v>
      </c>
      <c r="W23" s="774">
        <f>J23</f>
        <v>100</v>
      </c>
      <c r="X23" s="1815"/>
      <c r="Y23" s="3263"/>
      <c r="Z23" s="1816" t="str">
        <f>Q23</f>
        <v>环境质量</v>
      </c>
      <c r="AA23" s="1813">
        <f t="shared" si="3"/>
        <v>1</v>
      </c>
      <c r="AB23" s="1813">
        <f t="shared" si="4"/>
        <v>1</v>
      </c>
      <c r="AC23" s="2674">
        <f t="shared" si="5"/>
        <v>1</v>
      </c>
    </row>
    <row r="24" spans="1:29" ht="15">
      <c r="A24" s="428"/>
      <c r="B24" s="632"/>
      <c r="C24" s="2611"/>
      <c r="D24" s="448"/>
      <c r="E24" s="2604"/>
      <c r="F24" s="448"/>
      <c r="G24" s="2605"/>
      <c r="H24" s="448"/>
      <c r="I24" s="2605"/>
      <c r="J24" s="448"/>
      <c r="K24" s="615"/>
      <c r="L24" s="1142"/>
      <c r="M24" s="1133"/>
      <c r="N24" s="1133"/>
      <c r="O24" s="1133"/>
      <c r="P24" s="3261"/>
      <c r="Q24" s="1812"/>
      <c r="R24" s="773"/>
      <c r="S24" s="774"/>
      <c r="T24" s="773"/>
      <c r="U24" s="774"/>
      <c r="V24" s="773"/>
      <c r="W24" s="774"/>
      <c r="X24" s="1815"/>
      <c r="Y24" s="3263"/>
      <c r="Z24" s="1816"/>
      <c r="AA24" s="1813">
        <v>1</v>
      </c>
      <c r="AB24" s="1813">
        <v>1</v>
      </c>
      <c r="AC24" s="2674">
        <v>1</v>
      </c>
    </row>
    <row r="25" spans="1:29" ht="27">
      <c r="A25" s="404"/>
      <c r="B25" s="630"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261"/>
      <c r="Q25" s="1812" t="str">
        <f>B25</f>
        <v>毗邻道路的类型与等级</v>
      </c>
      <c r="R25" s="773" t="s">
        <v>17</v>
      </c>
      <c r="S25" s="774">
        <f>F25</f>
        <v>100</v>
      </c>
      <c r="T25" s="773" t="s">
        <v>17</v>
      </c>
      <c r="U25" s="774">
        <f>H25</f>
        <v>100</v>
      </c>
      <c r="V25" s="773" t="s">
        <v>17</v>
      </c>
      <c r="W25" s="774">
        <f>J25</f>
        <v>100</v>
      </c>
      <c r="X25" s="1815"/>
      <c r="Y25" s="3263"/>
      <c r="Z25" s="1816" t="str">
        <f>Q25</f>
        <v>毗邻道路的类型与等级</v>
      </c>
      <c r="AA25" s="1813">
        <f t="shared" si="3"/>
        <v>1</v>
      </c>
      <c r="AB25" s="1813">
        <f t="shared" si="4"/>
        <v>1</v>
      </c>
      <c r="AC25" s="2674">
        <f t="shared" si="5"/>
        <v>1</v>
      </c>
    </row>
    <row r="26" spans="1:29" ht="15">
      <c r="A26" s="404"/>
      <c r="B26" s="631"/>
      <c r="C26" s="633"/>
      <c r="D26" s="435"/>
      <c r="E26" s="616"/>
      <c r="F26" s="435"/>
      <c r="G26" s="633"/>
      <c r="H26" s="435"/>
      <c r="I26" s="616"/>
      <c r="J26" s="435"/>
      <c r="K26" s="615"/>
      <c r="L26" s="1142"/>
      <c r="M26" s="1133"/>
      <c r="N26" s="1133"/>
      <c r="O26" s="1133"/>
      <c r="P26" s="3261"/>
      <c r="Q26" s="1812"/>
      <c r="R26" s="773"/>
      <c r="S26" s="774"/>
      <c r="T26" s="773"/>
      <c r="U26" s="774"/>
      <c r="V26" s="773"/>
      <c r="W26" s="774"/>
      <c r="X26" s="1815"/>
      <c r="Y26" s="3263"/>
      <c r="Z26" s="1816"/>
      <c r="AA26" s="1813">
        <v>1</v>
      </c>
      <c r="AB26" s="1813">
        <v>1</v>
      </c>
      <c r="AC26" s="2674">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61"/>
      <c r="Q27" s="1812" t="str">
        <f t="shared" ref="Q27:Q47" si="11">B27</f>
        <v>楼层</v>
      </c>
      <c r="R27" s="773" t="s">
        <v>17</v>
      </c>
      <c r="S27" s="774">
        <f>F27</f>
        <v>100</v>
      </c>
      <c r="T27" s="773" t="s">
        <v>17</v>
      </c>
      <c r="U27" s="774">
        <f>H27</f>
        <v>100</v>
      </c>
      <c r="V27" s="773" t="s">
        <v>17</v>
      </c>
      <c r="W27" s="774">
        <f>J27</f>
        <v>100</v>
      </c>
      <c r="X27" s="1815"/>
      <c r="Y27" s="3263"/>
      <c r="Z27" s="1816" t="str">
        <f>Q27</f>
        <v>楼层</v>
      </c>
      <c r="AA27" s="1813">
        <f t="shared" si="3"/>
        <v>1</v>
      </c>
      <c r="AB27" s="1813">
        <f t="shared" si="4"/>
        <v>1</v>
      </c>
      <c r="AC27" s="2674">
        <f t="shared" si="5"/>
        <v>1</v>
      </c>
    </row>
    <row r="28" spans="1:29" s="117" customFormat="1" ht="15">
      <c r="A28" s="431"/>
      <c r="B28" s="630"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61"/>
      <c r="Q28" s="1797" t="str">
        <f t="shared" si="11"/>
        <v>朝向</v>
      </c>
      <c r="R28" s="769" t="s">
        <v>17</v>
      </c>
      <c r="S28" s="770">
        <f>F28</f>
        <v>100</v>
      </c>
      <c r="T28" s="769" t="s">
        <v>17</v>
      </c>
      <c r="U28" s="770">
        <f>H28</f>
        <v>100</v>
      </c>
      <c r="V28" s="769" t="s">
        <v>17</v>
      </c>
      <c r="W28" s="770">
        <f>J28</f>
        <v>100</v>
      </c>
      <c r="X28" s="771"/>
      <c r="Y28" s="3263"/>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61"/>
      <c r="Q29" s="1812">
        <f t="shared" si="11"/>
        <v>111</v>
      </c>
      <c r="R29" s="773" t="s">
        <v>17</v>
      </c>
      <c r="S29" s="774">
        <f t="shared" ref="S29:S47" si="12">F29</f>
        <v>100</v>
      </c>
      <c r="T29" s="773" t="s">
        <v>17</v>
      </c>
      <c r="U29" s="774">
        <f t="shared" ref="U29:U47" si="13">H29</f>
        <v>100</v>
      </c>
      <c r="V29" s="773" t="s">
        <v>17</v>
      </c>
      <c r="W29" s="774">
        <f t="shared" ref="W29:W47" si="14">J29</f>
        <v>100</v>
      </c>
      <c r="X29" s="1815"/>
      <c r="Y29" s="3263"/>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261"/>
      <c r="Q30" s="1812">
        <f t="shared" si="11"/>
        <v>111</v>
      </c>
      <c r="R30" s="773" t="s">
        <v>17</v>
      </c>
      <c r="S30" s="774">
        <f t="shared" si="12"/>
        <v>100</v>
      </c>
      <c r="T30" s="773" t="s">
        <v>17</v>
      </c>
      <c r="U30" s="774">
        <f t="shared" si="13"/>
        <v>100</v>
      </c>
      <c r="V30" s="773" t="s">
        <v>17</v>
      </c>
      <c r="W30" s="774">
        <f t="shared" si="14"/>
        <v>100</v>
      </c>
      <c r="X30" s="1815"/>
      <c r="Y30" s="3263"/>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261"/>
      <c r="Q31" s="1812">
        <f t="shared" si="11"/>
        <v>111</v>
      </c>
      <c r="R31" s="773" t="s">
        <v>17</v>
      </c>
      <c r="S31" s="774">
        <f t="shared" si="12"/>
        <v>100</v>
      </c>
      <c r="T31" s="773" t="s">
        <v>17</v>
      </c>
      <c r="U31" s="774">
        <f t="shared" si="13"/>
        <v>100</v>
      </c>
      <c r="V31" s="773" t="s">
        <v>17</v>
      </c>
      <c r="W31" s="774">
        <f t="shared" si="14"/>
        <v>100</v>
      </c>
      <c r="X31" s="1815"/>
      <c r="Y31" s="3263"/>
      <c r="Z31" s="1816">
        <f t="shared" si="15"/>
        <v>111</v>
      </c>
      <c r="AA31" s="1813">
        <f t="shared" si="3"/>
        <v>1</v>
      </c>
      <c r="AB31" s="1813">
        <f t="shared" si="4"/>
        <v>1</v>
      </c>
      <c r="AC31" s="2674">
        <f t="shared" si="5"/>
        <v>1</v>
      </c>
    </row>
    <row r="32" spans="1:29" ht="15.75" thickBot="1">
      <c r="A32" s="436"/>
      <c r="B32" s="634">
        <v>111</v>
      </c>
      <c r="C32" s="2616"/>
      <c r="D32" s="438">
        <v>100</v>
      </c>
      <c r="E32" s="627"/>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261"/>
      <c r="Q32" s="1812">
        <f t="shared" si="11"/>
        <v>111</v>
      </c>
      <c r="R32" s="773" t="s">
        <v>17</v>
      </c>
      <c r="S32" s="774">
        <f t="shared" si="12"/>
        <v>100</v>
      </c>
      <c r="T32" s="773" t="s">
        <v>17</v>
      </c>
      <c r="U32" s="774">
        <f t="shared" si="13"/>
        <v>100</v>
      </c>
      <c r="V32" s="773" t="s">
        <v>17</v>
      </c>
      <c r="W32" s="774">
        <f t="shared" si="14"/>
        <v>100</v>
      </c>
      <c r="X32" s="1815"/>
      <c r="Y32" s="3263"/>
      <c r="Z32" s="1816">
        <f t="shared" si="15"/>
        <v>111</v>
      </c>
      <c r="AA32" s="1813">
        <f t="shared" si="3"/>
        <v>1</v>
      </c>
      <c r="AB32" s="1813">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264" t="s">
        <v>2563</v>
      </c>
      <c r="Q33" s="1812" t="str">
        <f t="shared" si="11"/>
        <v>建筑类型</v>
      </c>
      <c r="R33" s="773" t="s">
        <v>17</v>
      </c>
      <c r="S33" s="774">
        <f t="shared" si="12"/>
        <v>100</v>
      </c>
      <c r="T33" s="773" t="s">
        <v>17</v>
      </c>
      <c r="U33" s="774">
        <f t="shared" si="13"/>
        <v>100</v>
      </c>
      <c r="V33" s="773" t="s">
        <v>17</v>
      </c>
      <c r="W33" s="774">
        <f t="shared" si="14"/>
        <v>100</v>
      </c>
      <c r="X33" s="1815"/>
      <c r="Y33" s="3267" t="s">
        <v>2563</v>
      </c>
      <c r="Z33" s="1816" t="str">
        <f t="shared" si="15"/>
        <v>建筑类型</v>
      </c>
      <c r="AA33" s="1813">
        <f t="shared" si="3"/>
        <v>1</v>
      </c>
      <c r="AB33" s="1813">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65"/>
      <c r="Q34" s="775" t="str">
        <f t="shared" si="11"/>
        <v>项目建筑规模</v>
      </c>
      <c r="R34" s="776" t="s">
        <v>17</v>
      </c>
      <c r="S34" s="777" t="e">
        <f t="shared" si="12"/>
        <v>#N/A</v>
      </c>
      <c r="T34" s="776" t="s">
        <v>17</v>
      </c>
      <c r="U34" s="777" t="e">
        <f t="shared" si="13"/>
        <v>#N/A</v>
      </c>
      <c r="V34" s="776" t="s">
        <v>17</v>
      </c>
      <c r="W34" s="777" t="e">
        <f t="shared" si="14"/>
        <v>#N/A</v>
      </c>
      <c r="X34" s="778"/>
      <c r="Y34" s="3267"/>
      <c r="Z34" s="779" t="str">
        <f t="shared" si="15"/>
        <v>项目建筑规模</v>
      </c>
      <c r="AA34" s="1813" t="e">
        <f t="shared" si="3"/>
        <v>#N/A</v>
      </c>
      <c r="AB34" s="1813"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65"/>
      <c r="Q35" s="1812" t="str">
        <f t="shared" si="11"/>
        <v>建筑结构</v>
      </c>
      <c r="R35" s="773" t="s">
        <v>17</v>
      </c>
      <c r="S35" s="774">
        <f t="shared" si="12"/>
        <v>100</v>
      </c>
      <c r="T35" s="773" t="s">
        <v>17</v>
      </c>
      <c r="U35" s="774">
        <f t="shared" si="13"/>
        <v>100</v>
      </c>
      <c r="V35" s="773" t="s">
        <v>17</v>
      </c>
      <c r="W35" s="774">
        <f t="shared" si="14"/>
        <v>100</v>
      </c>
      <c r="X35" s="1815"/>
      <c r="Y35" s="3267"/>
      <c r="Z35" s="1816" t="str">
        <f t="shared" si="15"/>
        <v>建筑结构</v>
      </c>
      <c r="AA35" s="1813">
        <f t="shared" si="3"/>
        <v>1</v>
      </c>
      <c r="AB35" s="1813">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65"/>
      <c r="Q36" s="1812" t="str">
        <f t="shared" si="11"/>
        <v>公共部分装修</v>
      </c>
      <c r="R36" s="773" t="s">
        <v>17</v>
      </c>
      <c r="S36" s="774">
        <f t="shared" si="12"/>
        <v>100</v>
      </c>
      <c r="T36" s="773" t="s">
        <v>17</v>
      </c>
      <c r="U36" s="774">
        <f t="shared" si="13"/>
        <v>100</v>
      </c>
      <c r="V36" s="773" t="s">
        <v>17</v>
      </c>
      <c r="W36" s="774">
        <f t="shared" si="14"/>
        <v>100</v>
      </c>
      <c r="X36" s="1815"/>
      <c r="Y36" s="3267"/>
      <c r="Z36" s="1816" t="str">
        <f t="shared" si="15"/>
        <v>公共部分装修</v>
      </c>
      <c r="AA36" s="1813">
        <f t="shared" si="3"/>
        <v>1</v>
      </c>
      <c r="AB36" s="1813">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65"/>
      <c r="Q37" s="1812" t="str">
        <f t="shared" si="11"/>
        <v>成新度</v>
      </c>
      <c r="R37" s="773" t="s">
        <v>17</v>
      </c>
      <c r="S37" s="774" t="e">
        <f t="shared" si="12"/>
        <v>#N/A</v>
      </c>
      <c r="T37" s="773" t="s">
        <v>17</v>
      </c>
      <c r="U37" s="774" t="e">
        <f t="shared" si="13"/>
        <v>#N/A</v>
      </c>
      <c r="V37" s="773" t="s">
        <v>17</v>
      </c>
      <c r="W37" s="774" t="e">
        <f t="shared" si="14"/>
        <v>#N/A</v>
      </c>
      <c r="X37" s="1815"/>
      <c r="Y37" s="3267"/>
      <c r="Z37" s="1816" t="str">
        <f t="shared" si="15"/>
        <v>成新度</v>
      </c>
      <c r="AA37" s="1813" t="e">
        <f t="shared" si="3"/>
        <v>#N/A</v>
      </c>
      <c r="AB37" s="1813"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65"/>
      <c r="Q38" s="1797" t="str">
        <f t="shared" si="11"/>
        <v>写字楼等级</v>
      </c>
      <c r="R38" s="769" t="s">
        <v>17</v>
      </c>
      <c r="S38" s="770">
        <f t="shared" si="12"/>
        <v>100</v>
      </c>
      <c r="T38" s="769" t="s">
        <v>17</v>
      </c>
      <c r="U38" s="770">
        <f t="shared" si="13"/>
        <v>100</v>
      </c>
      <c r="V38" s="769" t="s">
        <v>17</v>
      </c>
      <c r="W38" s="770">
        <f t="shared" si="14"/>
        <v>100</v>
      </c>
      <c r="X38" s="771"/>
      <c r="Y38" s="3267"/>
      <c r="Z38" s="55" t="str">
        <f t="shared" si="15"/>
        <v>写字楼等级</v>
      </c>
      <c r="AA38" s="772">
        <f t="shared" si="3"/>
        <v>1</v>
      </c>
      <c r="AB38" s="772">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65" t="s">
        <v>2563</v>
      </c>
      <c r="Q39" s="1812" t="str">
        <f t="shared" si="11"/>
        <v>物业管理</v>
      </c>
      <c r="R39" s="773" t="s">
        <v>17</v>
      </c>
      <c r="S39" s="774">
        <f t="shared" si="12"/>
        <v>100</v>
      </c>
      <c r="T39" s="773" t="s">
        <v>17</v>
      </c>
      <c r="U39" s="774">
        <f t="shared" si="13"/>
        <v>100</v>
      </c>
      <c r="V39" s="773" t="s">
        <v>17</v>
      </c>
      <c r="W39" s="774">
        <f t="shared" si="14"/>
        <v>100</v>
      </c>
      <c r="X39" s="1815"/>
      <c r="Y39" s="3267" t="s">
        <v>2563</v>
      </c>
      <c r="Z39" s="1816" t="str">
        <f t="shared" si="15"/>
        <v>物业管理</v>
      </c>
      <c r="AA39" s="1813">
        <f t="shared" si="3"/>
        <v>1</v>
      </c>
      <c r="AB39" s="1813">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65"/>
      <c r="Q40" s="1812" t="str">
        <f t="shared" si="11"/>
        <v>市政基础设施</v>
      </c>
      <c r="R40" s="773" t="s">
        <v>17</v>
      </c>
      <c r="S40" s="774">
        <f t="shared" si="12"/>
        <v>100</v>
      </c>
      <c r="T40" s="773" t="s">
        <v>17</v>
      </c>
      <c r="U40" s="774">
        <f t="shared" si="13"/>
        <v>100</v>
      </c>
      <c r="V40" s="773" t="s">
        <v>17</v>
      </c>
      <c r="W40" s="774">
        <f t="shared" si="14"/>
        <v>100</v>
      </c>
      <c r="X40" s="1815"/>
      <c r="Y40" s="3267"/>
      <c r="Z40" s="1816" t="str">
        <f t="shared" si="15"/>
        <v>市政基础设施</v>
      </c>
      <c r="AA40" s="1813">
        <f t="shared" si="3"/>
        <v>1</v>
      </c>
      <c r="AB40" s="1813">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65"/>
      <c r="Q41" s="1812" t="str">
        <f t="shared" si="11"/>
        <v>层高</v>
      </c>
      <c r="R41" s="773" t="s">
        <v>17</v>
      </c>
      <c r="S41" s="774">
        <f t="shared" si="12"/>
        <v>100</v>
      </c>
      <c r="T41" s="773" t="s">
        <v>17</v>
      </c>
      <c r="U41" s="774">
        <f t="shared" si="13"/>
        <v>100</v>
      </c>
      <c r="V41" s="773" t="s">
        <v>17</v>
      </c>
      <c r="W41" s="774">
        <f t="shared" si="14"/>
        <v>100</v>
      </c>
      <c r="X41" s="1815"/>
      <c r="Y41" s="3267"/>
      <c r="Z41" s="1816" t="str">
        <f t="shared" si="15"/>
        <v>层高</v>
      </c>
      <c r="AA41" s="1813">
        <f t="shared" si="3"/>
        <v>1</v>
      </c>
      <c r="AB41" s="1813">
        <f t="shared" si="4"/>
        <v>1</v>
      </c>
      <c r="AC41" s="2674">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65"/>
      <c r="Q42" s="775" t="str">
        <f t="shared" si="11"/>
        <v>单套建筑面积</v>
      </c>
      <c r="R42" s="776" t="s">
        <v>17</v>
      </c>
      <c r="S42" s="777">
        <f t="shared" si="12"/>
        <v>100</v>
      </c>
      <c r="T42" s="776" t="s">
        <v>17</v>
      </c>
      <c r="U42" s="777">
        <f t="shared" si="13"/>
        <v>100</v>
      </c>
      <c r="V42" s="776" t="s">
        <v>17</v>
      </c>
      <c r="W42" s="777">
        <f t="shared" si="14"/>
        <v>100</v>
      </c>
      <c r="X42" s="778"/>
      <c r="Y42" s="3267"/>
      <c r="Z42" s="779" t="str">
        <f t="shared" si="15"/>
        <v>单套建筑面积</v>
      </c>
      <c r="AA42" s="1813">
        <f t="shared" si="3"/>
        <v>1</v>
      </c>
      <c r="AB42" s="1813">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65"/>
      <c r="Q43" s="1812" t="str">
        <f t="shared" si="11"/>
        <v>内部装修</v>
      </c>
      <c r="R43" s="773" t="s">
        <v>17</v>
      </c>
      <c r="S43" s="774">
        <f t="shared" si="12"/>
        <v>100</v>
      </c>
      <c r="T43" s="773" t="s">
        <v>17</v>
      </c>
      <c r="U43" s="774">
        <f t="shared" si="13"/>
        <v>100</v>
      </c>
      <c r="V43" s="773" t="s">
        <v>17</v>
      </c>
      <c r="W43" s="774">
        <f t="shared" si="14"/>
        <v>100</v>
      </c>
      <c r="X43" s="1815"/>
      <c r="Y43" s="3267"/>
      <c r="Z43" s="1816" t="str">
        <f t="shared" si="15"/>
        <v>内部装修</v>
      </c>
      <c r="AA43" s="1813">
        <f t="shared" si="3"/>
        <v>1</v>
      </c>
      <c r="AB43" s="1813">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265"/>
      <c r="Q44" s="1812" t="str">
        <f t="shared" si="11"/>
        <v>内部装修维护情况</v>
      </c>
      <c r="R44" s="773" t="s">
        <v>17</v>
      </c>
      <c r="S44" s="774">
        <f t="shared" si="12"/>
        <v>100</v>
      </c>
      <c r="T44" s="773" t="s">
        <v>17</v>
      </c>
      <c r="U44" s="774">
        <f t="shared" si="13"/>
        <v>100</v>
      </c>
      <c r="V44" s="773" t="s">
        <v>17</v>
      </c>
      <c r="W44" s="774">
        <f t="shared" si="14"/>
        <v>100</v>
      </c>
      <c r="X44" s="1815"/>
      <c r="Y44" s="3267"/>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65"/>
      <c r="Q45" s="1797">
        <f t="shared" si="11"/>
        <v>111</v>
      </c>
      <c r="R45" s="769" t="s">
        <v>17</v>
      </c>
      <c r="S45" s="770">
        <f t="shared" si="12"/>
        <v>100</v>
      </c>
      <c r="T45" s="769" t="s">
        <v>17</v>
      </c>
      <c r="U45" s="770">
        <f t="shared" si="13"/>
        <v>100</v>
      </c>
      <c r="V45" s="769" t="s">
        <v>17</v>
      </c>
      <c r="W45" s="770">
        <f t="shared" si="14"/>
        <v>100</v>
      </c>
      <c r="X45" s="771"/>
      <c r="Y45" s="3267"/>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65"/>
      <c r="Q46" s="1812">
        <f t="shared" si="11"/>
        <v>111</v>
      </c>
      <c r="R46" s="773" t="s">
        <v>17</v>
      </c>
      <c r="S46" s="774">
        <f t="shared" si="12"/>
        <v>100</v>
      </c>
      <c r="T46" s="773" t="s">
        <v>17</v>
      </c>
      <c r="U46" s="774">
        <f t="shared" si="13"/>
        <v>100</v>
      </c>
      <c r="V46" s="773" t="s">
        <v>17</v>
      </c>
      <c r="W46" s="774">
        <f t="shared" si="14"/>
        <v>100</v>
      </c>
      <c r="X46" s="1815"/>
      <c r="Y46" s="3267"/>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66"/>
      <c r="Q47" s="1812">
        <f t="shared" si="11"/>
        <v>111</v>
      </c>
      <c r="R47" s="773" t="s">
        <v>17</v>
      </c>
      <c r="S47" s="774">
        <f t="shared" si="12"/>
        <v>100</v>
      </c>
      <c r="T47" s="773" t="s">
        <v>17</v>
      </c>
      <c r="U47" s="774">
        <f t="shared" si="13"/>
        <v>100</v>
      </c>
      <c r="V47" s="773" t="s">
        <v>17</v>
      </c>
      <c r="W47" s="774">
        <f t="shared" si="14"/>
        <v>100</v>
      </c>
      <c r="X47" s="1815"/>
      <c r="Y47" s="3268"/>
      <c r="Z47" s="1816">
        <f t="shared" si="15"/>
        <v>111</v>
      </c>
      <c r="AA47" s="1813">
        <f t="shared" si="3"/>
        <v>1</v>
      </c>
      <c r="AB47" s="1813">
        <f t="shared" si="4"/>
        <v>1</v>
      </c>
      <c r="AC47" s="2674">
        <f t="shared" si="5"/>
        <v>1</v>
      </c>
    </row>
    <row r="48" spans="1:29" ht="15">
      <c r="A48" s="479" t="s">
        <v>2575</v>
      </c>
      <c r="B48" s="480"/>
      <c r="C48" s="1409" t="s">
        <v>1</v>
      </c>
      <c r="D48" s="1410"/>
      <c r="E48" s="1411"/>
      <c r="F48" s="1412"/>
      <c r="G48" s="1413"/>
      <c r="H48" s="1414"/>
      <c r="I48" s="1411"/>
      <c r="J48" s="485"/>
      <c r="K48" s="782"/>
      <c r="L48" s="1145"/>
      <c r="M48" s="1133"/>
      <c r="N48" s="1133"/>
      <c r="O48" s="1133"/>
      <c r="P48" s="3270" t="str">
        <f>A48</f>
        <v>成交单价（元/平方米）</v>
      </c>
      <c r="Q48" s="3255"/>
      <c r="R48" s="3256">
        <f>E48</f>
        <v>0</v>
      </c>
      <c r="S48" s="3256"/>
      <c r="T48" s="3256">
        <f>G48</f>
        <v>0</v>
      </c>
      <c r="U48" s="3256"/>
      <c r="V48" s="3256">
        <f>I48</f>
        <v>0</v>
      </c>
      <c r="W48" s="3256"/>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270" t="str">
        <f>A49</f>
        <v>比较价值（元/平方米）</v>
      </c>
      <c r="Q49" s="3255"/>
      <c r="R49" s="3256" t="e">
        <f>IF(F1="售价",ROUND(PRODUCT(R48,AA7:AA47),0),ROUND(PRODUCT(R48,AA7:AA47),1))</f>
        <v>#DIV/0!</v>
      </c>
      <c r="S49" s="3256"/>
      <c r="T49" s="3256" t="e">
        <f>IF(F1="售价",ROUND(PRODUCT(T48,AB7:AB47),0),ROUND(PRODUCT(T48,AB7:AB47),1))</f>
        <v>#DIV/0!</v>
      </c>
      <c r="U49" s="3256"/>
      <c r="V49" s="3256" t="e">
        <f>IF(F1="售价",ROUND(PRODUCT(V48,AC7:AC47),0),ROUND(PRODUCT(V48,AC7:AC47),1))</f>
        <v>#DIV/0!</v>
      </c>
      <c r="W49" s="3256"/>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332" t="str">
        <f>A50</f>
        <v>估价对象XX用房的比较价值（楼面单价，元/平方米）</v>
      </c>
      <c r="Q50" s="3333"/>
      <c r="R50" s="3334" t="e">
        <f>IF(F1="售价",ROUND(AVERAGE(R49:V49),0),ROUND(AVERAGE(R49:V49),1))</f>
        <v>#DIV/0!</v>
      </c>
      <c r="S50" s="3334"/>
      <c r="T50" s="3334"/>
      <c r="U50" s="3334"/>
      <c r="V50" s="3334"/>
      <c r="W50" s="3334"/>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1"/>
      <c r="Q58" s="504"/>
    </row>
    <row r="59" spans="1:29" s="508" customFormat="1" ht="15">
      <c r="A59" s="505" t="s">
        <v>2546</v>
      </c>
      <c r="B59" s="506"/>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2586</v>
      </c>
      <c r="B64" s="528" t="s">
        <v>2552</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2697</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2561</v>
      </c>
      <c r="B101" s="528" t="s">
        <v>2610</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2612</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2614</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2615</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2616</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5" t="s">
        <v>2699</v>
      </c>
      <c r="C119" s="583"/>
      <c r="D119" s="583"/>
      <c r="E119" s="583"/>
      <c r="F119" s="583"/>
      <c r="G119" s="583"/>
      <c r="H119" s="583"/>
      <c r="I119" s="583"/>
      <c r="J119" s="583"/>
      <c r="K119" s="583"/>
      <c r="L119" s="2689"/>
      <c r="M119" s="2690"/>
      <c r="N119" s="1155"/>
      <c r="O119" s="1155"/>
      <c r="P119" s="2691"/>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2618</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2700</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6"/>
      <c r="D2" s="1126"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39089.930000000037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74" t="s">
        <v>2644</v>
      </c>
      <c r="D4" s="3275"/>
      <c r="E4" s="3276" t="s">
        <v>2645</v>
      </c>
      <c r="F4" s="3277"/>
      <c r="G4" s="3274" t="s">
        <v>2646</v>
      </c>
      <c r="H4" s="3275"/>
      <c r="I4" s="3274" t="s">
        <v>2647</v>
      </c>
      <c r="J4" s="3275"/>
      <c r="K4" s="610" t="s">
        <v>2648</v>
      </c>
      <c r="L4" s="1132"/>
      <c r="M4" s="1133"/>
      <c r="N4" s="1133"/>
      <c r="O4" s="1133"/>
      <c r="P4" s="3278" t="s">
        <v>2649</v>
      </c>
      <c r="Q4" s="3279"/>
      <c r="R4" s="3284" t="s">
        <v>2645</v>
      </c>
      <c r="S4" s="3285"/>
      <c r="T4" s="3284" t="s">
        <v>2646</v>
      </c>
      <c r="U4" s="3285"/>
      <c r="V4" s="3269" t="s">
        <v>2647</v>
      </c>
      <c r="W4" s="3269"/>
      <c r="X4" s="1815"/>
      <c r="Y4" s="3284" t="s">
        <v>2649</v>
      </c>
      <c r="Z4" s="3285"/>
      <c r="AA4" s="3271" t="s">
        <v>2645</v>
      </c>
      <c r="AB4" s="3272" t="s">
        <v>2646</v>
      </c>
      <c r="AC4" s="3271" t="s">
        <v>2647</v>
      </c>
    </row>
    <row r="5" spans="1:29" ht="15">
      <c r="A5" s="404"/>
      <c r="B5" s="405"/>
      <c r="C5" s="3329" t="s">
        <v>2540</v>
      </c>
      <c r="D5" s="3293"/>
      <c r="E5" s="3331" t="s">
        <v>2541</v>
      </c>
      <c r="F5" s="3301"/>
      <c r="G5" s="3329" t="s">
        <v>2542</v>
      </c>
      <c r="H5" s="3293"/>
      <c r="I5" s="3329" t="s">
        <v>2543</v>
      </c>
      <c r="J5" s="3293"/>
      <c r="K5" s="610"/>
      <c r="L5" s="1132"/>
      <c r="M5" s="1133"/>
      <c r="N5" s="1133"/>
      <c r="O5" s="1133"/>
      <c r="P5" s="3280"/>
      <c r="Q5" s="3281"/>
      <c r="R5" s="3286"/>
      <c r="S5" s="3287"/>
      <c r="T5" s="3286"/>
      <c r="U5" s="3287"/>
      <c r="V5" s="3269"/>
      <c r="W5" s="3269"/>
      <c r="X5" s="1815"/>
      <c r="Y5" s="3286"/>
      <c r="Z5" s="3287"/>
      <c r="AA5" s="3272"/>
      <c r="AB5" s="3272"/>
      <c r="AC5" s="3272"/>
    </row>
    <row r="6" spans="1:29" ht="15.75" thickBot="1">
      <c r="A6" s="406"/>
      <c r="B6" s="407"/>
      <c r="C6" s="3297" t="s">
        <v>2544</v>
      </c>
      <c r="D6" s="3291"/>
      <c r="E6" s="3330" t="s">
        <v>2544</v>
      </c>
      <c r="F6" s="3299"/>
      <c r="G6" s="3297" t="s">
        <v>2544</v>
      </c>
      <c r="H6" s="3291"/>
      <c r="I6" s="3297" t="s">
        <v>2544</v>
      </c>
      <c r="J6" s="3291"/>
      <c r="K6" s="610" t="s">
        <v>2545</v>
      </c>
      <c r="L6" s="1132"/>
      <c r="M6" s="1133"/>
      <c r="N6" s="1133"/>
      <c r="O6" s="1133"/>
      <c r="P6" s="3282"/>
      <c r="Q6" s="3283"/>
      <c r="R6" s="3286"/>
      <c r="S6" s="3287"/>
      <c r="T6" s="3288"/>
      <c r="U6" s="3289"/>
      <c r="V6" s="3269"/>
      <c r="W6" s="3269"/>
      <c r="X6" s="1815"/>
      <c r="Y6" s="3288"/>
      <c r="Z6" s="3289"/>
      <c r="AA6" s="3273"/>
      <c r="AB6" s="3273"/>
      <c r="AC6" s="3273"/>
    </row>
    <row r="7" spans="1:29" s="117" customFormat="1" ht="15.75" thickBot="1">
      <c r="A7" s="408" t="s">
        <v>2546</v>
      </c>
      <c r="B7" s="409"/>
      <c r="C7" s="410">
        <f>'数据-取费表'!B2</f>
        <v>43209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94" t="s">
        <v>2547</v>
      </c>
      <c r="Q7" s="3296"/>
      <c r="R7" s="769" t="s">
        <v>17</v>
      </c>
      <c r="S7" s="770">
        <f t="shared" ref="S7:S15" si="0">F7</f>
        <v>0</v>
      </c>
      <c r="T7" s="769" t="s">
        <v>17</v>
      </c>
      <c r="U7" s="770">
        <f t="shared" ref="U7:U15" si="1">H7</f>
        <v>0</v>
      </c>
      <c r="V7" s="769" t="s">
        <v>17</v>
      </c>
      <c r="W7" s="770">
        <f t="shared" ref="W7:W15" si="2">J7</f>
        <v>0</v>
      </c>
      <c r="X7" s="771"/>
      <c r="Y7" s="3294" t="s">
        <v>2547</v>
      </c>
      <c r="Z7" s="3295"/>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94" t="s">
        <v>2550</v>
      </c>
      <c r="Q8" s="3295"/>
      <c r="R8" s="769" t="s">
        <v>17</v>
      </c>
      <c r="S8" s="770">
        <f t="shared" si="0"/>
        <v>0</v>
      </c>
      <c r="T8" s="769" t="s">
        <v>17</v>
      </c>
      <c r="U8" s="770">
        <f t="shared" si="1"/>
        <v>0</v>
      </c>
      <c r="V8" s="769" t="s">
        <v>17</v>
      </c>
      <c r="W8" s="770">
        <f t="shared" si="2"/>
        <v>0</v>
      </c>
      <c r="X8" s="771"/>
      <c r="Y8" s="3294" t="s">
        <v>2550</v>
      </c>
      <c r="Z8" s="3295"/>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55" t="s">
        <v>2553</v>
      </c>
      <c r="Q9" s="1797" t="str">
        <f t="shared" ref="Q9:Q15" si="6">B9</f>
        <v>用途</v>
      </c>
      <c r="R9" s="769" t="s">
        <v>17</v>
      </c>
      <c r="S9" s="770">
        <f t="shared" si="0"/>
        <v>100</v>
      </c>
      <c r="T9" s="769" t="s">
        <v>17</v>
      </c>
      <c r="U9" s="770">
        <f t="shared" si="1"/>
        <v>100</v>
      </c>
      <c r="V9" s="769" t="s">
        <v>17</v>
      </c>
      <c r="W9" s="770">
        <f t="shared" si="2"/>
        <v>100</v>
      </c>
      <c r="X9" s="771"/>
      <c r="Y9" s="3110"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55"/>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55"/>
      <c r="Q11" s="1797" t="str">
        <f t="shared" si="6"/>
        <v>容积率</v>
      </c>
      <c r="R11" s="769" t="s">
        <v>17</v>
      </c>
      <c r="S11" s="770" t="e">
        <f t="shared" si="0"/>
        <v>#N/A</v>
      </c>
      <c r="T11" s="769" t="s">
        <v>17</v>
      </c>
      <c r="U11" s="770" t="e">
        <f t="shared" si="1"/>
        <v>#N/A</v>
      </c>
      <c r="V11" s="769" t="s">
        <v>17</v>
      </c>
      <c r="W11" s="770" t="e">
        <f t="shared" si="2"/>
        <v>#N/A</v>
      </c>
      <c r="X11" s="771"/>
      <c r="Y11" s="3110"/>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55"/>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55"/>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55"/>
      <c r="Q14" s="1797">
        <f t="shared" si="6"/>
        <v>111</v>
      </c>
      <c r="R14" s="769" t="s">
        <v>17</v>
      </c>
      <c r="S14" s="770">
        <f t="shared" si="0"/>
        <v>100</v>
      </c>
      <c r="T14" s="769" t="s">
        <v>17</v>
      </c>
      <c r="U14" s="770">
        <f t="shared" si="1"/>
        <v>100</v>
      </c>
      <c r="V14" s="769" t="s">
        <v>17</v>
      </c>
      <c r="W14" s="770">
        <f t="shared" si="2"/>
        <v>100</v>
      </c>
      <c r="X14" s="771"/>
      <c r="Y14" s="3110"/>
      <c r="Z14" s="55">
        <f t="shared" si="7"/>
        <v>111</v>
      </c>
      <c r="AA14" s="772">
        <f t="shared" si="3"/>
        <v>1</v>
      </c>
      <c r="AB14" s="772">
        <f t="shared" si="4"/>
        <v>1</v>
      </c>
      <c r="AC14" s="772">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62" t="s">
        <v>2558</v>
      </c>
      <c r="Q15" s="1812" t="str">
        <f t="shared" si="6"/>
        <v>产业集聚程度</v>
      </c>
      <c r="R15" s="773" t="s">
        <v>17</v>
      </c>
      <c r="S15" s="774">
        <f t="shared" si="0"/>
        <v>100</v>
      </c>
      <c r="T15" s="773" t="s">
        <v>17</v>
      </c>
      <c r="U15" s="774">
        <f t="shared" si="1"/>
        <v>100</v>
      </c>
      <c r="V15" s="773" t="s">
        <v>17</v>
      </c>
      <c r="W15" s="774">
        <f t="shared" si="2"/>
        <v>100</v>
      </c>
      <c r="X15" s="1815"/>
      <c r="Y15" s="3262"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63"/>
      <c r="Q16" s="1812"/>
      <c r="R16" s="773"/>
      <c r="S16" s="774"/>
      <c r="T16" s="773"/>
      <c r="U16" s="774"/>
      <c r="V16" s="773"/>
      <c r="W16" s="774"/>
      <c r="X16" s="1815"/>
      <c r="Y16" s="3263"/>
      <c r="Z16" s="1816"/>
      <c r="AA16" s="1813">
        <v>1</v>
      </c>
      <c r="AB16" s="1813">
        <v>1</v>
      </c>
      <c r="AC16" s="1813">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63"/>
      <c r="Q17" s="1812" t="str">
        <f>B17</f>
        <v>交通便捷度</v>
      </c>
      <c r="R17" s="773" t="s">
        <v>17</v>
      </c>
      <c r="S17" s="774">
        <f>F17</f>
        <v>100</v>
      </c>
      <c r="T17" s="773" t="s">
        <v>17</v>
      </c>
      <c r="U17" s="774">
        <f>H17</f>
        <v>100</v>
      </c>
      <c r="V17" s="773" t="s">
        <v>17</v>
      </c>
      <c r="W17" s="774">
        <f>J17</f>
        <v>100</v>
      </c>
      <c r="X17" s="1815"/>
      <c r="Y17" s="3263"/>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263"/>
      <c r="Q18" s="1812"/>
      <c r="R18" s="773"/>
      <c r="S18" s="774"/>
      <c r="T18" s="773"/>
      <c r="U18" s="774"/>
      <c r="V18" s="773"/>
      <c r="W18" s="774"/>
      <c r="X18" s="1815"/>
      <c r="Y18" s="3263"/>
      <c r="Z18" s="1816"/>
      <c r="AA18" s="1813">
        <v>1</v>
      </c>
      <c r="AB18" s="1813">
        <v>1</v>
      </c>
      <c r="AC18" s="1813">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63"/>
      <c r="Q19" s="1812" t="str">
        <f>B19</f>
        <v>公共配套设施</v>
      </c>
      <c r="R19" s="773" t="s">
        <v>17</v>
      </c>
      <c r="S19" s="774">
        <f>F19</f>
        <v>100</v>
      </c>
      <c r="T19" s="773" t="s">
        <v>17</v>
      </c>
      <c r="U19" s="774">
        <f>H19</f>
        <v>100</v>
      </c>
      <c r="V19" s="773" t="s">
        <v>17</v>
      </c>
      <c r="W19" s="774">
        <f>J19</f>
        <v>100</v>
      </c>
      <c r="X19" s="1815"/>
      <c r="Y19" s="3263"/>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263"/>
      <c r="Q20" s="1812"/>
      <c r="R20" s="773"/>
      <c r="S20" s="774"/>
      <c r="T20" s="773"/>
      <c r="U20" s="774"/>
      <c r="V20" s="773"/>
      <c r="W20" s="774"/>
      <c r="X20" s="1815"/>
      <c r="Y20" s="3263"/>
      <c r="Z20" s="1816"/>
      <c r="AA20" s="1813">
        <v>1</v>
      </c>
      <c r="AB20" s="1813">
        <v>1</v>
      </c>
      <c r="AC20" s="1813">
        <v>1</v>
      </c>
    </row>
    <row r="21" spans="1:29" ht="28.5">
      <c r="A21" s="428"/>
      <c r="B21" s="1386"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63"/>
      <c r="Q21" s="1812" t="str">
        <f>B21</f>
        <v>基础设施水平</v>
      </c>
      <c r="R21" s="773" t="s">
        <v>17</v>
      </c>
      <c r="S21" s="774">
        <f>F21</f>
        <v>100</v>
      </c>
      <c r="T21" s="773" t="s">
        <v>17</v>
      </c>
      <c r="U21" s="774">
        <f>H21</f>
        <v>100</v>
      </c>
      <c r="V21" s="773" t="s">
        <v>17</v>
      </c>
      <c r="W21" s="774">
        <f>J21</f>
        <v>100</v>
      </c>
      <c r="X21" s="1815"/>
      <c r="Y21" s="3263"/>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263"/>
      <c r="Q22" s="1812"/>
      <c r="R22" s="773"/>
      <c r="S22" s="774"/>
      <c r="T22" s="773"/>
      <c r="U22" s="774"/>
      <c r="V22" s="773"/>
      <c r="W22" s="774"/>
      <c r="X22" s="1815"/>
      <c r="Y22" s="3263"/>
      <c r="Z22" s="1816"/>
      <c r="AA22" s="1813">
        <v>1</v>
      </c>
      <c r="AB22" s="1813">
        <v>1</v>
      </c>
      <c r="AC22" s="1813">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63"/>
      <c r="Q23" s="1812" t="str">
        <f>B23</f>
        <v>环境质量</v>
      </c>
      <c r="R23" s="773" t="s">
        <v>17</v>
      </c>
      <c r="S23" s="774">
        <f>F23</f>
        <v>100</v>
      </c>
      <c r="T23" s="773" t="s">
        <v>17</v>
      </c>
      <c r="U23" s="774">
        <f>H23</f>
        <v>100</v>
      </c>
      <c r="V23" s="773" t="s">
        <v>17</v>
      </c>
      <c r="W23" s="774">
        <f>J23</f>
        <v>100</v>
      </c>
      <c r="X23" s="1815"/>
      <c r="Y23" s="3263"/>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263"/>
      <c r="Q24" s="1812"/>
      <c r="R24" s="773"/>
      <c r="S24" s="774"/>
      <c r="T24" s="773"/>
      <c r="U24" s="774"/>
      <c r="V24" s="773"/>
      <c r="W24" s="774"/>
      <c r="X24" s="1815"/>
      <c r="Y24" s="3263"/>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63"/>
      <c r="Q25" s="1812">
        <f>B25</f>
        <v>111</v>
      </c>
      <c r="R25" s="773" t="s">
        <v>17</v>
      </c>
      <c r="S25" s="774">
        <f>F25</f>
        <v>100</v>
      </c>
      <c r="T25" s="773" t="s">
        <v>17</v>
      </c>
      <c r="U25" s="774">
        <f>H25</f>
        <v>100</v>
      </c>
      <c r="V25" s="773" t="s">
        <v>17</v>
      </c>
      <c r="W25" s="774">
        <f>J25</f>
        <v>100</v>
      </c>
      <c r="X25" s="1815"/>
      <c r="Y25" s="3263"/>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63"/>
      <c r="Q26" s="1812">
        <f t="shared" ref="Q26:Q40" si="11">B26</f>
        <v>111</v>
      </c>
      <c r="R26" s="773" t="s">
        <v>17</v>
      </c>
      <c r="S26" s="774">
        <f>F26</f>
        <v>100</v>
      </c>
      <c r="T26" s="773" t="s">
        <v>17</v>
      </c>
      <c r="U26" s="774">
        <f>H26</f>
        <v>100</v>
      </c>
      <c r="V26" s="773" t="s">
        <v>17</v>
      </c>
      <c r="W26" s="774">
        <f>J26</f>
        <v>100</v>
      </c>
      <c r="X26" s="1815"/>
      <c r="Y26" s="3263"/>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63"/>
      <c r="Q27" s="1797">
        <f t="shared" si="11"/>
        <v>111</v>
      </c>
      <c r="R27" s="769" t="s">
        <v>17</v>
      </c>
      <c r="S27" s="770">
        <f>F27</f>
        <v>100</v>
      </c>
      <c r="T27" s="769" t="s">
        <v>17</v>
      </c>
      <c r="U27" s="770">
        <f>H27</f>
        <v>100</v>
      </c>
      <c r="V27" s="769" t="s">
        <v>17</v>
      </c>
      <c r="W27" s="770">
        <f>J27</f>
        <v>100</v>
      </c>
      <c r="X27" s="771"/>
      <c r="Y27" s="3263"/>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63"/>
      <c r="Q28" s="1812">
        <f t="shared" si="11"/>
        <v>111</v>
      </c>
      <c r="R28" s="773" t="s">
        <v>17</v>
      </c>
      <c r="S28" s="774">
        <f t="shared" ref="S28:S40" si="12">F28</f>
        <v>100</v>
      </c>
      <c r="T28" s="773" t="s">
        <v>17</v>
      </c>
      <c r="U28" s="774">
        <f t="shared" ref="U28:U40" si="13">H28</f>
        <v>100</v>
      </c>
      <c r="V28" s="773" t="s">
        <v>17</v>
      </c>
      <c r="W28" s="774">
        <f t="shared" ref="W28:W40" si="14">J28</f>
        <v>100</v>
      </c>
      <c r="X28" s="1815"/>
      <c r="Y28" s="3263"/>
      <c r="Z28" s="1816">
        <f t="shared" ref="Z28:Z40" si="15">Q28</f>
        <v>111</v>
      </c>
      <c r="AA28" s="1813">
        <f t="shared" si="3"/>
        <v>1</v>
      </c>
      <c r="AB28" s="1813">
        <f t="shared" si="4"/>
        <v>1</v>
      </c>
      <c r="AC28" s="1813">
        <f t="shared" si="5"/>
        <v>1</v>
      </c>
    </row>
    <row r="29" spans="1:29" ht="1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347" t="s">
        <v>2563</v>
      </c>
      <c r="Q29" s="1812" t="str">
        <f t="shared" si="11"/>
        <v>建筑类型</v>
      </c>
      <c r="R29" s="773" t="s">
        <v>17</v>
      </c>
      <c r="S29" s="774">
        <f t="shared" si="12"/>
        <v>100</v>
      </c>
      <c r="T29" s="773" t="s">
        <v>17</v>
      </c>
      <c r="U29" s="774">
        <f t="shared" si="13"/>
        <v>100</v>
      </c>
      <c r="V29" s="773" t="s">
        <v>17</v>
      </c>
      <c r="W29" s="774">
        <f t="shared" si="14"/>
        <v>100</v>
      </c>
      <c r="X29" s="1815"/>
      <c r="Y29" s="3267"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67"/>
      <c r="Q30" s="775" t="str">
        <f t="shared" si="11"/>
        <v>项目建筑规模</v>
      </c>
      <c r="R30" s="776" t="s">
        <v>17</v>
      </c>
      <c r="S30" s="777" t="e">
        <f t="shared" si="12"/>
        <v>#N/A</v>
      </c>
      <c r="T30" s="776" t="s">
        <v>17</v>
      </c>
      <c r="U30" s="777" t="e">
        <f t="shared" si="13"/>
        <v>#N/A</v>
      </c>
      <c r="V30" s="776" t="s">
        <v>17</v>
      </c>
      <c r="W30" s="777" t="e">
        <f t="shared" si="14"/>
        <v>#N/A</v>
      </c>
      <c r="X30" s="778"/>
      <c r="Y30" s="3267"/>
      <c r="Z30" s="779"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67"/>
      <c r="Q31" s="1812" t="str">
        <f t="shared" si="11"/>
        <v>建筑结构</v>
      </c>
      <c r="R31" s="773" t="s">
        <v>17</v>
      </c>
      <c r="S31" s="774">
        <f t="shared" si="12"/>
        <v>100</v>
      </c>
      <c r="T31" s="773" t="s">
        <v>17</v>
      </c>
      <c r="U31" s="774">
        <f t="shared" si="13"/>
        <v>100</v>
      </c>
      <c r="V31" s="773" t="s">
        <v>17</v>
      </c>
      <c r="W31" s="774">
        <f t="shared" si="14"/>
        <v>100</v>
      </c>
      <c r="X31" s="1815"/>
      <c r="Y31" s="3267"/>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67"/>
      <c r="Q32" s="1812" t="str">
        <f t="shared" si="11"/>
        <v>公共部分装修</v>
      </c>
      <c r="R32" s="773" t="s">
        <v>17</v>
      </c>
      <c r="S32" s="774">
        <f t="shared" si="12"/>
        <v>100</v>
      </c>
      <c r="T32" s="773" t="s">
        <v>17</v>
      </c>
      <c r="U32" s="774">
        <f t="shared" si="13"/>
        <v>100</v>
      </c>
      <c r="V32" s="773" t="s">
        <v>17</v>
      </c>
      <c r="W32" s="774">
        <f t="shared" si="14"/>
        <v>100</v>
      </c>
      <c r="X32" s="1815"/>
      <c r="Y32" s="3267"/>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67"/>
      <c r="Q33" s="1812" t="str">
        <f t="shared" si="11"/>
        <v>成新度</v>
      </c>
      <c r="R33" s="773" t="s">
        <v>17</v>
      </c>
      <c r="S33" s="774" t="e">
        <f t="shared" si="12"/>
        <v>#N/A</v>
      </c>
      <c r="T33" s="773" t="s">
        <v>17</v>
      </c>
      <c r="U33" s="774" t="e">
        <f t="shared" si="13"/>
        <v>#N/A</v>
      </c>
      <c r="V33" s="773" t="s">
        <v>17</v>
      </c>
      <c r="W33" s="774" t="e">
        <f t="shared" si="14"/>
        <v>#N/A</v>
      </c>
      <c r="X33" s="1815"/>
      <c r="Y33" s="3267"/>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67"/>
      <c r="Q34" s="1797" t="str">
        <f t="shared" si="11"/>
        <v>物业管理</v>
      </c>
      <c r="R34" s="769" t="s">
        <v>17</v>
      </c>
      <c r="S34" s="770">
        <f t="shared" si="12"/>
        <v>100</v>
      </c>
      <c r="T34" s="769" t="s">
        <v>17</v>
      </c>
      <c r="U34" s="770">
        <f t="shared" si="13"/>
        <v>100</v>
      </c>
      <c r="V34" s="769" t="s">
        <v>17</v>
      </c>
      <c r="W34" s="770">
        <f t="shared" si="14"/>
        <v>100</v>
      </c>
      <c r="X34" s="771"/>
      <c r="Y34" s="3267"/>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67" t="s">
        <v>2563</v>
      </c>
      <c r="Q35" s="1812" t="str">
        <f t="shared" si="11"/>
        <v>市政基础设施</v>
      </c>
      <c r="R35" s="773" t="s">
        <v>17</v>
      </c>
      <c r="S35" s="774">
        <f t="shared" si="12"/>
        <v>100</v>
      </c>
      <c r="T35" s="773" t="s">
        <v>17</v>
      </c>
      <c r="U35" s="774">
        <f t="shared" si="13"/>
        <v>100</v>
      </c>
      <c r="V35" s="773" t="s">
        <v>17</v>
      </c>
      <c r="W35" s="774">
        <f t="shared" si="14"/>
        <v>100</v>
      </c>
      <c r="X35" s="1815"/>
      <c r="Y35" s="3267"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67"/>
      <c r="Q36" s="1812" t="str">
        <f t="shared" si="11"/>
        <v>内部装修</v>
      </c>
      <c r="R36" s="773" t="s">
        <v>17</v>
      </c>
      <c r="S36" s="774">
        <f t="shared" si="12"/>
        <v>100</v>
      </c>
      <c r="T36" s="773" t="s">
        <v>17</v>
      </c>
      <c r="U36" s="774">
        <f t="shared" si="13"/>
        <v>100</v>
      </c>
      <c r="V36" s="773" t="s">
        <v>17</v>
      </c>
      <c r="W36" s="774">
        <f t="shared" si="14"/>
        <v>100</v>
      </c>
      <c r="X36" s="1815"/>
      <c r="Y36" s="3267"/>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67"/>
      <c r="Q37" s="1812" t="str">
        <f t="shared" si="11"/>
        <v>内部装修状况</v>
      </c>
      <c r="R37" s="773" t="s">
        <v>17</v>
      </c>
      <c r="S37" s="774">
        <f t="shared" si="12"/>
        <v>100</v>
      </c>
      <c r="T37" s="773" t="s">
        <v>17</v>
      </c>
      <c r="U37" s="774">
        <f t="shared" si="13"/>
        <v>100</v>
      </c>
      <c r="V37" s="773" t="s">
        <v>17</v>
      </c>
      <c r="W37" s="774">
        <f t="shared" si="14"/>
        <v>100</v>
      </c>
      <c r="X37" s="1815"/>
      <c r="Y37" s="3267"/>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67"/>
      <c r="Q38" s="775">
        <f t="shared" si="11"/>
        <v>111</v>
      </c>
      <c r="R38" s="776" t="s">
        <v>17</v>
      </c>
      <c r="S38" s="777">
        <f t="shared" si="12"/>
        <v>100</v>
      </c>
      <c r="T38" s="776" t="s">
        <v>17</v>
      </c>
      <c r="U38" s="777">
        <f t="shared" si="13"/>
        <v>100</v>
      </c>
      <c r="V38" s="776" t="s">
        <v>17</v>
      </c>
      <c r="W38" s="777">
        <f t="shared" si="14"/>
        <v>100</v>
      </c>
      <c r="X38" s="778"/>
      <c r="Y38" s="3267"/>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67"/>
      <c r="Q39" s="1812">
        <f t="shared" si="11"/>
        <v>111</v>
      </c>
      <c r="R39" s="773" t="s">
        <v>17</v>
      </c>
      <c r="S39" s="774">
        <f t="shared" si="12"/>
        <v>100</v>
      </c>
      <c r="T39" s="773" t="s">
        <v>17</v>
      </c>
      <c r="U39" s="774">
        <f t="shared" si="13"/>
        <v>100</v>
      </c>
      <c r="V39" s="773" t="s">
        <v>17</v>
      </c>
      <c r="W39" s="774">
        <f t="shared" si="14"/>
        <v>100</v>
      </c>
      <c r="X39" s="1815"/>
      <c r="Y39" s="3267"/>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68"/>
      <c r="Q40" s="1812">
        <f t="shared" si="11"/>
        <v>111</v>
      </c>
      <c r="R40" s="773" t="s">
        <v>17</v>
      </c>
      <c r="S40" s="774">
        <f t="shared" si="12"/>
        <v>100</v>
      </c>
      <c r="T40" s="773" t="s">
        <v>17</v>
      </c>
      <c r="U40" s="774">
        <f t="shared" si="13"/>
        <v>100</v>
      </c>
      <c r="V40" s="773" t="s">
        <v>17</v>
      </c>
      <c r="W40" s="774">
        <f t="shared" si="14"/>
        <v>100</v>
      </c>
      <c r="X40" s="1815"/>
      <c r="Y40" s="3268"/>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2"/>
      <c r="L41" s="1145"/>
      <c r="M41" s="1146"/>
      <c r="N41" s="1133"/>
      <c r="O41" s="1146"/>
      <c r="P41" s="3255" t="str">
        <f>A41</f>
        <v>成交单价（元/平方米）</v>
      </c>
      <c r="Q41" s="3255"/>
      <c r="R41" s="3256">
        <f>E41</f>
        <v>0</v>
      </c>
      <c r="S41" s="3256"/>
      <c r="T41" s="3256">
        <f>G41</f>
        <v>0</v>
      </c>
      <c r="U41" s="3256"/>
      <c r="V41" s="3256">
        <f>I41</f>
        <v>0</v>
      </c>
      <c r="W41" s="3256"/>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255" t="str">
        <f>A42</f>
        <v>比较价值（元/平方米）</v>
      </c>
      <c r="Q42" s="3255"/>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257" t="str">
        <f>A43</f>
        <v>估价对象XX用房的比较价值（楼面单价，元/平方米）</v>
      </c>
      <c r="Q43" s="3258"/>
      <c r="R43" s="3259" t="e">
        <f>IF(F1="售价",ROUND(AVERAGE(R42:V42),0),ROUND(AVERAGE(R42:V42),1))</f>
        <v>#DIV/0!</v>
      </c>
      <c r="S43" s="3259"/>
      <c r="T43" s="3259"/>
      <c r="U43" s="3259"/>
      <c r="V43" s="3259"/>
      <c r="W43" s="3259"/>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中信信托有限责任公司：</v>
      </c>
    </row>
    <row r="4" spans="1:1" ht="18">
      <c r="A4" s="1950" t="str">
        <f>"受贵公司委托，我公司对"&amp;项目基本情况!S1&amp;"进行了预评估。"</f>
        <v>受贵公司委托，我公司对湖北省武汉市房地产抵押价值进行了预评估。</v>
      </c>
    </row>
    <row r="5" spans="1:1" ht="18.75">
      <c r="A5" s="1951" t="s">
        <v>1611</v>
      </c>
    </row>
    <row r="6" spans="1:1" ht="18.75">
      <c r="A6" s="1952" t="s">
        <v>1612</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估价对象为湖北省武汉市房地产，为武汉统建所有。根据，估价对象（分摊）出让国有建设用地使用权面积为15635.97平方米，建筑面积为39089.93平方米。</v>
      </c>
    </row>
    <row r="8" spans="1:1" ht="57.75">
      <c r="A8" s="1953" t="s">
        <v>1613</v>
      </c>
    </row>
    <row r="9" spans="1:1" ht="18.75">
      <c r="A9" s="1952" t="s">
        <v>1614</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估价对象为湖北省武汉市房地产,属武汉统建开发建设的商业项目，该项目尚在开发建设中。根据，估价对象（分摊）出让国有建设用地使用权面积为15635.97平方米，规划建筑面积为39089.93平方米。</v>
      </c>
    </row>
    <row r="11" spans="1:1" ht="76.5">
      <c r="A11" s="1953" t="s">
        <v>1615</v>
      </c>
    </row>
    <row r="12" spans="1:1" ht="18.75">
      <c r="A12" s="1951" t="s">
        <v>1616</v>
      </c>
    </row>
    <row r="13" spans="1:1" ht="38.25" customHeight="1">
      <c r="A13" s="1954" t="str">
        <f>IF(项目基本情况!B8="抵押",IF(项目基本情况!B5=项目基本情况!B6,定义!C51,定义!B51),定义!D51)</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2018年4月19日（评估专业人员实地查勘之日）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本次估价的“房地产价值”是指在正常市场情况下，在价值时点2018年4月19日，估价对象规划用途为商业，土地取得方式为划拨，假定未设立法定优先受偿款下的房地产市场价值。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商业，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本次评估采用的主估价方法为收益法和比较法。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4"/>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274" t="s">
        <v>2644</v>
      </c>
      <c r="D4" s="3275"/>
      <c r="E4" s="3276" t="s">
        <v>2645</v>
      </c>
      <c r="F4" s="3277"/>
      <c r="G4" s="3274" t="s">
        <v>2646</v>
      </c>
      <c r="H4" s="3275"/>
      <c r="I4" s="3274" t="s">
        <v>2647</v>
      </c>
      <c r="J4" s="3275"/>
      <c r="K4" s="610" t="s">
        <v>2648</v>
      </c>
      <c r="L4" s="1132"/>
      <c r="M4" s="1133"/>
      <c r="N4" s="1133"/>
      <c r="O4" s="1133"/>
      <c r="P4" s="3278" t="s">
        <v>2649</v>
      </c>
      <c r="Q4" s="3279"/>
      <c r="R4" s="3284" t="s">
        <v>2645</v>
      </c>
      <c r="S4" s="3285"/>
      <c r="T4" s="3284" t="s">
        <v>2646</v>
      </c>
      <c r="U4" s="3285"/>
      <c r="V4" s="3269" t="s">
        <v>2647</v>
      </c>
      <c r="W4" s="3269"/>
      <c r="X4" s="1815"/>
      <c r="Y4" s="3284" t="s">
        <v>2649</v>
      </c>
      <c r="Z4" s="3285"/>
      <c r="AA4" s="3271" t="s">
        <v>2645</v>
      </c>
      <c r="AB4" s="3272" t="s">
        <v>2646</v>
      </c>
      <c r="AC4" s="3271" t="s">
        <v>2647</v>
      </c>
    </row>
    <row r="5" spans="1:29" ht="15">
      <c r="A5" s="404"/>
      <c r="B5" s="405"/>
      <c r="C5" s="3329" t="s">
        <v>2540</v>
      </c>
      <c r="D5" s="3293"/>
      <c r="E5" s="3331" t="s">
        <v>2541</v>
      </c>
      <c r="F5" s="3301"/>
      <c r="G5" s="3329" t="s">
        <v>2542</v>
      </c>
      <c r="H5" s="3293"/>
      <c r="I5" s="3329" t="s">
        <v>2543</v>
      </c>
      <c r="J5" s="3293"/>
      <c r="K5" s="610"/>
      <c r="L5" s="1132"/>
      <c r="M5" s="1133"/>
      <c r="N5" s="1133"/>
      <c r="O5" s="1133"/>
      <c r="P5" s="3280"/>
      <c r="Q5" s="3281"/>
      <c r="R5" s="3286"/>
      <c r="S5" s="3287"/>
      <c r="T5" s="3286"/>
      <c r="U5" s="3287"/>
      <c r="V5" s="3269"/>
      <c r="W5" s="3269"/>
      <c r="X5" s="1815"/>
      <c r="Y5" s="3286"/>
      <c r="Z5" s="3287"/>
      <c r="AA5" s="3272"/>
      <c r="AB5" s="3272"/>
      <c r="AC5" s="3272"/>
    </row>
    <row r="6" spans="1:29" ht="15.75" thickBot="1">
      <c r="A6" s="406"/>
      <c r="B6" s="407"/>
      <c r="C6" s="3297" t="s">
        <v>2544</v>
      </c>
      <c r="D6" s="3291"/>
      <c r="E6" s="3330" t="s">
        <v>2544</v>
      </c>
      <c r="F6" s="3299"/>
      <c r="G6" s="3297" t="s">
        <v>2544</v>
      </c>
      <c r="H6" s="3291"/>
      <c r="I6" s="3297" t="s">
        <v>2544</v>
      </c>
      <c r="J6" s="3291"/>
      <c r="K6" s="610" t="s">
        <v>2545</v>
      </c>
      <c r="L6" s="1132"/>
      <c r="M6" s="1133"/>
      <c r="N6" s="1133"/>
      <c r="O6" s="1133"/>
      <c r="P6" s="3282"/>
      <c r="Q6" s="3283"/>
      <c r="R6" s="3286"/>
      <c r="S6" s="3287"/>
      <c r="T6" s="3288"/>
      <c r="U6" s="3289"/>
      <c r="V6" s="3269"/>
      <c r="W6" s="3269"/>
      <c r="X6" s="1815"/>
      <c r="Y6" s="3288"/>
      <c r="Z6" s="3289"/>
      <c r="AA6" s="3273"/>
      <c r="AB6" s="3273"/>
      <c r="AC6" s="3273"/>
    </row>
    <row r="7" spans="1:29" s="117" customFormat="1" ht="15.75" thickBot="1">
      <c r="A7" s="408" t="s">
        <v>2546</v>
      </c>
      <c r="B7" s="409"/>
      <c r="C7" s="410">
        <f>'数据-取费表'!B2</f>
        <v>43209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94" t="s">
        <v>2547</v>
      </c>
      <c r="Q7" s="3296"/>
      <c r="R7" s="769" t="s">
        <v>17</v>
      </c>
      <c r="S7" s="770">
        <f t="shared" ref="S7:S14" si="0">F7</f>
        <v>0</v>
      </c>
      <c r="T7" s="769" t="s">
        <v>17</v>
      </c>
      <c r="U7" s="770">
        <f t="shared" ref="U7:U14" si="1">H7</f>
        <v>0</v>
      </c>
      <c r="V7" s="769" t="s">
        <v>17</v>
      </c>
      <c r="W7" s="770">
        <f t="shared" ref="W7:W14" si="2">J7</f>
        <v>0</v>
      </c>
      <c r="X7" s="771"/>
      <c r="Y7" s="3294" t="s">
        <v>2547</v>
      </c>
      <c r="Z7" s="3295"/>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94" t="s">
        <v>2550</v>
      </c>
      <c r="Q8" s="3295"/>
      <c r="R8" s="769" t="s">
        <v>17</v>
      </c>
      <c r="S8" s="770">
        <f t="shared" si="0"/>
        <v>0</v>
      </c>
      <c r="T8" s="769" t="s">
        <v>17</v>
      </c>
      <c r="U8" s="770">
        <f t="shared" si="1"/>
        <v>0</v>
      </c>
      <c r="V8" s="769" t="s">
        <v>17</v>
      </c>
      <c r="W8" s="770">
        <f t="shared" si="2"/>
        <v>0</v>
      </c>
      <c r="X8" s="771"/>
      <c r="Y8" s="3294" t="s">
        <v>2550</v>
      </c>
      <c r="Z8" s="3295"/>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55" t="s">
        <v>2553</v>
      </c>
      <c r="Q9" s="1797" t="str">
        <f t="shared" ref="Q9:Q14" si="6">B9</f>
        <v>用途</v>
      </c>
      <c r="R9" s="769" t="s">
        <v>17</v>
      </c>
      <c r="S9" s="770">
        <f t="shared" si="0"/>
        <v>100</v>
      </c>
      <c r="T9" s="769" t="s">
        <v>17</v>
      </c>
      <c r="U9" s="770">
        <f t="shared" si="1"/>
        <v>100</v>
      </c>
      <c r="V9" s="769" t="s">
        <v>17</v>
      </c>
      <c r="W9" s="770">
        <f t="shared" si="2"/>
        <v>100</v>
      </c>
      <c r="X9" s="771"/>
      <c r="Y9" s="3110"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55"/>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55"/>
      <c r="Q11" s="1797">
        <f t="shared" si="6"/>
        <v>111</v>
      </c>
      <c r="R11" s="769" t="s">
        <v>17</v>
      </c>
      <c r="S11" s="770">
        <f t="shared" si="0"/>
        <v>100</v>
      </c>
      <c r="T11" s="769" t="s">
        <v>17</v>
      </c>
      <c r="U11" s="770">
        <f t="shared" si="1"/>
        <v>100</v>
      </c>
      <c r="V11" s="769" t="s">
        <v>17</v>
      </c>
      <c r="W11" s="770">
        <f t="shared" si="2"/>
        <v>100</v>
      </c>
      <c r="X11" s="771"/>
      <c r="Y11" s="3110"/>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55"/>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55"/>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85.5">
      <c r="A14" s="401" t="s">
        <v>2557</v>
      </c>
      <c r="B14" s="628"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62" t="s">
        <v>2558</v>
      </c>
      <c r="Q14" s="1812" t="str">
        <f t="shared" si="6"/>
        <v>交通便捷度</v>
      </c>
      <c r="R14" s="773" t="s">
        <v>17</v>
      </c>
      <c r="S14" s="774">
        <f t="shared" si="0"/>
        <v>100</v>
      </c>
      <c r="T14" s="773" t="s">
        <v>17</v>
      </c>
      <c r="U14" s="774">
        <f t="shared" si="1"/>
        <v>100</v>
      </c>
      <c r="V14" s="773" t="s">
        <v>17</v>
      </c>
      <c r="W14" s="774">
        <f t="shared" si="2"/>
        <v>100</v>
      </c>
      <c r="X14" s="1815"/>
      <c r="Y14" s="3262" t="s">
        <v>2558</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263"/>
      <c r="Q15" s="1812"/>
      <c r="R15" s="773"/>
      <c r="S15" s="774"/>
      <c r="T15" s="773"/>
      <c r="U15" s="774"/>
      <c r="V15" s="773"/>
      <c r="W15" s="774"/>
      <c r="X15" s="1815"/>
      <c r="Y15" s="3263"/>
      <c r="Z15" s="1816"/>
      <c r="AA15" s="1813">
        <v>1</v>
      </c>
      <c r="AB15" s="1813">
        <v>1</v>
      </c>
      <c r="AC15" s="1813">
        <v>1</v>
      </c>
    </row>
    <row r="16" spans="1:29" ht="42.75">
      <c r="A16" s="404"/>
      <c r="B16" s="630"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63"/>
      <c r="Q16" s="1812" t="str">
        <f>B16</f>
        <v>公共配套设施</v>
      </c>
      <c r="R16" s="773" t="s">
        <v>17</v>
      </c>
      <c r="S16" s="774">
        <f>F16</f>
        <v>100</v>
      </c>
      <c r="T16" s="773" t="s">
        <v>17</v>
      </c>
      <c r="U16" s="774">
        <f>H16</f>
        <v>100</v>
      </c>
      <c r="V16" s="773" t="s">
        <v>17</v>
      </c>
      <c r="W16" s="774">
        <f>J16</f>
        <v>100</v>
      </c>
      <c r="X16" s="1815"/>
      <c r="Y16" s="3263"/>
      <c r="Z16" s="1816" t="str">
        <f>Q16</f>
        <v>公共配套设施</v>
      </c>
      <c r="AA16" s="1813">
        <f t="shared" si="3"/>
        <v>1</v>
      </c>
      <c r="AB16" s="1813">
        <f t="shared" si="4"/>
        <v>1</v>
      </c>
      <c r="AC16" s="1813">
        <f t="shared" si="5"/>
        <v>1</v>
      </c>
    </row>
    <row r="17" spans="1:29" ht="15">
      <c r="A17" s="404"/>
      <c r="B17" s="631"/>
      <c r="C17" s="2608"/>
      <c r="D17" s="448"/>
      <c r="E17" s="447"/>
      <c r="F17" s="449"/>
      <c r="G17" s="447"/>
      <c r="H17" s="448"/>
      <c r="I17" s="447"/>
      <c r="J17" s="448"/>
      <c r="K17" s="615"/>
      <c r="L17" s="1142"/>
      <c r="M17" s="1133"/>
      <c r="N17" s="1133"/>
      <c r="O17" s="1133"/>
      <c r="P17" s="3263"/>
      <c r="Q17" s="1812"/>
      <c r="R17" s="773"/>
      <c r="S17" s="774"/>
      <c r="T17" s="773"/>
      <c r="U17" s="774"/>
      <c r="V17" s="773"/>
      <c r="W17" s="774"/>
      <c r="X17" s="1815"/>
      <c r="Y17" s="3263"/>
      <c r="Z17" s="1816"/>
      <c r="AA17" s="1813">
        <v>1</v>
      </c>
      <c r="AB17" s="1813">
        <v>1</v>
      </c>
      <c r="AC17" s="1813">
        <v>1</v>
      </c>
    </row>
    <row r="18" spans="1:29" ht="28.5">
      <c r="A18" s="404"/>
      <c r="B18" s="632"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63"/>
      <c r="Q18" s="1812" t="str">
        <f>B18</f>
        <v>基础设施水平</v>
      </c>
      <c r="R18" s="773" t="s">
        <v>17</v>
      </c>
      <c r="S18" s="774">
        <f>F18</f>
        <v>100</v>
      </c>
      <c r="T18" s="773" t="s">
        <v>17</v>
      </c>
      <c r="U18" s="774">
        <f>H18</f>
        <v>100</v>
      </c>
      <c r="V18" s="773" t="s">
        <v>17</v>
      </c>
      <c r="W18" s="774">
        <f>J18</f>
        <v>100</v>
      </c>
      <c r="X18" s="1815"/>
      <c r="Y18" s="3263"/>
      <c r="Z18" s="1816" t="str">
        <f>Q18</f>
        <v>基础设施水平</v>
      </c>
      <c r="AA18" s="1813">
        <f t="shared" ref="AA18" si="8">D18/F18</f>
        <v>1</v>
      </c>
      <c r="AB18" s="1813">
        <f t="shared" ref="AB18" si="9">D18/H18</f>
        <v>1</v>
      </c>
      <c r="AC18" s="1813">
        <f t="shared" ref="AC18" si="10">D18/J18</f>
        <v>1</v>
      </c>
    </row>
    <row r="19" spans="1:29" ht="15">
      <c r="A19" s="404"/>
      <c r="B19" s="632"/>
      <c r="C19" s="2608"/>
      <c r="D19" s="450"/>
      <c r="E19" s="2608"/>
      <c r="F19" s="453"/>
      <c r="G19" s="2608"/>
      <c r="H19" s="448"/>
      <c r="I19" s="447"/>
      <c r="J19" s="448"/>
      <c r="K19" s="1385"/>
      <c r="L19" s="1142"/>
      <c r="M19" s="1133"/>
      <c r="N19" s="1133"/>
      <c r="O19" s="1133"/>
      <c r="P19" s="3263"/>
      <c r="Q19" s="1812"/>
      <c r="R19" s="773"/>
      <c r="S19" s="774"/>
      <c r="T19" s="773"/>
      <c r="U19" s="774"/>
      <c r="V19" s="773"/>
      <c r="W19" s="774"/>
      <c r="X19" s="1815"/>
      <c r="Y19" s="3263"/>
      <c r="Z19" s="1816"/>
      <c r="AA19" s="1813">
        <v>1</v>
      </c>
      <c r="AB19" s="1813">
        <v>1</v>
      </c>
      <c r="AC19" s="1813">
        <v>1</v>
      </c>
    </row>
    <row r="20" spans="1:29" ht="57">
      <c r="A20" s="404"/>
      <c r="B20" s="630"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63"/>
      <c r="Q20" s="1812" t="str">
        <f>B20</f>
        <v>自然及人文环境</v>
      </c>
      <c r="R20" s="773" t="s">
        <v>17</v>
      </c>
      <c r="S20" s="774">
        <f>F20</f>
        <v>100</v>
      </c>
      <c r="T20" s="773" t="s">
        <v>17</v>
      </c>
      <c r="U20" s="774">
        <f>H20</f>
        <v>100</v>
      </c>
      <c r="V20" s="773" t="s">
        <v>17</v>
      </c>
      <c r="W20" s="774">
        <f>J20</f>
        <v>100</v>
      </c>
      <c r="X20" s="1815"/>
      <c r="Y20" s="3263"/>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263"/>
      <c r="Q21" s="1812"/>
      <c r="R21" s="773"/>
      <c r="S21" s="774"/>
      <c r="T21" s="773"/>
      <c r="U21" s="774"/>
      <c r="V21" s="773"/>
      <c r="W21" s="774"/>
      <c r="X21" s="1815"/>
      <c r="Y21" s="3263"/>
      <c r="Z21" s="1816"/>
      <c r="AA21" s="1813">
        <v>1</v>
      </c>
      <c r="AB21" s="1813">
        <v>1</v>
      </c>
      <c r="AC21" s="1813">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63"/>
      <c r="Q22" s="1812" t="str">
        <f>B22</f>
        <v>楼层</v>
      </c>
      <c r="R22" s="773" t="s">
        <v>17</v>
      </c>
      <c r="S22" s="774">
        <f>F22</f>
        <v>100</v>
      </c>
      <c r="T22" s="773" t="s">
        <v>17</v>
      </c>
      <c r="U22" s="774">
        <f>H22</f>
        <v>100</v>
      </c>
      <c r="V22" s="773" t="s">
        <v>17</v>
      </c>
      <c r="W22" s="774">
        <f>J22</f>
        <v>100</v>
      </c>
      <c r="X22" s="1815"/>
      <c r="Y22" s="3263"/>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63"/>
      <c r="Q23" s="1812">
        <f>B23</f>
        <v>111</v>
      </c>
      <c r="R23" s="773" t="s">
        <v>17</v>
      </c>
      <c r="S23" s="774">
        <f>F23</f>
        <v>100</v>
      </c>
      <c r="T23" s="773" t="s">
        <v>17</v>
      </c>
      <c r="U23" s="774">
        <f>H23</f>
        <v>100</v>
      </c>
      <c r="V23" s="773" t="s">
        <v>17</v>
      </c>
      <c r="W23" s="774">
        <f>J23</f>
        <v>100</v>
      </c>
      <c r="X23" s="1815"/>
      <c r="Y23" s="3263"/>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63"/>
      <c r="Q24" s="1812">
        <f t="shared" ref="Q24:Q36" si="11">B24</f>
        <v>111</v>
      </c>
      <c r="R24" s="773" t="s">
        <v>17</v>
      </c>
      <c r="S24" s="774">
        <f>F24</f>
        <v>100</v>
      </c>
      <c r="T24" s="773" t="s">
        <v>17</v>
      </c>
      <c r="U24" s="774">
        <f>H24</f>
        <v>100</v>
      </c>
      <c r="V24" s="773" t="s">
        <v>17</v>
      </c>
      <c r="W24" s="774">
        <f>J24</f>
        <v>100</v>
      </c>
      <c r="X24" s="1815"/>
      <c r="Y24" s="3263"/>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63"/>
      <c r="Q25" s="1797">
        <f t="shared" si="11"/>
        <v>111</v>
      </c>
      <c r="R25" s="769" t="s">
        <v>17</v>
      </c>
      <c r="S25" s="770">
        <f>F25</f>
        <v>100</v>
      </c>
      <c r="T25" s="769" t="s">
        <v>17</v>
      </c>
      <c r="U25" s="770">
        <f>H25</f>
        <v>100</v>
      </c>
      <c r="V25" s="769" t="s">
        <v>17</v>
      </c>
      <c r="W25" s="770">
        <f>J25</f>
        <v>100</v>
      </c>
      <c r="X25" s="771"/>
      <c r="Y25" s="3263"/>
      <c r="Z25" s="55">
        <f>Q25</f>
        <v>111</v>
      </c>
      <c r="AA25" s="1813">
        <f>D25/F25</f>
        <v>1</v>
      </c>
      <c r="AB25" s="1813">
        <f>D25/H25</f>
        <v>1</v>
      </c>
      <c r="AC25" s="1813">
        <f>D25/J25</f>
        <v>1</v>
      </c>
    </row>
    <row r="26" spans="1:29" ht="15">
      <c r="A26" s="651"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347"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67" t="s">
        <v>2563</v>
      </c>
      <c r="Z26" s="1816" t="str">
        <f t="shared" ref="Z26:Z36" si="15">Q26</f>
        <v>配套类型</v>
      </c>
      <c r="AA26" s="1813">
        <f t="shared" si="3"/>
        <v>1</v>
      </c>
      <c r="AB26" s="1813">
        <f t="shared" si="4"/>
        <v>1</v>
      </c>
      <c r="AC26" s="1813">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67"/>
      <c r="Q27" s="775" t="str">
        <f t="shared" si="11"/>
        <v>项目停车位配比</v>
      </c>
      <c r="R27" s="776" t="s">
        <v>17</v>
      </c>
      <c r="S27" s="777">
        <f t="shared" si="12"/>
        <v>100</v>
      </c>
      <c r="T27" s="776" t="s">
        <v>17</v>
      </c>
      <c r="U27" s="777">
        <f t="shared" si="13"/>
        <v>100</v>
      </c>
      <c r="V27" s="776" t="s">
        <v>17</v>
      </c>
      <c r="W27" s="777">
        <f t="shared" si="14"/>
        <v>100</v>
      </c>
      <c r="X27" s="778"/>
      <c r="Y27" s="3267"/>
      <c r="Z27" s="779" t="str">
        <f t="shared" si="15"/>
        <v>项目停车位配比</v>
      </c>
      <c r="AA27" s="1813">
        <f t="shared" si="3"/>
        <v>1</v>
      </c>
      <c r="AB27" s="1813">
        <f t="shared" si="4"/>
        <v>1</v>
      </c>
      <c r="AC27" s="1813">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67"/>
      <c r="Q28" s="1812" t="str">
        <f t="shared" si="11"/>
        <v>公共部分装修</v>
      </c>
      <c r="R28" s="773" t="s">
        <v>17</v>
      </c>
      <c r="S28" s="774">
        <f t="shared" si="12"/>
        <v>100</v>
      </c>
      <c r="T28" s="773" t="s">
        <v>17</v>
      </c>
      <c r="U28" s="774">
        <f t="shared" si="13"/>
        <v>100</v>
      </c>
      <c r="V28" s="773" t="s">
        <v>17</v>
      </c>
      <c r="W28" s="774">
        <f t="shared" si="14"/>
        <v>100</v>
      </c>
      <c r="X28" s="1815"/>
      <c r="Y28" s="3267"/>
      <c r="Z28" s="1816" t="str">
        <f t="shared" si="15"/>
        <v>公共部分装修</v>
      </c>
      <c r="AA28" s="1813">
        <f t="shared" si="3"/>
        <v>1</v>
      </c>
      <c r="AB28" s="1813">
        <f t="shared" si="4"/>
        <v>1</v>
      </c>
      <c r="AC28" s="1813">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67"/>
      <c r="Q29" s="1812" t="str">
        <f t="shared" si="11"/>
        <v>成新率</v>
      </c>
      <c r="R29" s="773" t="s">
        <v>17</v>
      </c>
      <c r="S29" s="774" t="e">
        <f t="shared" si="12"/>
        <v>#N/A</v>
      </c>
      <c r="T29" s="773" t="s">
        <v>17</v>
      </c>
      <c r="U29" s="774" t="e">
        <f t="shared" si="13"/>
        <v>#N/A</v>
      </c>
      <c r="V29" s="773" t="s">
        <v>17</v>
      </c>
      <c r="W29" s="774" t="e">
        <f t="shared" si="14"/>
        <v>#N/A</v>
      </c>
      <c r="X29" s="1815"/>
      <c r="Y29" s="3267"/>
      <c r="Z29" s="1816" t="str">
        <f t="shared" si="15"/>
        <v>成新率</v>
      </c>
      <c r="AA29" s="1813" t="e">
        <f t="shared" si="3"/>
        <v>#N/A</v>
      </c>
      <c r="AB29" s="1813" t="e">
        <f t="shared" si="4"/>
        <v>#N/A</v>
      </c>
      <c r="AC29" s="1813"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67"/>
      <c r="Q30" s="1812" t="str">
        <f t="shared" si="11"/>
        <v>物业等级</v>
      </c>
      <c r="R30" s="773" t="s">
        <v>17</v>
      </c>
      <c r="S30" s="774">
        <f t="shared" si="12"/>
        <v>100</v>
      </c>
      <c r="T30" s="773" t="s">
        <v>17</v>
      </c>
      <c r="U30" s="774">
        <f t="shared" si="13"/>
        <v>100</v>
      </c>
      <c r="V30" s="773" t="s">
        <v>17</v>
      </c>
      <c r="W30" s="774">
        <f t="shared" si="14"/>
        <v>100</v>
      </c>
      <c r="X30" s="1815"/>
      <c r="Y30" s="3267"/>
      <c r="Z30" s="1816" t="str">
        <f t="shared" si="15"/>
        <v>物业等级</v>
      </c>
      <c r="AA30" s="1813">
        <f t="shared" si="3"/>
        <v>1</v>
      </c>
      <c r="AB30" s="1813">
        <f t="shared" si="4"/>
        <v>1</v>
      </c>
      <c r="AC30" s="1813">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67"/>
      <c r="Q31" s="1797" t="str">
        <f t="shared" si="11"/>
        <v>停车位面积</v>
      </c>
      <c r="R31" s="769" t="s">
        <v>17</v>
      </c>
      <c r="S31" s="770" t="e">
        <f t="shared" si="12"/>
        <v>#N/A</v>
      </c>
      <c r="T31" s="769" t="s">
        <v>17</v>
      </c>
      <c r="U31" s="770" t="e">
        <f t="shared" si="13"/>
        <v>#N/A</v>
      </c>
      <c r="V31" s="769" t="s">
        <v>17</v>
      </c>
      <c r="W31" s="770" t="e">
        <f t="shared" si="14"/>
        <v>#N/A</v>
      </c>
      <c r="X31" s="771"/>
      <c r="Y31" s="3267"/>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67" t="s">
        <v>2563</v>
      </c>
      <c r="Q32" s="1812" t="str">
        <f t="shared" si="11"/>
        <v>车位类型</v>
      </c>
      <c r="R32" s="773" t="s">
        <v>17</v>
      </c>
      <c r="S32" s="774">
        <f t="shared" si="12"/>
        <v>100</v>
      </c>
      <c r="T32" s="773" t="s">
        <v>17</v>
      </c>
      <c r="U32" s="774">
        <f t="shared" si="13"/>
        <v>100</v>
      </c>
      <c r="V32" s="773" t="s">
        <v>17</v>
      </c>
      <c r="W32" s="774">
        <f t="shared" si="14"/>
        <v>100</v>
      </c>
      <c r="X32" s="1815"/>
      <c r="Y32" s="3267" t="s">
        <v>2563</v>
      </c>
      <c r="Z32" s="1816" t="str">
        <f t="shared" si="15"/>
        <v>车位类型</v>
      </c>
      <c r="AA32" s="1813">
        <f t="shared" si="3"/>
        <v>1</v>
      </c>
      <c r="AB32" s="1813">
        <f t="shared" si="4"/>
        <v>1</v>
      </c>
      <c r="AC32" s="1813">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67"/>
      <c r="Q33" s="1812" t="str">
        <f t="shared" si="11"/>
        <v>是否直接入户</v>
      </c>
      <c r="R33" s="773" t="s">
        <v>17</v>
      </c>
      <c r="S33" s="774">
        <f t="shared" si="12"/>
        <v>100</v>
      </c>
      <c r="T33" s="773" t="s">
        <v>17</v>
      </c>
      <c r="U33" s="774">
        <f t="shared" si="13"/>
        <v>100</v>
      </c>
      <c r="V33" s="773" t="s">
        <v>17</v>
      </c>
      <c r="W33" s="774">
        <f t="shared" si="14"/>
        <v>100</v>
      </c>
      <c r="X33" s="1815"/>
      <c r="Y33" s="3267"/>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67"/>
      <c r="Q34" s="1812">
        <f t="shared" si="11"/>
        <v>111</v>
      </c>
      <c r="R34" s="773" t="s">
        <v>17</v>
      </c>
      <c r="S34" s="774">
        <f t="shared" si="12"/>
        <v>100</v>
      </c>
      <c r="T34" s="773" t="s">
        <v>17</v>
      </c>
      <c r="U34" s="774">
        <f t="shared" si="13"/>
        <v>100</v>
      </c>
      <c r="V34" s="773" t="s">
        <v>17</v>
      </c>
      <c r="W34" s="774">
        <f t="shared" si="14"/>
        <v>100</v>
      </c>
      <c r="X34" s="1815"/>
      <c r="Y34" s="3267"/>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67"/>
      <c r="Q35" s="775">
        <f t="shared" si="11"/>
        <v>111</v>
      </c>
      <c r="R35" s="776" t="s">
        <v>17</v>
      </c>
      <c r="S35" s="777">
        <f t="shared" si="12"/>
        <v>100</v>
      </c>
      <c r="T35" s="776" t="s">
        <v>17</v>
      </c>
      <c r="U35" s="777">
        <f t="shared" si="13"/>
        <v>100</v>
      </c>
      <c r="V35" s="776" t="s">
        <v>17</v>
      </c>
      <c r="W35" s="777">
        <f t="shared" si="14"/>
        <v>100</v>
      </c>
      <c r="X35" s="778"/>
      <c r="Y35" s="3267"/>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67"/>
      <c r="Q36" s="1812">
        <f t="shared" si="11"/>
        <v>111</v>
      </c>
      <c r="R36" s="773" t="s">
        <v>17</v>
      </c>
      <c r="S36" s="774">
        <f t="shared" si="12"/>
        <v>100</v>
      </c>
      <c r="T36" s="773" t="s">
        <v>17</v>
      </c>
      <c r="U36" s="774">
        <f t="shared" si="13"/>
        <v>100</v>
      </c>
      <c r="V36" s="773" t="s">
        <v>17</v>
      </c>
      <c r="W36" s="774">
        <f t="shared" si="14"/>
        <v>100</v>
      </c>
      <c r="X36" s="1815"/>
      <c r="Y36" s="3267"/>
      <c r="Z36" s="1816">
        <f t="shared" si="15"/>
        <v>111</v>
      </c>
      <c r="AA36" s="1813">
        <f t="shared" si="3"/>
        <v>1</v>
      </c>
      <c r="AB36" s="1813">
        <f t="shared" si="4"/>
        <v>1</v>
      </c>
      <c r="AC36" s="1813">
        <f t="shared" si="5"/>
        <v>1</v>
      </c>
    </row>
    <row r="37" spans="1:29" ht="15">
      <c r="A37" s="479" t="s">
        <v>2718</v>
      </c>
      <c r="B37" s="2695" t="s">
        <v>2719</v>
      </c>
      <c r="C37" s="1409" t="s">
        <v>1</v>
      </c>
      <c r="D37" s="1410"/>
      <c r="E37" s="1411"/>
      <c r="F37" s="1412"/>
      <c r="G37" s="1413"/>
      <c r="H37" s="1414"/>
      <c r="I37" s="1411"/>
      <c r="J37" s="1414"/>
      <c r="K37" s="618"/>
      <c r="L37" s="1145"/>
      <c r="M37" s="1146"/>
      <c r="N37" s="1133"/>
      <c r="O37" s="1146"/>
      <c r="P37" s="3255" t="str">
        <f>A37</f>
        <v>成交单价</v>
      </c>
      <c r="Q37" s="3255"/>
      <c r="R37" s="3256">
        <f>E37</f>
        <v>0</v>
      </c>
      <c r="S37" s="3256"/>
      <c r="T37" s="3256">
        <f>G37</f>
        <v>0</v>
      </c>
      <c r="U37" s="3256"/>
      <c r="V37" s="3256">
        <f>I37</f>
        <v>0</v>
      </c>
      <c r="W37" s="3256"/>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55" t="str">
        <f>A38</f>
        <v>比较价值（元/平方米）</v>
      </c>
      <c r="Q38" s="3255"/>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257" t="str">
        <f>A39</f>
        <v>估价对象XX用房的比较价值（楼面单价，元/平方米）</v>
      </c>
      <c r="Q39" s="3258"/>
      <c r="R39" s="3259" t="e">
        <f>IF(F1="售价",ROUND(AVERAGE(R38:V38),0),ROUND(AVERAGE(R38:V38),1))</f>
        <v>#DIV/0!</v>
      </c>
      <c r="S39" s="3259"/>
      <c r="T39" s="3259"/>
      <c r="U39" s="3259"/>
      <c r="V39" s="3259"/>
      <c r="W39" s="3259"/>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74" t="s">
        <v>2644</v>
      </c>
      <c r="D4" s="3275"/>
      <c r="E4" s="3276" t="s">
        <v>2645</v>
      </c>
      <c r="F4" s="3277"/>
      <c r="G4" s="3274" t="s">
        <v>2646</v>
      </c>
      <c r="H4" s="3275"/>
      <c r="I4" s="3274" t="s">
        <v>2647</v>
      </c>
      <c r="J4" s="3275"/>
      <c r="K4" s="610" t="s">
        <v>2648</v>
      </c>
      <c r="L4" s="1132"/>
      <c r="M4" s="1133"/>
      <c r="N4" s="1133"/>
      <c r="O4" s="1133"/>
      <c r="P4" s="3278" t="s">
        <v>2649</v>
      </c>
      <c r="Q4" s="3279"/>
      <c r="R4" s="3284" t="s">
        <v>2645</v>
      </c>
      <c r="S4" s="3285"/>
      <c r="T4" s="3284" t="s">
        <v>2646</v>
      </c>
      <c r="U4" s="3285"/>
      <c r="V4" s="3269" t="s">
        <v>2647</v>
      </c>
      <c r="W4" s="3269"/>
      <c r="X4" s="1815"/>
      <c r="Y4" s="3284" t="s">
        <v>2649</v>
      </c>
      <c r="Z4" s="3285"/>
      <c r="AA4" s="3271" t="s">
        <v>2645</v>
      </c>
      <c r="AB4" s="3272" t="s">
        <v>2646</v>
      </c>
      <c r="AC4" s="3271" t="s">
        <v>2647</v>
      </c>
    </row>
    <row r="5" spans="1:29" ht="15">
      <c r="A5" s="404"/>
      <c r="B5" s="405"/>
      <c r="C5" s="3329" t="s">
        <v>2540</v>
      </c>
      <c r="D5" s="3293"/>
      <c r="E5" s="3331" t="s">
        <v>2541</v>
      </c>
      <c r="F5" s="3301"/>
      <c r="G5" s="3329" t="s">
        <v>2542</v>
      </c>
      <c r="H5" s="3293"/>
      <c r="I5" s="3329" t="s">
        <v>2543</v>
      </c>
      <c r="J5" s="3293"/>
      <c r="K5" s="610"/>
      <c r="L5" s="1132"/>
      <c r="M5" s="1133"/>
      <c r="N5" s="1133"/>
      <c r="O5" s="1133"/>
      <c r="P5" s="3280"/>
      <c r="Q5" s="3281"/>
      <c r="R5" s="3286"/>
      <c r="S5" s="3287"/>
      <c r="T5" s="3286"/>
      <c r="U5" s="3287"/>
      <c r="V5" s="3269"/>
      <c r="W5" s="3269"/>
      <c r="X5" s="1815"/>
      <c r="Y5" s="3286"/>
      <c r="Z5" s="3287"/>
      <c r="AA5" s="3272"/>
      <c r="AB5" s="3272"/>
      <c r="AC5" s="3272"/>
    </row>
    <row r="6" spans="1:29" ht="15.75" thickBot="1">
      <c r="A6" s="406"/>
      <c r="B6" s="407"/>
      <c r="C6" s="3297" t="s">
        <v>2544</v>
      </c>
      <c r="D6" s="3291"/>
      <c r="E6" s="3330" t="s">
        <v>2544</v>
      </c>
      <c r="F6" s="3299"/>
      <c r="G6" s="3297" t="s">
        <v>2544</v>
      </c>
      <c r="H6" s="3291"/>
      <c r="I6" s="3297" t="s">
        <v>2544</v>
      </c>
      <c r="J6" s="3291"/>
      <c r="K6" s="610" t="s">
        <v>2545</v>
      </c>
      <c r="L6" s="1132"/>
      <c r="M6" s="1133"/>
      <c r="N6" s="1133"/>
      <c r="O6" s="1133"/>
      <c r="P6" s="3282"/>
      <c r="Q6" s="3283"/>
      <c r="R6" s="3286"/>
      <c r="S6" s="3287"/>
      <c r="T6" s="3288"/>
      <c r="U6" s="3289"/>
      <c r="V6" s="3269"/>
      <c r="W6" s="3269"/>
      <c r="X6" s="1815"/>
      <c r="Y6" s="3288"/>
      <c r="Z6" s="3289"/>
      <c r="AA6" s="3273"/>
      <c r="AB6" s="3273"/>
      <c r="AC6" s="3273"/>
    </row>
    <row r="7" spans="1:29" s="117" customFormat="1" ht="15.75" thickBot="1">
      <c r="A7" s="408" t="s">
        <v>2546</v>
      </c>
      <c r="B7" s="409"/>
      <c r="C7" s="410">
        <f>'数据-取费表'!B2</f>
        <v>43209</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294" t="s">
        <v>2547</v>
      </c>
      <c r="Q7" s="3296"/>
      <c r="R7" s="769" t="s">
        <v>17</v>
      </c>
      <c r="S7" s="770">
        <f t="shared" ref="S7:S14" si="0">F7</f>
        <v>0</v>
      </c>
      <c r="T7" s="769" t="s">
        <v>17</v>
      </c>
      <c r="U7" s="770">
        <f t="shared" ref="U7:U14" si="1">H7</f>
        <v>0</v>
      </c>
      <c r="V7" s="769" t="s">
        <v>17</v>
      </c>
      <c r="W7" s="770">
        <f t="shared" ref="W7:W14" si="2">J7</f>
        <v>0</v>
      </c>
      <c r="X7" s="771"/>
      <c r="Y7" s="3294" t="s">
        <v>2547</v>
      </c>
      <c r="Z7" s="3295"/>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94" t="s">
        <v>2550</v>
      </c>
      <c r="Q8" s="3295"/>
      <c r="R8" s="769" t="s">
        <v>17</v>
      </c>
      <c r="S8" s="770">
        <f t="shared" si="0"/>
        <v>0</v>
      </c>
      <c r="T8" s="769" t="s">
        <v>17</v>
      </c>
      <c r="U8" s="770">
        <f t="shared" si="1"/>
        <v>0</v>
      </c>
      <c r="V8" s="769" t="s">
        <v>17</v>
      </c>
      <c r="W8" s="770">
        <f t="shared" si="2"/>
        <v>0</v>
      </c>
      <c r="X8" s="771"/>
      <c r="Y8" s="3294" t="s">
        <v>2550</v>
      </c>
      <c r="Z8" s="3295"/>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55" t="s">
        <v>2553</v>
      </c>
      <c r="Q9" s="1797" t="str">
        <f t="shared" ref="Q9:Q14" si="6">B9</f>
        <v>用途</v>
      </c>
      <c r="R9" s="769" t="s">
        <v>17</v>
      </c>
      <c r="S9" s="770">
        <f t="shared" si="0"/>
        <v>100</v>
      </c>
      <c r="T9" s="769" t="s">
        <v>17</v>
      </c>
      <c r="U9" s="770">
        <f t="shared" si="1"/>
        <v>100</v>
      </c>
      <c r="V9" s="769" t="s">
        <v>17</v>
      </c>
      <c r="W9" s="770">
        <f t="shared" si="2"/>
        <v>100</v>
      </c>
      <c r="X9" s="771"/>
      <c r="Y9" s="3110"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55"/>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55"/>
      <c r="Q11" s="1797">
        <f t="shared" si="6"/>
        <v>111</v>
      </c>
      <c r="R11" s="769" t="s">
        <v>17</v>
      </c>
      <c r="S11" s="770">
        <f t="shared" si="0"/>
        <v>100</v>
      </c>
      <c r="T11" s="769" t="s">
        <v>17</v>
      </c>
      <c r="U11" s="770">
        <f t="shared" si="1"/>
        <v>100</v>
      </c>
      <c r="V11" s="769" t="s">
        <v>17</v>
      </c>
      <c r="W11" s="770">
        <f t="shared" si="2"/>
        <v>100</v>
      </c>
      <c r="X11" s="771"/>
      <c r="Y11" s="3110"/>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55"/>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55"/>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62" t="s">
        <v>2558</v>
      </c>
      <c r="Q14" s="1812" t="str">
        <f t="shared" si="6"/>
        <v>交通便捷度</v>
      </c>
      <c r="R14" s="773" t="s">
        <v>17</v>
      </c>
      <c r="S14" s="774">
        <f t="shared" si="0"/>
        <v>100</v>
      </c>
      <c r="T14" s="773" t="s">
        <v>17</v>
      </c>
      <c r="U14" s="774">
        <f t="shared" si="1"/>
        <v>100</v>
      </c>
      <c r="V14" s="773" t="s">
        <v>17</v>
      </c>
      <c r="W14" s="774">
        <f t="shared" si="2"/>
        <v>100</v>
      </c>
      <c r="X14" s="1815"/>
      <c r="Y14" s="3262"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63"/>
      <c r="Q15" s="1812"/>
      <c r="R15" s="773"/>
      <c r="S15" s="774"/>
      <c r="T15" s="773"/>
      <c r="U15" s="774"/>
      <c r="V15" s="773"/>
      <c r="W15" s="774"/>
      <c r="X15" s="1815"/>
      <c r="Y15" s="3263"/>
      <c r="Z15" s="1816"/>
      <c r="AA15" s="1813">
        <v>1</v>
      </c>
      <c r="AB15" s="1813">
        <v>1</v>
      </c>
      <c r="AC15" s="1813">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63"/>
      <c r="Q16" s="1812" t="str">
        <f>B16</f>
        <v>公共配套设施</v>
      </c>
      <c r="R16" s="773" t="s">
        <v>17</v>
      </c>
      <c r="S16" s="774">
        <f>F16</f>
        <v>100</v>
      </c>
      <c r="T16" s="773" t="s">
        <v>17</v>
      </c>
      <c r="U16" s="774">
        <f>H16</f>
        <v>100</v>
      </c>
      <c r="V16" s="773" t="s">
        <v>17</v>
      </c>
      <c r="W16" s="774">
        <f>J16</f>
        <v>100</v>
      </c>
      <c r="X16" s="1815"/>
      <c r="Y16" s="3263"/>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263"/>
      <c r="Q17" s="1812"/>
      <c r="R17" s="773"/>
      <c r="S17" s="774"/>
      <c r="T17" s="773"/>
      <c r="U17" s="774"/>
      <c r="V17" s="773"/>
      <c r="W17" s="774"/>
      <c r="X17" s="1815"/>
      <c r="Y17" s="3263"/>
      <c r="Z17" s="1816"/>
      <c r="AA17" s="1813">
        <v>1</v>
      </c>
      <c r="AB17" s="1813">
        <v>1</v>
      </c>
      <c r="AC17" s="1813">
        <v>1</v>
      </c>
    </row>
    <row r="18" spans="1:29" ht="28.5">
      <c r="A18" s="428"/>
      <c r="B18" s="1386"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63"/>
      <c r="Q18" s="1812" t="str">
        <f>B18</f>
        <v>基础设施水平</v>
      </c>
      <c r="R18" s="773" t="s">
        <v>17</v>
      </c>
      <c r="S18" s="774">
        <f>F18</f>
        <v>100</v>
      </c>
      <c r="T18" s="773" t="s">
        <v>17</v>
      </c>
      <c r="U18" s="774">
        <f>H18</f>
        <v>100</v>
      </c>
      <c r="V18" s="773" t="s">
        <v>17</v>
      </c>
      <c r="W18" s="774">
        <f>J18</f>
        <v>100</v>
      </c>
      <c r="X18" s="1815"/>
      <c r="Y18" s="3263"/>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263"/>
      <c r="Q19" s="1812"/>
      <c r="R19" s="773"/>
      <c r="S19" s="774"/>
      <c r="T19" s="773"/>
      <c r="U19" s="774"/>
      <c r="V19" s="773"/>
      <c r="W19" s="774"/>
      <c r="X19" s="1815"/>
      <c r="Y19" s="3263"/>
      <c r="Z19" s="1816"/>
      <c r="AA19" s="1813">
        <v>1</v>
      </c>
      <c r="AB19" s="1813">
        <v>1</v>
      </c>
      <c r="AC19" s="1813">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63"/>
      <c r="Q20" s="1812" t="str">
        <f>B20</f>
        <v>自然及人文环境</v>
      </c>
      <c r="R20" s="773" t="s">
        <v>17</v>
      </c>
      <c r="S20" s="774">
        <f>F20</f>
        <v>100</v>
      </c>
      <c r="T20" s="773" t="s">
        <v>17</v>
      </c>
      <c r="U20" s="774">
        <f>H20</f>
        <v>100</v>
      </c>
      <c r="V20" s="773" t="s">
        <v>17</v>
      </c>
      <c r="W20" s="774">
        <f>J20</f>
        <v>100</v>
      </c>
      <c r="X20" s="1815"/>
      <c r="Y20" s="326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63"/>
      <c r="Q21" s="1812"/>
      <c r="R21" s="773"/>
      <c r="S21" s="774"/>
      <c r="T21" s="773"/>
      <c r="U21" s="774"/>
      <c r="V21" s="773"/>
      <c r="W21" s="774"/>
      <c r="X21" s="1815"/>
      <c r="Y21" s="3263"/>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63"/>
      <c r="Q22" s="1812" t="str">
        <f>B22</f>
        <v>楼层</v>
      </c>
      <c r="R22" s="773" t="s">
        <v>17</v>
      </c>
      <c r="S22" s="774">
        <f>F22</f>
        <v>100</v>
      </c>
      <c r="T22" s="773" t="s">
        <v>17</v>
      </c>
      <c r="U22" s="774">
        <f>H22</f>
        <v>100</v>
      </c>
      <c r="V22" s="773" t="s">
        <v>17</v>
      </c>
      <c r="W22" s="774">
        <f>J22</f>
        <v>100</v>
      </c>
      <c r="X22" s="1815"/>
      <c r="Y22" s="3263"/>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63"/>
      <c r="Q23" s="1812">
        <f>B23</f>
        <v>111</v>
      </c>
      <c r="R23" s="773" t="s">
        <v>17</v>
      </c>
      <c r="S23" s="774">
        <f>F23</f>
        <v>100</v>
      </c>
      <c r="T23" s="773" t="s">
        <v>17</v>
      </c>
      <c r="U23" s="774">
        <f>H23</f>
        <v>100</v>
      </c>
      <c r="V23" s="773" t="s">
        <v>17</v>
      </c>
      <c r="W23" s="774">
        <f>J23</f>
        <v>100</v>
      </c>
      <c r="X23" s="1815"/>
      <c r="Y23" s="3263"/>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63"/>
      <c r="Q24" s="1812">
        <f t="shared" ref="Q24:Q34" si="11">B24</f>
        <v>111</v>
      </c>
      <c r="R24" s="773" t="s">
        <v>17</v>
      </c>
      <c r="S24" s="774">
        <f>F24</f>
        <v>100</v>
      </c>
      <c r="T24" s="773" t="s">
        <v>17</v>
      </c>
      <c r="U24" s="774">
        <f>H24</f>
        <v>100</v>
      </c>
      <c r="V24" s="773" t="s">
        <v>17</v>
      </c>
      <c r="W24" s="774">
        <f>J24</f>
        <v>100</v>
      </c>
      <c r="X24" s="1815"/>
      <c r="Y24" s="3263"/>
      <c r="Z24" s="1816">
        <f>Q24</f>
        <v>111</v>
      </c>
      <c r="AA24" s="1813">
        <f t="shared" si="3"/>
        <v>1</v>
      </c>
      <c r="AB24" s="1813">
        <f t="shared" si="4"/>
        <v>1</v>
      </c>
      <c r="AC24" s="1813">
        <f t="shared" si="5"/>
        <v>1</v>
      </c>
    </row>
    <row r="25" spans="1:29" s="117" customFormat="1" ht="15.75" thickBot="1">
      <c r="A25" s="431"/>
      <c r="B25" s="2600">
        <v>111</v>
      </c>
      <c r="C25" s="2698"/>
      <c r="D25" s="664">
        <v>100</v>
      </c>
      <c r="E25" s="2698"/>
      <c r="F25" s="665">
        <f>SUMIF(75:75,E25,76:76)-SUMIF(75:75,C25,76:76)+100</f>
        <v>100</v>
      </c>
      <c r="G25" s="2698"/>
      <c r="H25" s="664">
        <f>SUMIF(75:75,G25,76:76)-SUMIF(75:75,C25,76:76)+100</f>
        <v>100</v>
      </c>
      <c r="I25" s="2698"/>
      <c r="J25" s="664">
        <f>SUMIF(75:75,I25,76:76)-SUMIF(75:75,C25,76:76)+100</f>
        <v>100</v>
      </c>
      <c r="K25" s="613"/>
      <c r="L25" s="1134"/>
      <c r="M25" s="1135"/>
      <c r="N25" s="1135"/>
      <c r="O25" s="1136"/>
      <c r="P25" s="3263"/>
      <c r="Q25" s="1797">
        <f t="shared" si="11"/>
        <v>111</v>
      </c>
      <c r="R25" s="769" t="s">
        <v>17</v>
      </c>
      <c r="S25" s="770">
        <f>F25</f>
        <v>100</v>
      </c>
      <c r="T25" s="769" t="s">
        <v>17</v>
      </c>
      <c r="U25" s="770">
        <f>H25</f>
        <v>100</v>
      </c>
      <c r="V25" s="769" t="s">
        <v>17</v>
      </c>
      <c r="W25" s="770">
        <f>J25</f>
        <v>100</v>
      </c>
      <c r="X25" s="771"/>
      <c r="Y25" s="3263"/>
      <c r="Z25" s="55">
        <f>Q25</f>
        <v>111</v>
      </c>
      <c r="AA25" s="1813">
        <f>D25/F25</f>
        <v>1</v>
      </c>
      <c r="AB25" s="1813">
        <f>D25/H25</f>
        <v>1</v>
      </c>
      <c r="AC25" s="1813">
        <f>D25/J25</f>
        <v>1</v>
      </c>
    </row>
    <row r="26" spans="1:29" ht="15">
      <c r="A26" s="466" t="s">
        <v>2561</v>
      </c>
      <c r="B26" s="71" t="s">
        <v>2712</v>
      </c>
      <c r="C26" s="2679"/>
      <c r="D26" s="467">
        <v>100</v>
      </c>
      <c r="E26" s="2679"/>
      <c r="F26" s="666">
        <f>SUMIF(77:77,E26,78:78)-SUMIF(77:77,C26,78:78)+100</f>
        <v>100</v>
      </c>
      <c r="G26" s="2679"/>
      <c r="H26" s="467">
        <f>SUMIF(77:77,G26,78:78)-SUMIF(77:77,C26,78:78)+100</f>
        <v>100</v>
      </c>
      <c r="I26" s="2679"/>
      <c r="J26" s="467">
        <f>SUMIF(77:77,I26,78:78)-SUMIF(77:77,C26,78:78)+100</f>
        <v>100</v>
      </c>
      <c r="K26" s="612"/>
      <c r="L26" s="1142"/>
      <c r="M26" s="1133"/>
      <c r="N26" s="1133"/>
      <c r="O26" s="1141"/>
      <c r="P26" s="3347"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67"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67"/>
      <c r="Q27" s="775" t="str">
        <f t="shared" si="11"/>
        <v>成新率</v>
      </c>
      <c r="R27" s="776" t="s">
        <v>17</v>
      </c>
      <c r="S27" s="777" t="e">
        <f t="shared" si="12"/>
        <v>#N/A</v>
      </c>
      <c r="T27" s="776" t="s">
        <v>17</v>
      </c>
      <c r="U27" s="777" t="e">
        <f t="shared" si="13"/>
        <v>#N/A</v>
      </c>
      <c r="V27" s="776" t="s">
        <v>17</v>
      </c>
      <c r="W27" s="777" t="e">
        <f t="shared" si="14"/>
        <v>#N/A</v>
      </c>
      <c r="X27" s="778"/>
      <c r="Y27" s="3267"/>
      <c r="Z27" s="779"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67"/>
      <c r="Q28" s="1812" t="str">
        <f t="shared" si="11"/>
        <v>物业等级</v>
      </c>
      <c r="R28" s="773" t="s">
        <v>17</v>
      </c>
      <c r="S28" s="774">
        <f t="shared" si="12"/>
        <v>100</v>
      </c>
      <c r="T28" s="773" t="s">
        <v>17</v>
      </c>
      <c r="U28" s="774">
        <f t="shared" si="13"/>
        <v>100</v>
      </c>
      <c r="V28" s="773" t="s">
        <v>17</v>
      </c>
      <c r="W28" s="774">
        <f t="shared" si="14"/>
        <v>100</v>
      </c>
      <c r="X28" s="1815"/>
      <c r="Y28" s="3267"/>
      <c r="Z28" s="1816" t="str">
        <f t="shared" si="15"/>
        <v>物业等级</v>
      </c>
      <c r="AA28" s="1813">
        <f t="shared" si="3"/>
        <v>1</v>
      </c>
      <c r="AB28" s="1813">
        <f t="shared" si="4"/>
        <v>1</v>
      </c>
      <c r="AC28" s="1813">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67"/>
      <c r="Q29" s="1812" t="str">
        <f t="shared" si="11"/>
        <v>有无电梯</v>
      </c>
      <c r="R29" s="773" t="s">
        <v>17</v>
      </c>
      <c r="S29" s="774">
        <f t="shared" si="12"/>
        <v>100</v>
      </c>
      <c r="T29" s="773" t="s">
        <v>17</v>
      </c>
      <c r="U29" s="774">
        <f t="shared" si="13"/>
        <v>100</v>
      </c>
      <c r="V29" s="773" t="s">
        <v>17</v>
      </c>
      <c r="W29" s="774">
        <f t="shared" si="14"/>
        <v>100</v>
      </c>
      <c r="X29" s="1815"/>
      <c r="Y29" s="3267"/>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67"/>
      <c r="Q30" s="1812" t="str">
        <f t="shared" si="11"/>
        <v>建筑面积</v>
      </c>
      <c r="R30" s="773" t="s">
        <v>17</v>
      </c>
      <c r="S30" s="774" t="e">
        <f t="shared" si="12"/>
        <v>#N/A</v>
      </c>
      <c r="T30" s="773" t="s">
        <v>17</v>
      </c>
      <c r="U30" s="774" t="e">
        <f t="shared" si="13"/>
        <v>#N/A</v>
      </c>
      <c r="V30" s="773" t="s">
        <v>17</v>
      </c>
      <c r="W30" s="774" t="e">
        <f t="shared" si="14"/>
        <v>#N/A</v>
      </c>
      <c r="X30" s="1815"/>
      <c r="Y30" s="3267"/>
      <c r="Z30" s="1816" t="str">
        <f t="shared" si="15"/>
        <v>建筑面积</v>
      </c>
      <c r="AA30" s="1813" t="e">
        <f t="shared" si="3"/>
        <v>#N/A</v>
      </c>
      <c r="AB30" s="1813" t="e">
        <f t="shared" si="4"/>
        <v>#N/A</v>
      </c>
      <c r="AC30" s="1813"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67"/>
      <c r="Q31" s="1797" t="str">
        <f t="shared" si="11"/>
        <v>是否封闭</v>
      </c>
      <c r="R31" s="769" t="s">
        <v>17</v>
      </c>
      <c r="S31" s="770">
        <f t="shared" si="12"/>
        <v>100</v>
      </c>
      <c r="T31" s="769" t="s">
        <v>17</v>
      </c>
      <c r="U31" s="770">
        <f t="shared" si="13"/>
        <v>100</v>
      </c>
      <c r="V31" s="769" t="s">
        <v>17</v>
      </c>
      <c r="W31" s="770">
        <f t="shared" si="14"/>
        <v>100</v>
      </c>
      <c r="X31" s="771"/>
      <c r="Y31" s="3267"/>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67" t="s">
        <v>2563</v>
      </c>
      <c r="Q32" s="1812">
        <f t="shared" si="11"/>
        <v>111</v>
      </c>
      <c r="R32" s="773" t="s">
        <v>17</v>
      </c>
      <c r="S32" s="774">
        <f t="shared" si="12"/>
        <v>100</v>
      </c>
      <c r="T32" s="773" t="s">
        <v>17</v>
      </c>
      <c r="U32" s="774">
        <f t="shared" si="13"/>
        <v>100</v>
      </c>
      <c r="V32" s="773" t="s">
        <v>17</v>
      </c>
      <c r="W32" s="774">
        <f t="shared" si="14"/>
        <v>100</v>
      </c>
      <c r="X32" s="1815"/>
      <c r="Y32" s="3267" t="s">
        <v>2563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67"/>
      <c r="Q33" s="1812">
        <f t="shared" si="11"/>
        <v>111</v>
      </c>
      <c r="R33" s="773" t="s">
        <v>17</v>
      </c>
      <c r="S33" s="774">
        <f t="shared" si="12"/>
        <v>100</v>
      </c>
      <c r="T33" s="773" t="s">
        <v>17</v>
      </c>
      <c r="U33" s="774">
        <f t="shared" si="13"/>
        <v>100</v>
      </c>
      <c r="V33" s="773" t="s">
        <v>17</v>
      </c>
      <c r="W33" s="774">
        <f t="shared" si="14"/>
        <v>100</v>
      </c>
      <c r="X33" s="1815"/>
      <c r="Y33" s="3267"/>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267"/>
      <c r="Q34" s="1812">
        <f t="shared" si="11"/>
        <v>111</v>
      </c>
      <c r="R34" s="773" t="s">
        <v>17</v>
      </c>
      <c r="S34" s="774">
        <f t="shared" si="12"/>
        <v>100</v>
      </c>
      <c r="T34" s="773" t="s">
        <v>17</v>
      </c>
      <c r="U34" s="774">
        <f t="shared" si="13"/>
        <v>100</v>
      </c>
      <c r="V34" s="773" t="s">
        <v>17</v>
      </c>
      <c r="W34" s="774">
        <f t="shared" si="14"/>
        <v>100</v>
      </c>
      <c r="X34" s="1815"/>
      <c r="Y34" s="3267"/>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2"/>
      <c r="L35" s="1145"/>
      <c r="M35" s="1146"/>
      <c r="N35" s="1133"/>
      <c r="O35" s="1146"/>
      <c r="P35" s="3255" t="str">
        <f>A35</f>
        <v>成交单价（元/平方米）</v>
      </c>
      <c r="Q35" s="3255"/>
      <c r="R35" s="3256">
        <f>E35</f>
        <v>0</v>
      </c>
      <c r="S35" s="3256"/>
      <c r="T35" s="3256">
        <f>G35</f>
        <v>0</v>
      </c>
      <c r="U35" s="3256"/>
      <c r="V35" s="3256">
        <f>I35</f>
        <v>0</v>
      </c>
      <c r="W35" s="3256"/>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255" t="str">
        <f>A36</f>
        <v>比较价值（元/平方米）</v>
      </c>
      <c r="Q36" s="3255"/>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257" t="str">
        <f>A37</f>
        <v>估价对象XX用房的比较价值（楼面单价，元/平方米）</v>
      </c>
      <c r="Q37" s="3258"/>
      <c r="R37" s="3259" t="e">
        <f>IF(F1="售价",ROUND(AVERAGE(R36:V36),0),ROUND(AVERAGE(R36:V36),1))</f>
        <v>#DIV/0!</v>
      </c>
      <c r="S37" s="3259"/>
      <c r="T37" s="3259"/>
      <c r="U37" s="3259"/>
      <c r="V37" s="3259"/>
      <c r="W37" s="3259"/>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274" t="s">
        <v>2644</v>
      </c>
      <c r="D4" s="3275"/>
      <c r="E4" s="3276" t="s">
        <v>2645</v>
      </c>
      <c r="F4" s="3277"/>
      <c r="G4" s="3274" t="s">
        <v>2646</v>
      </c>
      <c r="H4" s="3275"/>
      <c r="I4" s="3274" t="s">
        <v>2647</v>
      </c>
      <c r="J4" s="3275"/>
      <c r="K4" s="610" t="s">
        <v>2648</v>
      </c>
      <c r="L4" s="1132"/>
      <c r="M4" s="1133"/>
      <c r="N4" s="1133"/>
      <c r="O4" s="1133"/>
      <c r="P4" s="3278" t="s">
        <v>2649</v>
      </c>
      <c r="Q4" s="3279"/>
      <c r="R4" s="3284" t="s">
        <v>2645</v>
      </c>
      <c r="S4" s="3285"/>
      <c r="T4" s="3284" t="s">
        <v>2646</v>
      </c>
      <c r="U4" s="3285"/>
      <c r="V4" s="3269" t="s">
        <v>2647</v>
      </c>
      <c r="W4" s="3269"/>
      <c r="X4" s="1815"/>
      <c r="Y4" s="3284" t="s">
        <v>2649</v>
      </c>
      <c r="Z4" s="3285"/>
      <c r="AA4" s="3271" t="s">
        <v>2645</v>
      </c>
      <c r="AB4" s="3272" t="s">
        <v>2646</v>
      </c>
      <c r="AC4" s="3271" t="s">
        <v>2647</v>
      </c>
    </row>
    <row r="5" spans="1:30" ht="15">
      <c r="A5" s="404"/>
      <c r="B5" s="405"/>
      <c r="C5" s="3329" t="s">
        <v>2540</v>
      </c>
      <c r="D5" s="3293"/>
      <c r="E5" s="3331" t="s">
        <v>2541</v>
      </c>
      <c r="F5" s="3301"/>
      <c r="G5" s="3329" t="s">
        <v>2542</v>
      </c>
      <c r="H5" s="3293"/>
      <c r="I5" s="3329" t="s">
        <v>2543</v>
      </c>
      <c r="J5" s="3293"/>
      <c r="K5" s="610"/>
      <c r="L5" s="1132"/>
      <c r="M5" s="1133"/>
      <c r="N5" s="1133"/>
      <c r="O5" s="1133"/>
      <c r="P5" s="3280"/>
      <c r="Q5" s="3281"/>
      <c r="R5" s="3286"/>
      <c r="S5" s="3287"/>
      <c r="T5" s="3286"/>
      <c r="U5" s="3287"/>
      <c r="V5" s="3269"/>
      <c r="W5" s="3269"/>
      <c r="X5" s="1815"/>
      <c r="Y5" s="3286"/>
      <c r="Z5" s="3287"/>
      <c r="AA5" s="3272"/>
      <c r="AB5" s="3272"/>
      <c r="AC5" s="3272"/>
    </row>
    <row r="6" spans="1:30" ht="15.75" thickBot="1">
      <c r="A6" s="406"/>
      <c r="B6" s="407"/>
      <c r="C6" s="3297" t="s">
        <v>2544</v>
      </c>
      <c r="D6" s="3291"/>
      <c r="E6" s="3330" t="s">
        <v>2544</v>
      </c>
      <c r="F6" s="3299"/>
      <c r="G6" s="3297" t="s">
        <v>2544</v>
      </c>
      <c r="H6" s="3291"/>
      <c r="I6" s="3297" t="s">
        <v>2544</v>
      </c>
      <c r="J6" s="3291"/>
      <c r="K6" s="610" t="s">
        <v>2545</v>
      </c>
      <c r="L6" s="1132"/>
      <c r="M6" s="1133"/>
      <c r="N6" s="1133"/>
      <c r="O6" s="1133"/>
      <c r="P6" s="3282"/>
      <c r="Q6" s="3283"/>
      <c r="R6" s="3286"/>
      <c r="S6" s="3287"/>
      <c r="T6" s="3288"/>
      <c r="U6" s="3289"/>
      <c r="V6" s="3269"/>
      <c r="W6" s="3269"/>
      <c r="X6" s="1815"/>
      <c r="Y6" s="3288"/>
      <c r="Z6" s="3289"/>
      <c r="AA6" s="3273"/>
      <c r="AB6" s="3273"/>
      <c r="AC6" s="3273"/>
    </row>
    <row r="7" spans="1:30" s="117" customFormat="1" ht="15.75" thickBot="1">
      <c r="A7" s="408" t="s">
        <v>2546</v>
      </c>
      <c r="B7" s="409"/>
      <c r="C7" s="410">
        <f>'数据-取费表'!B2</f>
        <v>43209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294" t="s">
        <v>2547</v>
      </c>
      <c r="Q7" s="3296"/>
      <c r="R7" s="769" t="s">
        <v>17</v>
      </c>
      <c r="S7" s="770">
        <f t="shared" ref="S7:S15" si="0">F7</f>
        <v>0</v>
      </c>
      <c r="T7" s="769" t="s">
        <v>17</v>
      </c>
      <c r="U7" s="770">
        <f t="shared" ref="U7:U15" si="1">H7</f>
        <v>0</v>
      </c>
      <c r="V7" s="769" t="s">
        <v>17</v>
      </c>
      <c r="W7" s="770">
        <f t="shared" ref="W7:W15" si="2">J7</f>
        <v>0</v>
      </c>
      <c r="X7" s="771"/>
      <c r="Y7" s="3294" t="s">
        <v>2547</v>
      </c>
      <c r="Z7" s="3295"/>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94" t="s">
        <v>2550</v>
      </c>
      <c r="Q8" s="3295"/>
      <c r="R8" s="769" t="s">
        <v>17</v>
      </c>
      <c r="S8" s="770">
        <f t="shared" si="0"/>
        <v>0</v>
      </c>
      <c r="T8" s="769" t="s">
        <v>17</v>
      </c>
      <c r="U8" s="770">
        <f t="shared" si="1"/>
        <v>0</v>
      </c>
      <c r="V8" s="769" t="s">
        <v>17</v>
      </c>
      <c r="W8" s="770">
        <f t="shared" si="2"/>
        <v>0</v>
      </c>
      <c r="X8" s="771"/>
      <c r="Y8" s="3294" t="s">
        <v>2550</v>
      </c>
      <c r="Z8" s="3295"/>
      <c r="AA8" s="772" t="e">
        <f t="shared" ref="AA8:AA45" si="3">D8/F8</f>
        <v>#DIV/0!</v>
      </c>
      <c r="AB8" s="772" t="e">
        <f t="shared" ref="AB8:AB45" si="4">D8/H8</f>
        <v>#DIV/0!</v>
      </c>
      <c r="AC8" s="772"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55" t="s">
        <v>2553</v>
      </c>
      <c r="Q9" s="1797" t="str">
        <f t="shared" ref="Q9:Q15" si="6">B9</f>
        <v>用途</v>
      </c>
      <c r="R9" s="769" t="s">
        <v>17</v>
      </c>
      <c r="S9" s="770">
        <f t="shared" si="0"/>
        <v>100</v>
      </c>
      <c r="T9" s="769" t="s">
        <v>17</v>
      </c>
      <c r="U9" s="770">
        <f t="shared" si="1"/>
        <v>100</v>
      </c>
      <c r="V9" s="769" t="s">
        <v>17</v>
      </c>
      <c r="W9" s="770">
        <f t="shared" si="2"/>
        <v>100</v>
      </c>
      <c r="X9" s="771"/>
      <c r="Y9" s="3110"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100</v>
      </c>
      <c r="G10" s="463"/>
      <c r="H10" s="136">
        <f>ROUND(100/'数据-取费表'!G16,0)</f>
        <v>100</v>
      </c>
      <c r="I10" s="463"/>
      <c r="J10" s="136">
        <f>ROUND(100/'数据-取费表'!G16,0)</f>
        <v>100</v>
      </c>
      <c r="K10" s="671"/>
      <c r="L10" s="1137"/>
      <c r="M10" s="1138"/>
      <c r="N10" s="1138"/>
      <c r="O10" s="1139"/>
      <c r="P10" s="3255"/>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55"/>
      <c r="Q11" s="1797" t="str">
        <f t="shared" si="6"/>
        <v>容积率</v>
      </c>
      <c r="R11" s="769" t="s">
        <v>17</v>
      </c>
      <c r="S11" s="770" t="e">
        <f t="shared" si="0"/>
        <v>#N/A</v>
      </c>
      <c r="T11" s="769" t="s">
        <v>17</v>
      </c>
      <c r="U11" s="770" t="e">
        <f t="shared" si="1"/>
        <v>#N/A</v>
      </c>
      <c r="V11" s="769" t="s">
        <v>17</v>
      </c>
      <c r="W11" s="770" t="e">
        <f t="shared" si="2"/>
        <v>#N/A</v>
      </c>
      <c r="X11" s="771"/>
      <c r="Y11" s="3110"/>
      <c r="Z11" s="55" t="str">
        <f t="shared" si="7"/>
        <v>容积率</v>
      </c>
      <c r="AA11" s="772" t="e">
        <f t="shared" si="3"/>
        <v>#N/A</v>
      </c>
      <c r="AB11" s="772" t="e">
        <f t="shared" si="4"/>
        <v>#N/A</v>
      </c>
      <c r="AC11" s="772"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55"/>
      <c r="Q12" s="1797" t="str">
        <f t="shared" si="6"/>
        <v>配建</v>
      </c>
      <c r="R12" s="769" t="s">
        <v>17</v>
      </c>
      <c r="S12" s="770">
        <f t="shared" si="0"/>
        <v>100</v>
      </c>
      <c r="T12" s="769" t="s">
        <v>17</v>
      </c>
      <c r="U12" s="770">
        <f t="shared" si="1"/>
        <v>100</v>
      </c>
      <c r="V12" s="769" t="s">
        <v>17</v>
      </c>
      <c r="W12" s="770">
        <f t="shared" si="2"/>
        <v>100</v>
      </c>
      <c r="X12" s="771"/>
      <c r="Y12" s="3110"/>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55"/>
      <c r="Q13" s="1797">
        <f t="shared" si="6"/>
        <v>111</v>
      </c>
      <c r="R13" s="769" t="s">
        <v>17</v>
      </c>
      <c r="S13" s="770">
        <f t="shared" si="0"/>
        <v>100</v>
      </c>
      <c r="T13" s="769" t="s">
        <v>17</v>
      </c>
      <c r="U13" s="770">
        <f t="shared" si="1"/>
        <v>100</v>
      </c>
      <c r="V13" s="769" t="s">
        <v>17</v>
      </c>
      <c r="W13" s="770">
        <f t="shared" si="2"/>
        <v>100</v>
      </c>
      <c r="X13" s="771"/>
      <c r="Y13" s="3110"/>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55"/>
      <c r="Q14" s="1797">
        <f t="shared" si="6"/>
        <v>111</v>
      </c>
      <c r="R14" s="769" t="s">
        <v>17</v>
      </c>
      <c r="S14" s="770">
        <f t="shared" si="0"/>
        <v>100</v>
      </c>
      <c r="T14" s="769" t="s">
        <v>17</v>
      </c>
      <c r="U14" s="770">
        <f t="shared" si="1"/>
        <v>100</v>
      </c>
      <c r="V14" s="769" t="s">
        <v>17</v>
      </c>
      <c r="W14" s="770">
        <f t="shared" si="2"/>
        <v>100</v>
      </c>
      <c r="X14" s="771"/>
      <c r="Y14" s="3110"/>
      <c r="Z14" s="55">
        <f t="shared" si="7"/>
        <v>111</v>
      </c>
      <c r="AA14" s="772">
        <f>D14/F14</f>
        <v>1</v>
      </c>
      <c r="AB14" s="772">
        <f>D14/H14</f>
        <v>1</v>
      </c>
      <c r="AC14" s="772">
        <f>D14/J14</f>
        <v>1</v>
      </c>
    </row>
    <row r="15" spans="1:30" ht="99.7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62" t="s">
        <v>2558</v>
      </c>
      <c r="Q15" s="1812" t="str">
        <f t="shared" si="6"/>
        <v>居住社区成熟度</v>
      </c>
      <c r="R15" s="773" t="s">
        <v>17</v>
      </c>
      <c r="S15" s="774">
        <f t="shared" si="0"/>
        <v>100</v>
      </c>
      <c r="T15" s="773" t="s">
        <v>17</v>
      </c>
      <c r="U15" s="774">
        <f t="shared" si="1"/>
        <v>100</v>
      </c>
      <c r="V15" s="773" t="s">
        <v>17</v>
      </c>
      <c r="W15" s="774">
        <f t="shared" si="2"/>
        <v>100</v>
      </c>
      <c r="X15" s="1815"/>
      <c r="Y15" s="3262" t="s">
        <v>2558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1"/>
      <c r="L16" s="1142"/>
      <c r="M16" s="1133"/>
      <c r="N16" s="1133"/>
      <c r="O16" s="1141"/>
      <c r="P16" s="3263"/>
      <c r="Q16" s="1812"/>
      <c r="R16" s="773"/>
      <c r="S16" s="774"/>
      <c r="T16" s="773"/>
      <c r="U16" s="774"/>
      <c r="V16" s="773"/>
      <c r="W16" s="774"/>
      <c r="X16" s="1815"/>
      <c r="Y16" s="3263"/>
      <c r="Z16" s="1816"/>
      <c r="AA16" s="1813">
        <v>1</v>
      </c>
      <c r="AB16" s="1813">
        <v>1</v>
      </c>
      <c r="AC16" s="1813">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63"/>
      <c r="Q17" s="1812" t="str">
        <f>B17</f>
        <v>商业繁华度</v>
      </c>
      <c r="R17" s="773" t="s">
        <v>17</v>
      </c>
      <c r="S17" s="774">
        <f>F17</f>
        <v>100</v>
      </c>
      <c r="T17" s="773" t="s">
        <v>17</v>
      </c>
      <c r="U17" s="774">
        <f>H17</f>
        <v>100</v>
      </c>
      <c r="V17" s="773" t="s">
        <v>17</v>
      </c>
      <c r="W17" s="774">
        <f>J17</f>
        <v>100</v>
      </c>
      <c r="X17" s="1815"/>
      <c r="Y17" s="3263"/>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1"/>
      <c r="L18" s="1142"/>
      <c r="M18" s="1133"/>
      <c r="N18" s="1133"/>
      <c r="O18" s="1141"/>
      <c r="P18" s="3263"/>
      <c r="Q18" s="1812"/>
      <c r="R18" s="773"/>
      <c r="S18" s="774"/>
      <c r="T18" s="773"/>
      <c r="U18" s="774"/>
      <c r="V18" s="773"/>
      <c r="W18" s="774"/>
      <c r="X18" s="1815"/>
      <c r="Y18" s="3263"/>
      <c r="Z18" s="1816"/>
      <c r="AA18" s="1813">
        <v>1</v>
      </c>
      <c r="AB18" s="1813">
        <v>1</v>
      </c>
      <c r="AC18" s="1813">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63"/>
      <c r="Q19" s="1812" t="str">
        <f>B19</f>
        <v>办公集聚程度</v>
      </c>
      <c r="R19" s="773" t="s">
        <v>17</v>
      </c>
      <c r="S19" s="774">
        <f>F19</f>
        <v>100</v>
      </c>
      <c r="T19" s="773" t="s">
        <v>17</v>
      </c>
      <c r="U19" s="774">
        <f>H19</f>
        <v>100</v>
      </c>
      <c r="V19" s="773" t="s">
        <v>17</v>
      </c>
      <c r="W19" s="774">
        <f>J19</f>
        <v>100</v>
      </c>
      <c r="X19" s="1815"/>
      <c r="Y19" s="3263"/>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1"/>
      <c r="L20" s="1142"/>
      <c r="M20" s="1133"/>
      <c r="N20" s="1133"/>
      <c r="O20" s="1141"/>
      <c r="P20" s="3263"/>
      <c r="Q20" s="1812"/>
      <c r="R20" s="773"/>
      <c r="S20" s="774"/>
      <c r="T20" s="773"/>
      <c r="U20" s="774"/>
      <c r="V20" s="773"/>
      <c r="W20" s="774"/>
      <c r="X20" s="1815"/>
      <c r="Y20" s="3263"/>
      <c r="Z20" s="1816"/>
      <c r="AA20" s="1813">
        <v>1</v>
      </c>
      <c r="AB20" s="1813">
        <v>1</v>
      </c>
      <c r="AC20" s="1813">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63"/>
      <c r="Q21" s="1812" t="str">
        <f>B21</f>
        <v>交通便捷度</v>
      </c>
      <c r="R21" s="773" t="s">
        <v>17</v>
      </c>
      <c r="S21" s="774">
        <f>F21</f>
        <v>100</v>
      </c>
      <c r="T21" s="773" t="s">
        <v>17</v>
      </c>
      <c r="U21" s="774">
        <f>H21</f>
        <v>100</v>
      </c>
      <c r="V21" s="773" t="s">
        <v>17</v>
      </c>
      <c r="W21" s="774">
        <f>J21</f>
        <v>100</v>
      </c>
      <c r="X21" s="1815"/>
      <c r="Y21" s="3263"/>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1"/>
      <c r="L22" s="1142"/>
      <c r="M22" s="1133"/>
      <c r="N22" s="1133"/>
      <c r="O22" s="1141"/>
      <c r="P22" s="3263"/>
      <c r="Q22" s="1812"/>
      <c r="R22" s="773"/>
      <c r="S22" s="774"/>
      <c r="T22" s="773"/>
      <c r="U22" s="774"/>
      <c r="V22" s="773"/>
      <c r="W22" s="774"/>
      <c r="X22" s="1815"/>
      <c r="Y22" s="3263"/>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63"/>
      <c r="Q23" s="1812" t="str">
        <f t="shared" ref="Q23:Q37" si="8">B23</f>
        <v>区域土地利用方向</v>
      </c>
      <c r="R23" s="773" t="s">
        <v>17</v>
      </c>
      <c r="S23" s="774">
        <f>F23</f>
        <v>100</v>
      </c>
      <c r="T23" s="773" t="s">
        <v>17</v>
      </c>
      <c r="U23" s="774">
        <f>H23</f>
        <v>100</v>
      </c>
      <c r="V23" s="773" t="s">
        <v>17</v>
      </c>
      <c r="W23" s="774">
        <f>J23</f>
        <v>100</v>
      </c>
      <c r="X23" s="1815"/>
      <c r="Y23" s="3263"/>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263"/>
      <c r="Q24" s="1812"/>
      <c r="R24" s="773"/>
      <c r="S24" s="774"/>
      <c r="T24" s="773"/>
      <c r="U24" s="774"/>
      <c r="V24" s="773"/>
      <c r="W24" s="774"/>
      <c r="X24" s="1815"/>
      <c r="Y24" s="3263"/>
      <c r="Z24" s="1816"/>
      <c r="AA24" s="1813"/>
      <c r="AB24" s="1813"/>
      <c r="AC24" s="1813"/>
    </row>
    <row r="25" spans="1:29" ht="57">
      <c r="A25" s="404"/>
      <c r="B25" s="1386"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63"/>
      <c r="Q25" s="1812" t="str">
        <f t="shared" si="8"/>
        <v>自然及人文环境状况</v>
      </c>
      <c r="R25" s="773" t="s">
        <v>17</v>
      </c>
      <c r="S25" s="774">
        <f>F25</f>
        <v>100</v>
      </c>
      <c r="T25" s="773" t="s">
        <v>17</v>
      </c>
      <c r="U25" s="774">
        <f>H25</f>
        <v>100</v>
      </c>
      <c r="V25" s="773" t="s">
        <v>17</v>
      </c>
      <c r="W25" s="774">
        <f>J25</f>
        <v>100</v>
      </c>
      <c r="X25" s="1815"/>
      <c r="Y25" s="3263"/>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1"/>
      <c r="L26" s="1142"/>
      <c r="M26" s="1133"/>
      <c r="N26" s="1133"/>
      <c r="O26" s="1141"/>
      <c r="P26" s="3263"/>
      <c r="Q26" s="1812"/>
      <c r="R26" s="773"/>
      <c r="S26" s="774"/>
      <c r="T26" s="773"/>
      <c r="U26" s="774"/>
      <c r="V26" s="773"/>
      <c r="W26" s="774"/>
      <c r="X26" s="1815"/>
      <c r="Y26" s="3263"/>
      <c r="Z26" s="1816"/>
      <c r="AA26" s="1813">
        <v>1</v>
      </c>
      <c r="AB26" s="1813">
        <v>1</v>
      </c>
      <c r="AC26" s="1813">
        <v>1</v>
      </c>
    </row>
    <row r="27" spans="1:29" s="117" customFormat="1" ht="42.75">
      <c r="A27" s="648"/>
      <c r="B27" s="1386"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63"/>
      <c r="Q27" s="1797" t="str">
        <f t="shared" si="8"/>
        <v>公共配套设施</v>
      </c>
      <c r="R27" s="769" t="s">
        <v>17</v>
      </c>
      <c r="S27" s="770">
        <f>F27</f>
        <v>100</v>
      </c>
      <c r="T27" s="769" t="s">
        <v>17</v>
      </c>
      <c r="U27" s="770">
        <f>H27</f>
        <v>100</v>
      </c>
      <c r="V27" s="769" t="s">
        <v>17</v>
      </c>
      <c r="W27" s="770">
        <f>J27</f>
        <v>100</v>
      </c>
      <c r="X27" s="771"/>
      <c r="Y27" s="3263"/>
      <c r="Z27" s="55" t="str">
        <f>Q27</f>
        <v>公共配套设施</v>
      </c>
      <c r="AA27" s="1813">
        <f>D27/F27</f>
        <v>1</v>
      </c>
      <c r="AB27" s="1813">
        <f>D27/H27</f>
        <v>1</v>
      </c>
      <c r="AC27" s="1813">
        <f>D27/J27</f>
        <v>1</v>
      </c>
    </row>
    <row r="28" spans="1:29" s="117" customFormat="1" ht="15">
      <c r="A28" s="648"/>
      <c r="B28" s="456"/>
      <c r="C28" s="2700"/>
      <c r="D28" s="448"/>
      <c r="E28" s="2611"/>
      <c r="F28" s="448"/>
      <c r="G28" s="2611"/>
      <c r="H28" s="448"/>
      <c r="I28" s="447"/>
      <c r="J28" s="448"/>
      <c r="K28" s="671"/>
      <c r="L28" s="1134"/>
      <c r="M28" s="1135"/>
      <c r="N28" s="1135"/>
      <c r="O28" s="1136"/>
      <c r="P28" s="3263"/>
      <c r="Q28" s="1797"/>
      <c r="R28" s="769"/>
      <c r="S28" s="770"/>
      <c r="T28" s="769"/>
      <c r="U28" s="770"/>
      <c r="V28" s="769"/>
      <c r="W28" s="770"/>
      <c r="X28" s="771"/>
      <c r="Y28" s="3263"/>
      <c r="Z28" s="55"/>
      <c r="AA28" s="1813">
        <v>1</v>
      </c>
      <c r="AB28" s="1813">
        <v>1</v>
      </c>
      <c r="AC28" s="1813">
        <v>1</v>
      </c>
    </row>
    <row r="29" spans="1:29" s="117" customFormat="1" ht="28.5">
      <c r="A29" s="648"/>
      <c r="B29" s="1386"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63"/>
      <c r="Q29" s="1797" t="str">
        <f t="shared" ref="Q29" si="9">B29</f>
        <v>基础设施水平</v>
      </c>
      <c r="R29" s="769" t="s">
        <v>17</v>
      </c>
      <c r="S29" s="770">
        <f>F29</f>
        <v>100</v>
      </c>
      <c r="T29" s="769" t="s">
        <v>17</v>
      </c>
      <c r="U29" s="770">
        <f>H29</f>
        <v>100</v>
      </c>
      <c r="V29" s="769" t="s">
        <v>17</v>
      </c>
      <c r="W29" s="770">
        <f>J29</f>
        <v>100</v>
      </c>
      <c r="X29" s="771"/>
      <c r="Y29" s="3263"/>
      <c r="Z29" s="55" t="str">
        <f>Q29</f>
        <v>基础设施水平</v>
      </c>
      <c r="AA29" s="1813">
        <f>D29/F29</f>
        <v>1</v>
      </c>
      <c r="AB29" s="1813">
        <f>D29/H29</f>
        <v>1</v>
      </c>
      <c r="AC29" s="1813">
        <f>D29/J29</f>
        <v>1</v>
      </c>
    </row>
    <row r="30" spans="1:29" s="117" customFormat="1" ht="15">
      <c r="A30" s="648"/>
      <c r="B30" s="456"/>
      <c r="C30" s="2700"/>
      <c r="D30" s="448"/>
      <c r="E30" s="2701"/>
      <c r="F30" s="448"/>
      <c r="G30" s="2701"/>
      <c r="H30" s="448"/>
      <c r="I30" s="2701"/>
      <c r="J30" s="448"/>
      <c r="K30" s="671"/>
      <c r="L30" s="1134"/>
      <c r="M30" s="1135"/>
      <c r="N30" s="1135"/>
      <c r="O30" s="1136"/>
      <c r="P30" s="3263"/>
      <c r="Q30" s="1797"/>
      <c r="R30" s="769"/>
      <c r="S30" s="770"/>
      <c r="T30" s="769"/>
      <c r="U30" s="770"/>
      <c r="V30" s="769"/>
      <c r="W30" s="770"/>
      <c r="X30" s="771"/>
      <c r="Y30" s="3263"/>
      <c r="Z30" s="55"/>
      <c r="AA30" s="1813">
        <v>1</v>
      </c>
      <c r="AB30" s="1813">
        <v>1</v>
      </c>
      <c r="AC30" s="1813">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63"/>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63"/>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63"/>
      <c r="Q32" s="1812" t="str">
        <f t="shared" si="8"/>
        <v>毗邻道路的类型与等级</v>
      </c>
      <c r="R32" s="773" t="s">
        <v>17</v>
      </c>
      <c r="S32" s="774">
        <f t="shared" si="10"/>
        <v>100</v>
      </c>
      <c r="T32" s="773" t="s">
        <v>17</v>
      </c>
      <c r="U32" s="774">
        <f t="shared" si="11"/>
        <v>100</v>
      </c>
      <c r="V32" s="773" t="s">
        <v>17</v>
      </c>
      <c r="W32" s="774">
        <f t="shared" si="12"/>
        <v>100</v>
      </c>
      <c r="X32" s="1815"/>
      <c r="Y32" s="3263"/>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263"/>
      <c r="Q33" s="1812"/>
      <c r="R33" s="773"/>
      <c r="S33" s="774"/>
      <c r="T33" s="773"/>
      <c r="U33" s="774"/>
      <c r="V33" s="773"/>
      <c r="W33" s="774"/>
      <c r="X33" s="1815"/>
      <c r="Y33" s="3263"/>
      <c r="Z33" s="1816"/>
      <c r="AA33" s="1813">
        <v>1</v>
      </c>
      <c r="AB33" s="1813">
        <v>1</v>
      </c>
      <c r="AC33" s="1813">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63"/>
      <c r="Q34" s="1812" t="str">
        <f t="shared" si="8"/>
        <v>土地级别</v>
      </c>
      <c r="R34" s="773" t="s">
        <v>17</v>
      </c>
      <c r="S34" s="774">
        <f t="shared" si="10"/>
        <v>100</v>
      </c>
      <c r="T34" s="773" t="s">
        <v>17</v>
      </c>
      <c r="U34" s="774">
        <f t="shared" si="11"/>
        <v>100</v>
      </c>
      <c r="V34" s="773" t="s">
        <v>17</v>
      </c>
      <c r="W34" s="774">
        <f t="shared" si="12"/>
        <v>100</v>
      </c>
      <c r="X34" s="1815"/>
      <c r="Y34" s="3263"/>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63"/>
      <c r="Q35" s="1812">
        <f t="shared" si="8"/>
        <v>111</v>
      </c>
      <c r="R35" s="773" t="s">
        <v>17</v>
      </c>
      <c r="S35" s="774">
        <f t="shared" si="10"/>
        <v>100</v>
      </c>
      <c r="T35" s="773" t="s">
        <v>17</v>
      </c>
      <c r="U35" s="774">
        <f t="shared" si="11"/>
        <v>100</v>
      </c>
      <c r="V35" s="773" t="s">
        <v>17</v>
      </c>
      <c r="W35" s="774">
        <f t="shared" si="12"/>
        <v>100</v>
      </c>
      <c r="X35" s="1815"/>
      <c r="Y35" s="3263"/>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347" t="s">
        <v>2563</v>
      </c>
      <c r="Q36" s="1812">
        <f t="shared" si="8"/>
        <v>111</v>
      </c>
      <c r="R36" s="773" t="s">
        <v>17</v>
      </c>
      <c r="S36" s="774">
        <f t="shared" si="10"/>
        <v>100</v>
      </c>
      <c r="T36" s="773" t="s">
        <v>17</v>
      </c>
      <c r="U36" s="774">
        <f t="shared" si="11"/>
        <v>100</v>
      </c>
      <c r="V36" s="773" t="s">
        <v>17</v>
      </c>
      <c r="W36" s="774">
        <f t="shared" si="12"/>
        <v>100</v>
      </c>
      <c r="X36" s="1815"/>
      <c r="Y36" s="3267" t="s">
        <v>2563</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67"/>
      <c r="Q37" s="1812">
        <f t="shared" si="8"/>
        <v>111</v>
      </c>
      <c r="R37" s="776" t="s">
        <v>17</v>
      </c>
      <c r="S37" s="777">
        <f t="shared" si="10"/>
        <v>100</v>
      </c>
      <c r="T37" s="776" t="s">
        <v>17</v>
      </c>
      <c r="U37" s="777">
        <f t="shared" si="11"/>
        <v>100</v>
      </c>
      <c r="V37" s="776" t="s">
        <v>17</v>
      </c>
      <c r="W37" s="777">
        <f t="shared" si="12"/>
        <v>100</v>
      </c>
      <c r="X37" s="778"/>
      <c r="Y37" s="3267"/>
      <c r="Z37" s="779">
        <f t="shared" si="13"/>
        <v>111</v>
      </c>
      <c r="AA37" s="1813">
        <f t="shared" si="3"/>
        <v>1</v>
      </c>
      <c r="AB37" s="1813">
        <f t="shared" si="4"/>
        <v>1</v>
      </c>
      <c r="AC37" s="1813">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67"/>
      <c r="Q38" s="1812" t="str">
        <f>B38</f>
        <v>宗地面积</v>
      </c>
      <c r="R38" s="773" t="s">
        <v>17</v>
      </c>
      <c r="S38" s="774" t="e">
        <f t="shared" si="10"/>
        <v>#N/A</v>
      </c>
      <c r="T38" s="773" t="s">
        <v>17</v>
      </c>
      <c r="U38" s="774" t="e">
        <f t="shared" si="11"/>
        <v>#N/A</v>
      </c>
      <c r="V38" s="773" t="s">
        <v>17</v>
      </c>
      <c r="W38" s="774" t="e">
        <f t="shared" si="12"/>
        <v>#N/A</v>
      </c>
      <c r="X38" s="1815"/>
      <c r="Y38" s="3267"/>
      <c r="Z38" s="1816" t="str">
        <f t="shared" si="13"/>
        <v>宗地面积</v>
      </c>
      <c r="AA38" s="1813" t="e">
        <f t="shared" si="3"/>
        <v>#N/A</v>
      </c>
      <c r="AB38" s="1813" t="e">
        <f t="shared" si="4"/>
        <v>#N/A</v>
      </c>
      <c r="AC38" s="1813"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267"/>
      <c r="Q39" s="1812" t="str">
        <f t="shared" ref="Q39:Q45" si="14">B39</f>
        <v>宗地形状</v>
      </c>
      <c r="R39" s="773" t="s">
        <v>17</v>
      </c>
      <c r="S39" s="774">
        <f t="shared" si="10"/>
        <v>100</v>
      </c>
      <c r="T39" s="773" t="s">
        <v>17</v>
      </c>
      <c r="U39" s="774">
        <f t="shared" si="11"/>
        <v>100</v>
      </c>
      <c r="V39" s="773" t="s">
        <v>17</v>
      </c>
      <c r="W39" s="774">
        <f t="shared" si="12"/>
        <v>100</v>
      </c>
      <c r="X39" s="1815"/>
      <c r="Y39" s="3267"/>
      <c r="Z39" s="1816" t="str">
        <f t="shared" si="13"/>
        <v>宗地形状</v>
      </c>
      <c r="AA39" s="1813">
        <f t="shared" si="3"/>
        <v>1</v>
      </c>
      <c r="AB39" s="1813">
        <f t="shared" si="4"/>
        <v>1</v>
      </c>
      <c r="AC39" s="1813">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267"/>
      <c r="Q40" s="1812" t="str">
        <f t="shared" si="14"/>
        <v>临街宽度及深度</v>
      </c>
      <c r="R40" s="773" t="s">
        <v>17</v>
      </c>
      <c r="S40" s="774">
        <f t="shared" si="10"/>
        <v>100</v>
      </c>
      <c r="T40" s="773" t="s">
        <v>17</v>
      </c>
      <c r="U40" s="774">
        <f t="shared" si="11"/>
        <v>100</v>
      </c>
      <c r="V40" s="773" t="s">
        <v>17</v>
      </c>
      <c r="W40" s="774">
        <f t="shared" si="12"/>
        <v>100</v>
      </c>
      <c r="X40" s="1815"/>
      <c r="Y40" s="3267"/>
      <c r="Z40" s="1816" t="str">
        <f t="shared" si="13"/>
        <v>临街宽度及深度</v>
      </c>
      <c r="AA40" s="1813">
        <f t="shared" si="3"/>
        <v>1</v>
      </c>
      <c r="AB40" s="1813">
        <f t="shared" si="4"/>
        <v>1</v>
      </c>
      <c r="AC40" s="1813">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267"/>
      <c r="Q41" s="1812" t="str">
        <f t="shared" si="14"/>
        <v>宗地开发程度</v>
      </c>
      <c r="R41" s="769" t="s">
        <v>17</v>
      </c>
      <c r="S41" s="770">
        <f t="shared" si="10"/>
        <v>100</v>
      </c>
      <c r="T41" s="769" t="s">
        <v>17</v>
      </c>
      <c r="U41" s="770">
        <f t="shared" si="11"/>
        <v>100</v>
      </c>
      <c r="V41" s="769" t="s">
        <v>17</v>
      </c>
      <c r="W41" s="770">
        <f t="shared" si="12"/>
        <v>100</v>
      </c>
      <c r="X41" s="771"/>
      <c r="Y41" s="3267"/>
      <c r="Z41" s="55" t="str">
        <f t="shared" si="13"/>
        <v>宗地开发程度</v>
      </c>
      <c r="AA41" s="772">
        <f t="shared" si="3"/>
        <v>1</v>
      </c>
      <c r="AB41" s="772">
        <f t="shared" si="4"/>
        <v>1</v>
      </c>
      <c r="AC41" s="772">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267" t="s">
        <v>2563</v>
      </c>
      <c r="Q42" s="1812" t="str">
        <f t="shared" si="14"/>
        <v>工程地质条件</v>
      </c>
      <c r="R42" s="773" t="s">
        <v>17</v>
      </c>
      <c r="S42" s="774">
        <f t="shared" si="10"/>
        <v>100</v>
      </c>
      <c r="T42" s="773" t="s">
        <v>17</v>
      </c>
      <c r="U42" s="774">
        <f t="shared" si="11"/>
        <v>100</v>
      </c>
      <c r="V42" s="773" t="s">
        <v>17</v>
      </c>
      <c r="W42" s="774">
        <f t="shared" si="12"/>
        <v>100</v>
      </c>
      <c r="X42" s="1815"/>
      <c r="Y42" s="3267" t="s">
        <v>2563</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67"/>
      <c r="Q43" s="1812">
        <f t="shared" si="14"/>
        <v>111</v>
      </c>
      <c r="R43" s="773" t="s">
        <v>17</v>
      </c>
      <c r="S43" s="774">
        <f t="shared" si="10"/>
        <v>100</v>
      </c>
      <c r="T43" s="773" t="s">
        <v>17</v>
      </c>
      <c r="U43" s="774">
        <f t="shared" si="11"/>
        <v>100</v>
      </c>
      <c r="V43" s="773" t="s">
        <v>17</v>
      </c>
      <c r="W43" s="774">
        <f t="shared" si="12"/>
        <v>100</v>
      </c>
      <c r="X43" s="1815"/>
      <c r="Y43" s="3267"/>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67"/>
      <c r="Q44" s="1812">
        <f t="shared" si="14"/>
        <v>111</v>
      </c>
      <c r="R44" s="773" t="s">
        <v>17</v>
      </c>
      <c r="S44" s="774">
        <f t="shared" si="10"/>
        <v>100</v>
      </c>
      <c r="T44" s="773" t="s">
        <v>17</v>
      </c>
      <c r="U44" s="774">
        <f t="shared" si="11"/>
        <v>100</v>
      </c>
      <c r="V44" s="773" t="s">
        <v>17</v>
      </c>
      <c r="W44" s="774">
        <f t="shared" si="12"/>
        <v>100</v>
      </c>
      <c r="X44" s="1815"/>
      <c r="Y44" s="3267"/>
      <c r="Z44" s="1816">
        <f t="shared" si="13"/>
        <v>111</v>
      </c>
      <c r="AA44" s="1813">
        <f t="shared" si="3"/>
        <v>1</v>
      </c>
      <c r="AB44" s="1813">
        <f t="shared" si="4"/>
        <v>1</v>
      </c>
      <c r="AC44" s="1813">
        <f t="shared" si="5"/>
        <v>1</v>
      </c>
    </row>
    <row r="45" spans="1:29" s="471" customFormat="1" ht="15.75" thickBot="1">
      <c r="A45" s="468"/>
      <c r="B45" s="1389">
        <v>111</v>
      </c>
      <c r="C45" s="2703"/>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67"/>
      <c r="Q45" s="1812">
        <f t="shared" si="14"/>
        <v>111</v>
      </c>
      <c r="R45" s="776" t="s">
        <v>17</v>
      </c>
      <c r="S45" s="777">
        <f t="shared" si="10"/>
        <v>100</v>
      </c>
      <c r="T45" s="776" t="s">
        <v>17</v>
      </c>
      <c r="U45" s="777">
        <f t="shared" si="11"/>
        <v>100</v>
      </c>
      <c r="V45" s="776" t="s">
        <v>17</v>
      </c>
      <c r="W45" s="777">
        <f t="shared" si="12"/>
        <v>100</v>
      </c>
      <c r="X45" s="778"/>
      <c r="Y45" s="3267"/>
      <c r="Z45" s="779">
        <f t="shared" si="13"/>
        <v>111</v>
      </c>
      <c r="AA45" s="1813">
        <f t="shared" si="3"/>
        <v>1</v>
      </c>
      <c r="AB45" s="1813">
        <f t="shared" si="4"/>
        <v>1</v>
      </c>
      <c r="AC45" s="1813">
        <f t="shared" si="5"/>
        <v>1</v>
      </c>
    </row>
    <row r="46" spans="1:29" ht="15">
      <c r="A46" s="479" t="s">
        <v>2718</v>
      </c>
      <c r="B46" s="2704" t="s">
        <v>2754</v>
      </c>
      <c r="C46" s="681" t="s">
        <v>1</v>
      </c>
      <c r="D46" s="481"/>
      <c r="E46" s="482"/>
      <c r="F46" s="483"/>
      <c r="G46" s="484"/>
      <c r="H46" s="485"/>
      <c r="I46" s="482"/>
      <c r="J46" s="485"/>
      <c r="K46" s="782"/>
      <c r="L46" s="1145"/>
      <c r="M46" s="1146"/>
      <c r="N46" s="1133"/>
      <c r="O46" s="1146"/>
      <c r="P46" s="3255" t="str">
        <f>A46</f>
        <v>成交单价</v>
      </c>
      <c r="Q46" s="3255"/>
      <c r="R46" s="3269">
        <f>E46</f>
        <v>0</v>
      </c>
      <c r="S46" s="3269"/>
      <c r="T46" s="3269">
        <f>G46</f>
        <v>0</v>
      </c>
      <c r="U46" s="3269"/>
      <c r="V46" s="3269">
        <f>I46</f>
        <v>0</v>
      </c>
      <c r="W46" s="3269"/>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255" t="str">
        <f>A47</f>
        <v>比较价值（元/平方米）</v>
      </c>
      <c r="Q47" s="3255"/>
      <c r="R47" s="3348" t="e">
        <f>ROUND(PRODUCT(R46,AA7:AA45),0)</f>
        <v>#DIV/0!</v>
      </c>
      <c r="S47" s="3348"/>
      <c r="T47" s="3348" t="e">
        <f>ROUND(PRODUCT(T46,AB7:AB45),0)</f>
        <v>#DIV/0!</v>
      </c>
      <c r="U47" s="3348"/>
      <c r="V47" s="3348" t="e">
        <f>ROUND(PRODUCT(V46,AC7:AC45),0)</f>
        <v>#DIV/0!</v>
      </c>
      <c r="W47" s="3348"/>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257" t="str">
        <f>A48</f>
        <v>估价对象XX用房的比较价值（楼面单价，元/平方米）</v>
      </c>
      <c r="Q48" s="3258"/>
      <c r="R48" s="3349" t="e">
        <f>ROUND(AVERAGE(R47:V47),0)</f>
        <v>#DIV/0!</v>
      </c>
      <c r="S48" s="3349"/>
      <c r="T48" s="3349"/>
      <c r="U48" s="3349"/>
      <c r="V48" s="3349"/>
      <c r="W48" s="3349"/>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5" t="s">
        <v>2758</v>
      </c>
      <c r="D55" s="2706" t="s">
        <v>2759</v>
      </c>
      <c r="E55" s="685" t="s">
        <v>2760</v>
      </c>
      <c r="F55" s="1109" t="s">
        <v>2761</v>
      </c>
      <c r="G55" s="3274" t="s">
        <v>2762</v>
      </c>
      <c r="H55" s="3350"/>
      <c r="I55" s="144" t="s">
        <v>2763</v>
      </c>
      <c r="J55" s="2707" t="str">
        <f>项目基本情况!F35</f>
        <v>湖北省武汉市</v>
      </c>
      <c r="K55" s="2708" t="s">
        <v>2764</v>
      </c>
      <c r="L55" s="1108"/>
      <c r="M55" s="1146"/>
      <c r="N55" s="1146"/>
      <c r="O55" s="1146"/>
    </row>
    <row r="56" spans="1:15" s="691" customFormat="1">
      <c r="A56" s="687" t="s">
        <v>2765</v>
      </c>
      <c r="B56" s="688" t="e">
        <f>C48</f>
        <v>#DIV/0!</v>
      </c>
      <c r="C56" s="689">
        <v>1</v>
      </c>
      <c r="D56" s="1165">
        <v>1</v>
      </c>
      <c r="E56" s="689">
        <f>'数据-汇总表'!E8+'数据-汇总表'!E9</f>
        <v>39089.930000000037</v>
      </c>
      <c r="F56" s="1105" t="e">
        <f t="shared" ref="F56:F65" si="15">ROUND(B56*E56/10000,0)</f>
        <v>#DIV/0!</v>
      </c>
      <c r="G56" s="3270"/>
      <c r="H56" s="3255"/>
      <c r="I56" s="1110">
        <v>1</v>
      </c>
      <c r="J56" s="1113">
        <v>1</v>
      </c>
      <c r="K56" s="1147"/>
      <c r="L56" s="943"/>
      <c r="M56" s="943"/>
      <c r="N56" s="943"/>
      <c r="O56" s="943"/>
    </row>
    <row r="57" spans="1:15" s="691" customFormat="1">
      <c r="A57" s="692" t="s">
        <v>2766</v>
      </c>
      <c r="B57" s="262" t="e">
        <f>ROUND($C$48*C57*D57,0)</f>
        <v>#DIV/0!</v>
      </c>
      <c r="C57" s="200">
        <f t="shared" ref="C57:C65" si="16">IF($C$55="北京市系数",I57,J57)</f>
        <v>0.8</v>
      </c>
      <c r="D57" s="1166">
        <v>0.25</v>
      </c>
      <c r="E57" s="693"/>
      <c r="F57" s="1105" t="e">
        <f t="shared" si="15"/>
        <v>#DIV/0!</v>
      </c>
      <c r="G57" s="3351" t="s">
        <v>2767</v>
      </c>
      <c r="H57" s="1106" t="str">
        <f>项目基本情况!B37</f>
        <v>一级</v>
      </c>
      <c r="I57" s="1110">
        <f>SUMIF(修正!A45:A56,H57,修正!B45:B56)</f>
        <v>0.8</v>
      </c>
      <c r="J57" s="1114"/>
      <c r="K57" s="1146"/>
      <c r="L57" s="943"/>
      <c r="M57" s="943"/>
      <c r="N57" s="943"/>
      <c r="O57" s="943"/>
    </row>
    <row r="58" spans="1:15" s="691" customFormat="1">
      <c r="A58" s="692" t="s">
        <v>2768</v>
      </c>
      <c r="B58" s="262" t="e">
        <f t="shared" ref="B58:B65" si="17">ROUND($C$48*C58*D58,0)</f>
        <v>#DIV/0!</v>
      </c>
      <c r="C58" s="200">
        <f t="shared" si="16"/>
        <v>0.5</v>
      </c>
      <c r="D58" s="1166">
        <v>0.25</v>
      </c>
      <c r="E58" s="693"/>
      <c r="F58" s="1105" t="e">
        <f t="shared" si="15"/>
        <v>#DIV/0!</v>
      </c>
      <c r="G58" s="3351"/>
      <c r="H58" s="1106" t="str">
        <f>项目基本情况!B37</f>
        <v>一级</v>
      </c>
      <c r="I58" s="1110">
        <f>SUMIF(修正!A45:A56,H58,修正!C45:C56)</f>
        <v>0.5</v>
      </c>
      <c r="J58" s="1114"/>
      <c r="K58" s="1147"/>
      <c r="L58" s="943"/>
      <c r="M58" s="943"/>
      <c r="N58" s="943"/>
      <c r="O58" s="943"/>
    </row>
    <row r="59" spans="1:15" s="691" customFormat="1">
      <c r="A59" s="692" t="s">
        <v>2769</v>
      </c>
      <c r="B59" s="262" t="e">
        <f t="shared" si="17"/>
        <v>#DIV/0!</v>
      </c>
      <c r="C59" s="200">
        <f t="shared" si="16"/>
        <v>0.36</v>
      </c>
      <c r="D59" s="1166">
        <v>0.25</v>
      </c>
      <c r="E59" s="693"/>
      <c r="F59" s="1105" t="e">
        <f t="shared" si="15"/>
        <v>#DIV/0!</v>
      </c>
      <c r="G59" s="3351"/>
      <c r="H59" s="1106" t="str">
        <f>项目基本情况!B37</f>
        <v>一级</v>
      </c>
      <c r="I59" s="1110">
        <f>SUMIF(修正!A45:A56,H59,修正!D45:D56)</f>
        <v>0.36</v>
      </c>
      <c r="J59" s="1114"/>
      <c r="K59" s="1146"/>
      <c r="L59" s="943"/>
      <c r="M59" s="943"/>
      <c r="N59" s="943"/>
      <c r="O59" s="943"/>
    </row>
    <row r="60" spans="1:15" s="691" customFormat="1">
      <c r="A60" s="692" t="s">
        <v>2770</v>
      </c>
      <c r="B60" s="262" t="e">
        <f t="shared" si="17"/>
        <v>#DIV/0!</v>
      </c>
      <c r="C60" s="200">
        <f t="shared" si="16"/>
        <v>0.3</v>
      </c>
      <c r="D60" s="1166">
        <v>0.25</v>
      </c>
      <c r="E60" s="693"/>
      <c r="F60" s="1105" t="e">
        <f t="shared" si="15"/>
        <v>#DIV/0!</v>
      </c>
      <c r="G60" s="3351"/>
      <c r="H60" s="1106" t="str">
        <f>项目基本情况!B37</f>
        <v>一级</v>
      </c>
      <c r="I60" s="1110">
        <f>SUMIF(修正!A45:A56,H60,修正!E45:E56)</f>
        <v>0.3</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09"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0.25</v>
      </c>
      <c r="D64" s="1166">
        <v>0.25</v>
      </c>
      <c r="E64" s="261">
        <f>'数据-汇总表'!E14</f>
        <v>0</v>
      </c>
      <c r="F64" s="1105" t="e">
        <f t="shared" si="15"/>
        <v>#DIV/0!</v>
      </c>
      <c r="G64" s="2709" t="s">
        <v>2767</v>
      </c>
      <c r="H64" s="1106" t="str">
        <f>项目基本情况!B37</f>
        <v>一级</v>
      </c>
      <c r="I64" s="1110">
        <f>SUMIF(修正!A45:A56,H64,修正!H45:H56)</f>
        <v>0.25</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10"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39089.930000000037</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11" t="s">
        <v>2780</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74" t="s">
        <v>2644</v>
      </c>
      <c r="D4" s="3275"/>
      <c r="E4" s="3276" t="s">
        <v>2645</v>
      </c>
      <c r="F4" s="3277"/>
      <c r="G4" s="3274" t="s">
        <v>2646</v>
      </c>
      <c r="H4" s="3275"/>
      <c r="I4" s="3274" t="s">
        <v>2647</v>
      </c>
      <c r="J4" s="3275"/>
      <c r="K4" s="610" t="s">
        <v>2648</v>
      </c>
      <c r="L4" s="1132"/>
      <c r="M4" s="1133"/>
      <c r="N4" s="1133"/>
      <c r="O4" s="1133"/>
      <c r="P4" s="3278" t="s">
        <v>2649</v>
      </c>
      <c r="Q4" s="3279"/>
      <c r="R4" s="3284" t="s">
        <v>2645</v>
      </c>
      <c r="S4" s="3285"/>
      <c r="T4" s="3284" t="s">
        <v>2646</v>
      </c>
      <c r="U4" s="3285"/>
      <c r="V4" s="3269" t="s">
        <v>2647</v>
      </c>
      <c r="W4" s="3269"/>
      <c r="X4" s="1815"/>
      <c r="Y4" s="3284" t="s">
        <v>2649</v>
      </c>
      <c r="Z4" s="3285"/>
      <c r="AA4" s="3271" t="s">
        <v>2645</v>
      </c>
      <c r="AB4" s="3272" t="s">
        <v>2646</v>
      </c>
      <c r="AC4" s="3271" t="s">
        <v>2647</v>
      </c>
    </row>
    <row r="5" spans="1:29" ht="15">
      <c r="A5" s="404"/>
      <c r="B5" s="405"/>
      <c r="C5" s="3329" t="s">
        <v>2540</v>
      </c>
      <c r="D5" s="3293"/>
      <c r="E5" s="3331" t="s">
        <v>2541</v>
      </c>
      <c r="F5" s="3301"/>
      <c r="G5" s="3329" t="s">
        <v>2542</v>
      </c>
      <c r="H5" s="3293"/>
      <c r="I5" s="3329" t="s">
        <v>2543</v>
      </c>
      <c r="J5" s="3293"/>
      <c r="K5" s="610"/>
      <c r="L5" s="1132"/>
      <c r="M5" s="1133"/>
      <c r="N5" s="1133"/>
      <c r="O5" s="1133"/>
      <c r="P5" s="3280"/>
      <c r="Q5" s="3281"/>
      <c r="R5" s="3286"/>
      <c r="S5" s="3287"/>
      <c r="T5" s="3286"/>
      <c r="U5" s="3287"/>
      <c r="V5" s="3269"/>
      <c r="W5" s="3269"/>
      <c r="X5" s="1815"/>
      <c r="Y5" s="3286"/>
      <c r="Z5" s="3287"/>
      <c r="AA5" s="3272"/>
      <c r="AB5" s="3272"/>
      <c r="AC5" s="3272"/>
    </row>
    <row r="6" spans="1:29" ht="15.75" thickBot="1">
      <c r="A6" s="406"/>
      <c r="B6" s="407"/>
      <c r="C6" s="3352" t="s">
        <v>2795</v>
      </c>
      <c r="D6" s="3353"/>
      <c r="E6" s="3354" t="s">
        <v>2795</v>
      </c>
      <c r="F6" s="3355"/>
      <c r="G6" s="3352" t="s">
        <v>2795</v>
      </c>
      <c r="H6" s="3353"/>
      <c r="I6" s="3352" t="s">
        <v>2795</v>
      </c>
      <c r="J6" s="3353"/>
      <c r="K6" s="610" t="s">
        <v>2545</v>
      </c>
      <c r="L6" s="1132"/>
      <c r="M6" s="1133"/>
      <c r="N6" s="1133"/>
      <c r="O6" s="1133"/>
      <c r="P6" s="3282"/>
      <c r="Q6" s="3283"/>
      <c r="R6" s="3286"/>
      <c r="S6" s="3287"/>
      <c r="T6" s="3288"/>
      <c r="U6" s="3289"/>
      <c r="V6" s="3269"/>
      <c r="W6" s="3269"/>
      <c r="X6" s="1815"/>
      <c r="Y6" s="3288"/>
      <c r="Z6" s="3289"/>
      <c r="AA6" s="3273"/>
      <c r="AB6" s="3273"/>
      <c r="AC6" s="3273"/>
    </row>
    <row r="7" spans="1:29" s="117" customFormat="1" ht="15.75" thickBot="1">
      <c r="A7" s="408" t="s">
        <v>2546</v>
      </c>
      <c r="B7" s="409"/>
      <c r="C7" s="410">
        <f>'数据-取费表'!B2</f>
        <v>43209</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294" t="s">
        <v>2547</v>
      </c>
      <c r="Q7" s="3296"/>
      <c r="R7" s="769" t="s">
        <v>17</v>
      </c>
      <c r="S7" s="770">
        <f t="shared" ref="S7:S15" si="0">F7</f>
        <v>0</v>
      </c>
      <c r="T7" s="769" t="s">
        <v>17</v>
      </c>
      <c r="U7" s="770">
        <f t="shared" ref="U7:U15" si="1">H7</f>
        <v>0</v>
      </c>
      <c r="V7" s="769" t="s">
        <v>17</v>
      </c>
      <c r="W7" s="770">
        <f t="shared" ref="W7:W15" si="2">J7</f>
        <v>0</v>
      </c>
      <c r="X7" s="771"/>
      <c r="Y7" s="3294" t="s">
        <v>2547</v>
      </c>
      <c r="Z7" s="3295"/>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94" t="s">
        <v>2550</v>
      </c>
      <c r="Q8" s="3295"/>
      <c r="R8" s="769" t="s">
        <v>17</v>
      </c>
      <c r="S8" s="770">
        <f t="shared" si="0"/>
        <v>0</v>
      </c>
      <c r="T8" s="769" t="s">
        <v>17</v>
      </c>
      <c r="U8" s="770">
        <f t="shared" si="1"/>
        <v>0</v>
      </c>
      <c r="V8" s="769" t="s">
        <v>17</v>
      </c>
      <c r="W8" s="770">
        <f t="shared" si="2"/>
        <v>0</v>
      </c>
      <c r="X8" s="771"/>
      <c r="Y8" s="3294" t="s">
        <v>2550</v>
      </c>
      <c r="Z8" s="3295"/>
      <c r="AA8" s="772" t="e">
        <f t="shared" ref="AA8:AA40" si="3">D8/F8</f>
        <v>#DIV/0!</v>
      </c>
      <c r="AB8" s="772" t="e">
        <f t="shared" ref="AB8:AB40" si="4">D8/H8</f>
        <v>#DIV/0!</v>
      </c>
      <c r="AC8" s="772"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55" t="s">
        <v>2553</v>
      </c>
      <c r="Q9" s="1797" t="str">
        <f t="shared" ref="Q9:Q15" si="6">B9</f>
        <v>用途</v>
      </c>
      <c r="R9" s="769" t="s">
        <v>17</v>
      </c>
      <c r="S9" s="770">
        <f t="shared" si="0"/>
        <v>100</v>
      </c>
      <c r="T9" s="769" t="s">
        <v>17</v>
      </c>
      <c r="U9" s="770">
        <f t="shared" si="1"/>
        <v>100</v>
      </c>
      <c r="V9" s="769" t="s">
        <v>17</v>
      </c>
      <c r="W9" s="770">
        <f t="shared" si="2"/>
        <v>100</v>
      </c>
      <c r="X9" s="771"/>
      <c r="Y9" s="3110"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100</v>
      </c>
      <c r="G10" s="432"/>
      <c r="H10" s="136">
        <f>ROUND(100/'数据-取费表'!G16,0)</f>
        <v>100</v>
      </c>
      <c r="I10" s="432"/>
      <c r="J10" s="136">
        <f>ROUND(100/'数据-取费表'!G16,0)</f>
        <v>100</v>
      </c>
      <c r="K10" s="671"/>
      <c r="L10" s="1137"/>
      <c r="M10" s="1138"/>
      <c r="N10" s="1138"/>
      <c r="O10" s="1139"/>
      <c r="P10" s="3255"/>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55"/>
      <c r="Q11" s="1797" t="str">
        <f t="shared" si="6"/>
        <v>容积率</v>
      </c>
      <c r="R11" s="769" t="s">
        <v>17</v>
      </c>
      <c r="S11" s="770" t="e">
        <f t="shared" si="0"/>
        <v>#N/A</v>
      </c>
      <c r="T11" s="769" t="s">
        <v>17</v>
      </c>
      <c r="U11" s="770" t="e">
        <f t="shared" si="1"/>
        <v>#N/A</v>
      </c>
      <c r="V11" s="769" t="s">
        <v>17</v>
      </c>
      <c r="W11" s="770" t="e">
        <f t="shared" si="2"/>
        <v>#N/A</v>
      </c>
      <c r="X11" s="771"/>
      <c r="Y11" s="3110"/>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55"/>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55"/>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55"/>
      <c r="Q14" s="1797">
        <f t="shared" si="6"/>
        <v>111</v>
      </c>
      <c r="R14" s="769" t="s">
        <v>17</v>
      </c>
      <c r="S14" s="770">
        <f t="shared" si="0"/>
        <v>100</v>
      </c>
      <c r="T14" s="769" t="s">
        <v>17</v>
      </c>
      <c r="U14" s="770">
        <f t="shared" si="1"/>
        <v>100</v>
      </c>
      <c r="V14" s="769" t="s">
        <v>17</v>
      </c>
      <c r="W14" s="770">
        <f t="shared" si="2"/>
        <v>100</v>
      </c>
      <c r="X14" s="771"/>
      <c r="Y14" s="3110"/>
      <c r="Z14" s="55">
        <f t="shared" si="7"/>
        <v>111</v>
      </c>
      <c r="AA14" s="772">
        <f t="shared" si="3"/>
        <v>1</v>
      </c>
      <c r="AB14" s="772">
        <f t="shared" si="4"/>
        <v>1</v>
      </c>
      <c r="AC14" s="772">
        <f t="shared" si="5"/>
        <v>1</v>
      </c>
    </row>
    <row r="15" spans="1:29" ht="57">
      <c r="A15" s="440" t="s">
        <v>2557</v>
      </c>
      <c r="B15" s="628"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62" t="s">
        <v>2558</v>
      </c>
      <c r="Q15" s="1812" t="str">
        <f t="shared" si="6"/>
        <v>产业集聚程度</v>
      </c>
      <c r="R15" s="773" t="s">
        <v>17</v>
      </c>
      <c r="S15" s="774">
        <f t="shared" si="0"/>
        <v>100</v>
      </c>
      <c r="T15" s="773" t="s">
        <v>17</v>
      </c>
      <c r="U15" s="774">
        <f t="shared" si="1"/>
        <v>100</v>
      </c>
      <c r="V15" s="773" t="s">
        <v>17</v>
      </c>
      <c r="W15" s="774">
        <f t="shared" si="2"/>
        <v>100</v>
      </c>
      <c r="X15" s="1815"/>
      <c r="Y15" s="3262" t="s">
        <v>2558</v>
      </c>
      <c r="Z15" s="1816" t="str">
        <f t="shared" si="7"/>
        <v>产业集聚程度</v>
      </c>
      <c r="AA15" s="1813">
        <f t="shared" si="3"/>
        <v>1</v>
      </c>
      <c r="AB15" s="1813">
        <f t="shared" si="4"/>
        <v>1</v>
      </c>
      <c r="AC15" s="1813">
        <f t="shared" si="5"/>
        <v>1</v>
      </c>
    </row>
    <row r="16" spans="1:29" ht="15">
      <c r="A16" s="428"/>
      <c r="B16" s="629"/>
      <c r="C16" s="447"/>
      <c r="D16" s="448"/>
      <c r="E16" s="2611"/>
      <c r="F16" s="448"/>
      <c r="G16" s="2611"/>
      <c r="H16" s="450"/>
      <c r="I16" s="2611"/>
      <c r="J16" s="448"/>
      <c r="K16" s="671"/>
      <c r="L16" s="1142"/>
      <c r="M16" s="1133"/>
      <c r="N16" s="1133"/>
      <c r="O16" s="1141"/>
      <c r="P16" s="3263"/>
      <c r="Q16" s="1812"/>
      <c r="R16" s="773"/>
      <c r="S16" s="774"/>
      <c r="T16" s="773"/>
      <c r="U16" s="774"/>
      <c r="V16" s="773"/>
      <c r="W16" s="774"/>
      <c r="X16" s="1815"/>
      <c r="Y16" s="3263"/>
      <c r="Z16" s="1816"/>
      <c r="AA16" s="1813">
        <v>1</v>
      </c>
      <c r="AB16" s="1813">
        <v>1</v>
      </c>
      <c r="AC16" s="1813">
        <v>1</v>
      </c>
    </row>
    <row r="17" spans="1:29" ht="85.5">
      <c r="A17" s="428"/>
      <c r="B17" s="630"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63"/>
      <c r="Q17" s="1812" t="str">
        <f>B17</f>
        <v>交通便捷度</v>
      </c>
      <c r="R17" s="773" t="s">
        <v>17</v>
      </c>
      <c r="S17" s="774">
        <f>F17</f>
        <v>100</v>
      </c>
      <c r="T17" s="773" t="s">
        <v>17</v>
      </c>
      <c r="U17" s="774">
        <f>H17</f>
        <v>100</v>
      </c>
      <c r="V17" s="773" t="s">
        <v>17</v>
      </c>
      <c r="W17" s="774">
        <f>J17</f>
        <v>100</v>
      </c>
      <c r="X17" s="1815"/>
      <c r="Y17" s="3263"/>
      <c r="Z17" s="1816" t="str">
        <f>Q17</f>
        <v>交通便捷度</v>
      </c>
      <c r="AA17" s="1813">
        <f t="shared" si="3"/>
        <v>1</v>
      </c>
      <c r="AB17" s="1813">
        <f t="shared" si="4"/>
        <v>1</v>
      </c>
      <c r="AC17" s="1813">
        <f t="shared" si="5"/>
        <v>1</v>
      </c>
    </row>
    <row r="18" spans="1:29" ht="15">
      <c r="A18" s="428"/>
      <c r="B18" s="631"/>
      <c r="C18" s="447"/>
      <c r="D18" s="448"/>
      <c r="E18" s="2605"/>
      <c r="F18" s="448"/>
      <c r="G18" s="2605"/>
      <c r="H18" s="448"/>
      <c r="I18" s="2604"/>
      <c r="J18" s="448"/>
      <c r="K18" s="671"/>
      <c r="L18" s="1142"/>
      <c r="M18" s="1133"/>
      <c r="N18" s="1133"/>
      <c r="O18" s="1141"/>
      <c r="P18" s="3263"/>
      <c r="Q18" s="1812"/>
      <c r="R18" s="773"/>
      <c r="S18" s="774"/>
      <c r="T18" s="773"/>
      <c r="U18" s="774"/>
      <c r="V18" s="773"/>
      <c r="W18" s="774"/>
      <c r="X18" s="1815"/>
      <c r="Y18" s="3263"/>
      <c r="Z18" s="1816"/>
      <c r="AA18" s="1813">
        <v>1</v>
      </c>
      <c r="AB18" s="1813">
        <v>1</v>
      </c>
      <c r="AC18" s="1813">
        <v>1</v>
      </c>
    </row>
    <row r="19" spans="1:29" ht="15">
      <c r="A19" s="428"/>
      <c r="B19" s="630"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63"/>
      <c r="Q19" s="1812" t="str">
        <f t="shared" ref="Q19:Q33" si="8">B19</f>
        <v>区域土地利用方向</v>
      </c>
      <c r="R19" s="773" t="s">
        <v>17</v>
      </c>
      <c r="S19" s="774">
        <f>F19</f>
        <v>100</v>
      </c>
      <c r="T19" s="773" t="s">
        <v>17</v>
      </c>
      <c r="U19" s="774">
        <f>H19</f>
        <v>100</v>
      </c>
      <c r="V19" s="773" t="s">
        <v>17</v>
      </c>
      <c r="W19" s="774">
        <f>J19</f>
        <v>100</v>
      </c>
      <c r="X19" s="1815"/>
      <c r="Y19" s="3263"/>
      <c r="Z19" s="1816" t="str">
        <f>Q19</f>
        <v>区域土地利用方向</v>
      </c>
      <c r="AA19" s="1813">
        <f t="shared" si="3"/>
        <v>1</v>
      </c>
      <c r="AB19" s="1813">
        <f t="shared" si="4"/>
        <v>1</v>
      </c>
      <c r="AC19" s="1813">
        <f t="shared" si="5"/>
        <v>1</v>
      </c>
    </row>
    <row r="20" spans="1:29" ht="15">
      <c r="A20" s="404"/>
      <c r="B20" s="631"/>
      <c r="C20" s="447"/>
      <c r="D20" s="448"/>
      <c r="E20" s="2605"/>
      <c r="F20" s="448"/>
      <c r="G20" s="2605"/>
      <c r="H20" s="448"/>
      <c r="I20" s="2605"/>
      <c r="J20" s="448"/>
      <c r="K20" s="811"/>
      <c r="L20" s="1142"/>
      <c r="M20" s="1133"/>
      <c r="N20" s="1133"/>
      <c r="O20" s="1141"/>
      <c r="P20" s="3263"/>
      <c r="Q20" s="1812"/>
      <c r="R20" s="773"/>
      <c r="S20" s="774"/>
      <c r="T20" s="773"/>
      <c r="U20" s="774"/>
      <c r="V20" s="773"/>
      <c r="W20" s="774"/>
      <c r="X20" s="1815"/>
      <c r="Y20" s="3263"/>
      <c r="Z20" s="1816"/>
      <c r="AA20" s="1813"/>
      <c r="AB20" s="1813"/>
      <c r="AC20" s="1813"/>
    </row>
    <row r="21" spans="1:29" ht="71.25">
      <c r="A21" s="404"/>
      <c r="B21" s="630"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63"/>
      <c r="Q21" s="1812" t="str">
        <f t="shared" si="8"/>
        <v>环境状况</v>
      </c>
      <c r="R21" s="773" t="s">
        <v>17</v>
      </c>
      <c r="S21" s="774">
        <f>F21</f>
        <v>100</v>
      </c>
      <c r="T21" s="773" t="s">
        <v>17</v>
      </c>
      <c r="U21" s="774">
        <f>H21</f>
        <v>100</v>
      </c>
      <c r="V21" s="773" t="s">
        <v>17</v>
      </c>
      <c r="W21" s="774">
        <f>J21</f>
        <v>100</v>
      </c>
      <c r="X21" s="1815"/>
      <c r="Y21" s="3263"/>
      <c r="Z21" s="1816" t="str">
        <f>Q21</f>
        <v>环境状况</v>
      </c>
      <c r="AA21" s="1813">
        <f t="shared" si="3"/>
        <v>1</v>
      </c>
      <c r="AB21" s="1813">
        <f t="shared" si="4"/>
        <v>1</v>
      </c>
      <c r="AC21" s="1813">
        <f t="shared" si="5"/>
        <v>1</v>
      </c>
    </row>
    <row r="22" spans="1:29" ht="15">
      <c r="A22" s="404"/>
      <c r="B22" s="631"/>
      <c r="C22" s="447"/>
      <c r="D22" s="448"/>
      <c r="E22" s="2611"/>
      <c r="F22" s="448"/>
      <c r="G22" s="2611"/>
      <c r="H22" s="448"/>
      <c r="I22" s="447"/>
      <c r="J22" s="448"/>
      <c r="K22" s="671"/>
      <c r="L22" s="1142"/>
      <c r="M22" s="1133"/>
      <c r="N22" s="1133"/>
      <c r="O22" s="1141"/>
      <c r="P22" s="3263"/>
      <c r="Q22" s="1812"/>
      <c r="R22" s="773"/>
      <c r="S22" s="774"/>
      <c r="T22" s="773"/>
      <c r="U22" s="774"/>
      <c r="V22" s="773"/>
      <c r="W22" s="774"/>
      <c r="X22" s="1815"/>
      <c r="Y22" s="3263"/>
      <c r="Z22" s="1816"/>
      <c r="AA22" s="1813">
        <v>1</v>
      </c>
      <c r="AB22" s="1813">
        <v>1</v>
      </c>
      <c r="AC22" s="1813">
        <v>1</v>
      </c>
    </row>
    <row r="23" spans="1:29" s="117" customFormat="1" ht="42.75">
      <c r="A23" s="648"/>
      <c r="B23" s="632"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63"/>
      <c r="Q23" s="1797" t="str">
        <f t="shared" si="8"/>
        <v>公共配套设施</v>
      </c>
      <c r="R23" s="769" t="s">
        <v>17</v>
      </c>
      <c r="S23" s="770">
        <f>F23</f>
        <v>100</v>
      </c>
      <c r="T23" s="769" t="s">
        <v>17</v>
      </c>
      <c r="U23" s="770">
        <f>H23</f>
        <v>100</v>
      </c>
      <c r="V23" s="769" t="s">
        <v>17</v>
      </c>
      <c r="W23" s="770">
        <f>J23</f>
        <v>100</v>
      </c>
      <c r="X23" s="771"/>
      <c r="Y23" s="3263"/>
      <c r="Z23" s="55" t="str">
        <f>Q23</f>
        <v>公共配套设施</v>
      </c>
      <c r="AA23" s="1813">
        <f>D23/F23</f>
        <v>1</v>
      </c>
      <c r="AB23" s="1813">
        <f>D23/H23</f>
        <v>1</v>
      </c>
      <c r="AC23" s="1813">
        <f>D23/J23</f>
        <v>1</v>
      </c>
    </row>
    <row r="24" spans="1:29" s="117" customFormat="1" ht="15">
      <c r="A24" s="648"/>
      <c r="B24" s="631"/>
      <c r="C24" s="2700"/>
      <c r="D24" s="448"/>
      <c r="E24" s="2611"/>
      <c r="F24" s="448"/>
      <c r="G24" s="2611"/>
      <c r="H24" s="448"/>
      <c r="I24" s="447"/>
      <c r="J24" s="448"/>
      <c r="K24" s="671"/>
      <c r="L24" s="1134"/>
      <c r="M24" s="1135"/>
      <c r="N24" s="1135"/>
      <c r="O24" s="1136"/>
      <c r="P24" s="3263"/>
      <c r="Q24" s="1797"/>
      <c r="R24" s="769"/>
      <c r="S24" s="770"/>
      <c r="T24" s="769"/>
      <c r="U24" s="770"/>
      <c r="V24" s="769"/>
      <c r="W24" s="770"/>
      <c r="X24" s="771"/>
      <c r="Y24" s="3263"/>
      <c r="Z24" s="55"/>
      <c r="AA24" s="772">
        <v>1</v>
      </c>
      <c r="AB24" s="772">
        <v>1</v>
      </c>
      <c r="AC24" s="772">
        <v>1</v>
      </c>
    </row>
    <row r="25" spans="1:29" s="117" customFormat="1" ht="28.5">
      <c r="A25" s="648"/>
      <c r="B25" s="632"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63"/>
      <c r="Q25" s="1797" t="str">
        <f t="shared" ref="Q25" si="9">B25</f>
        <v>基础设施水平</v>
      </c>
      <c r="R25" s="769" t="s">
        <v>17</v>
      </c>
      <c r="S25" s="770">
        <f>F25</f>
        <v>100</v>
      </c>
      <c r="T25" s="769" t="s">
        <v>17</v>
      </c>
      <c r="U25" s="770">
        <f>H25</f>
        <v>100</v>
      </c>
      <c r="V25" s="769" t="s">
        <v>17</v>
      </c>
      <c r="W25" s="770">
        <f>J25</f>
        <v>100</v>
      </c>
      <c r="X25" s="771"/>
      <c r="Y25" s="3263"/>
      <c r="Z25" s="55" t="str">
        <f>Q25</f>
        <v>基础设施水平</v>
      </c>
      <c r="AA25" s="1813">
        <f>D25/F25</f>
        <v>1</v>
      </c>
      <c r="AB25" s="1813">
        <f>D25/H25</f>
        <v>1</v>
      </c>
      <c r="AC25" s="1813">
        <f>D25/J25</f>
        <v>1</v>
      </c>
    </row>
    <row r="26" spans="1:29" s="117" customFormat="1" ht="15">
      <c r="A26" s="648"/>
      <c r="B26" s="631"/>
      <c r="C26" s="2700"/>
      <c r="D26" s="448"/>
      <c r="E26" s="2701"/>
      <c r="F26" s="448"/>
      <c r="G26" s="2701"/>
      <c r="H26" s="448"/>
      <c r="I26" s="2701"/>
      <c r="J26" s="448"/>
      <c r="K26" s="671"/>
      <c r="L26" s="1134"/>
      <c r="M26" s="1135"/>
      <c r="N26" s="1135"/>
      <c r="O26" s="1136"/>
      <c r="P26" s="3263"/>
      <c r="Q26" s="1797"/>
      <c r="R26" s="769"/>
      <c r="S26" s="770"/>
      <c r="T26" s="769"/>
      <c r="U26" s="770"/>
      <c r="V26" s="769"/>
      <c r="W26" s="770"/>
      <c r="X26" s="771"/>
      <c r="Y26" s="3263"/>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63"/>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63"/>
      <c r="Z27" s="1816" t="str">
        <f t="shared" ref="Z27:Z40" si="13">Q27</f>
        <v>临街状况</v>
      </c>
      <c r="AA27" s="1813">
        <f t="shared" si="3"/>
        <v>1</v>
      </c>
      <c r="AB27" s="1813">
        <f t="shared" si="4"/>
        <v>1</v>
      </c>
      <c r="AC27" s="1813">
        <f t="shared" si="5"/>
        <v>1</v>
      </c>
    </row>
    <row r="28" spans="1:29" ht="27">
      <c r="A28" s="428"/>
      <c r="B28" s="632"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63"/>
      <c r="Q28" s="1812" t="str">
        <f t="shared" si="8"/>
        <v>毗邻道路的类型与等级</v>
      </c>
      <c r="R28" s="773" t="s">
        <v>17</v>
      </c>
      <c r="S28" s="774">
        <f t="shared" si="10"/>
        <v>100</v>
      </c>
      <c r="T28" s="773" t="s">
        <v>17</v>
      </c>
      <c r="U28" s="774">
        <f t="shared" si="11"/>
        <v>100</v>
      </c>
      <c r="V28" s="773" t="s">
        <v>17</v>
      </c>
      <c r="W28" s="774">
        <f t="shared" si="12"/>
        <v>100</v>
      </c>
      <c r="X28" s="1815"/>
      <c r="Y28" s="3263"/>
      <c r="Z28" s="1816" t="str">
        <f t="shared" si="13"/>
        <v>毗邻道路的类型与等级</v>
      </c>
      <c r="AA28" s="1813">
        <f t="shared" si="3"/>
        <v>1</v>
      </c>
      <c r="AB28" s="1813">
        <f t="shared" si="4"/>
        <v>1</v>
      </c>
      <c r="AC28" s="1813">
        <f t="shared" si="5"/>
        <v>1</v>
      </c>
    </row>
    <row r="29" spans="1:29" ht="15">
      <c r="A29" s="428"/>
      <c r="B29" s="631"/>
      <c r="C29" s="447"/>
      <c r="D29" s="448"/>
      <c r="E29" s="2611"/>
      <c r="F29" s="448"/>
      <c r="G29" s="2611"/>
      <c r="H29" s="448"/>
      <c r="I29" s="2611"/>
      <c r="J29" s="448"/>
      <c r="K29" s="613"/>
      <c r="L29" s="1142"/>
      <c r="M29" s="1133"/>
      <c r="N29" s="1133"/>
      <c r="O29" s="1141"/>
      <c r="P29" s="3263"/>
      <c r="Q29" s="1812"/>
      <c r="R29" s="773"/>
      <c r="S29" s="774"/>
      <c r="T29" s="773"/>
      <c r="U29" s="774"/>
      <c r="V29" s="773"/>
      <c r="W29" s="774"/>
      <c r="X29" s="1815"/>
      <c r="Y29" s="3263"/>
      <c r="Z29" s="1816"/>
      <c r="AA29" s="1813">
        <v>1</v>
      </c>
      <c r="AB29" s="1813">
        <v>1</v>
      </c>
      <c r="AC29" s="1813">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63"/>
      <c r="Q30" s="1812" t="str">
        <f t="shared" si="8"/>
        <v>土地级别</v>
      </c>
      <c r="R30" s="773" t="s">
        <v>17</v>
      </c>
      <c r="S30" s="774">
        <f t="shared" si="10"/>
        <v>100</v>
      </c>
      <c r="T30" s="773" t="s">
        <v>17</v>
      </c>
      <c r="U30" s="774">
        <f t="shared" si="11"/>
        <v>100</v>
      </c>
      <c r="V30" s="773" t="s">
        <v>17</v>
      </c>
      <c r="W30" s="774">
        <f t="shared" si="12"/>
        <v>100</v>
      </c>
      <c r="X30" s="1815"/>
      <c r="Y30" s="3263"/>
      <c r="Z30" s="1816" t="str">
        <f t="shared" si="13"/>
        <v>土地级别</v>
      </c>
      <c r="AA30" s="1813">
        <f t="shared" si="3"/>
        <v>1</v>
      </c>
      <c r="AB30" s="1813">
        <f t="shared" si="4"/>
        <v>1</v>
      </c>
      <c r="AC30" s="1813">
        <f t="shared" si="5"/>
        <v>1</v>
      </c>
    </row>
    <row r="31" spans="1:29" ht="15">
      <c r="A31" s="404"/>
      <c r="B31" s="2678">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63"/>
      <c r="Q31" s="1812">
        <f t="shared" si="8"/>
        <v>111</v>
      </c>
      <c r="R31" s="773" t="s">
        <v>17</v>
      </c>
      <c r="S31" s="774">
        <f t="shared" si="10"/>
        <v>100</v>
      </c>
      <c r="T31" s="773" t="s">
        <v>17</v>
      </c>
      <c r="U31" s="774">
        <f t="shared" si="11"/>
        <v>100</v>
      </c>
      <c r="V31" s="773" t="s">
        <v>17</v>
      </c>
      <c r="W31" s="774">
        <f t="shared" si="12"/>
        <v>100</v>
      </c>
      <c r="X31" s="1815"/>
      <c r="Y31" s="3263"/>
      <c r="Z31" s="1816">
        <f t="shared" si="13"/>
        <v>111</v>
      </c>
      <c r="AA31" s="1813">
        <f t="shared" si="3"/>
        <v>1</v>
      </c>
      <c r="AB31" s="1813">
        <f t="shared" si="4"/>
        <v>1</v>
      </c>
      <c r="AC31" s="1813">
        <f t="shared" si="5"/>
        <v>1</v>
      </c>
    </row>
    <row r="32" spans="1:29" ht="15">
      <c r="A32" s="674"/>
      <c r="B32" s="2714">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347" t="s">
        <v>2563</v>
      </c>
      <c r="Q32" s="1812">
        <f t="shared" si="8"/>
        <v>111</v>
      </c>
      <c r="R32" s="773" t="s">
        <v>17</v>
      </c>
      <c r="S32" s="774">
        <f t="shared" si="10"/>
        <v>100</v>
      </c>
      <c r="T32" s="773" t="s">
        <v>17</v>
      </c>
      <c r="U32" s="774">
        <f t="shared" si="11"/>
        <v>100</v>
      </c>
      <c r="V32" s="773" t="s">
        <v>17</v>
      </c>
      <c r="W32" s="774">
        <f t="shared" si="12"/>
        <v>100</v>
      </c>
      <c r="X32" s="1815"/>
      <c r="Y32" s="3267" t="s">
        <v>2563</v>
      </c>
      <c r="Z32" s="1816">
        <f t="shared" si="13"/>
        <v>111</v>
      </c>
      <c r="AA32" s="1813">
        <f t="shared" si="3"/>
        <v>1</v>
      </c>
      <c r="AB32" s="1813">
        <f t="shared" si="4"/>
        <v>1</v>
      </c>
      <c r="AC32" s="1813">
        <f t="shared" si="5"/>
        <v>1</v>
      </c>
    </row>
    <row r="33" spans="1:29" s="471" customFormat="1" ht="15.75" thickBot="1">
      <c r="A33" s="675"/>
      <c r="B33" s="2715">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67"/>
      <c r="Q33" s="1812">
        <f t="shared" si="8"/>
        <v>111</v>
      </c>
      <c r="R33" s="776" t="s">
        <v>17</v>
      </c>
      <c r="S33" s="777">
        <f t="shared" si="10"/>
        <v>100</v>
      </c>
      <c r="T33" s="776" t="s">
        <v>17</v>
      </c>
      <c r="U33" s="777">
        <f t="shared" si="11"/>
        <v>100</v>
      </c>
      <c r="V33" s="776" t="s">
        <v>17</v>
      </c>
      <c r="W33" s="777">
        <f t="shared" si="12"/>
        <v>100</v>
      </c>
      <c r="X33" s="778"/>
      <c r="Y33" s="3267"/>
      <c r="Z33" s="779">
        <f t="shared" si="13"/>
        <v>111</v>
      </c>
      <c r="AA33" s="1813">
        <f t="shared" si="3"/>
        <v>1</v>
      </c>
      <c r="AB33" s="1813">
        <f t="shared" si="4"/>
        <v>1</v>
      </c>
      <c r="AC33" s="1813">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67"/>
      <c r="Q34" s="1812" t="str">
        <f>B34</f>
        <v>宗地面积</v>
      </c>
      <c r="R34" s="773" t="s">
        <v>17</v>
      </c>
      <c r="S34" s="774" t="e">
        <f t="shared" si="10"/>
        <v>#N/A</v>
      </c>
      <c r="T34" s="773" t="s">
        <v>17</v>
      </c>
      <c r="U34" s="774" t="e">
        <f t="shared" si="11"/>
        <v>#N/A</v>
      </c>
      <c r="V34" s="773" t="s">
        <v>17</v>
      </c>
      <c r="W34" s="774" t="e">
        <f t="shared" si="12"/>
        <v>#N/A</v>
      </c>
      <c r="X34" s="1815"/>
      <c r="Y34" s="3267"/>
      <c r="Z34" s="1816" t="str">
        <f t="shared" si="13"/>
        <v>宗地面积</v>
      </c>
      <c r="AA34" s="1813" t="e">
        <f t="shared" si="3"/>
        <v>#N/A</v>
      </c>
      <c r="AB34" s="1813" t="e">
        <f t="shared" si="4"/>
        <v>#N/A</v>
      </c>
      <c r="AC34" s="1813"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267"/>
      <c r="Q35" s="1812" t="str">
        <f t="shared" ref="Q35:Q40" si="14">B35</f>
        <v>宗地形状</v>
      </c>
      <c r="R35" s="773" t="s">
        <v>17</v>
      </c>
      <c r="S35" s="774">
        <f t="shared" si="10"/>
        <v>100</v>
      </c>
      <c r="T35" s="773" t="s">
        <v>17</v>
      </c>
      <c r="U35" s="774">
        <f t="shared" si="11"/>
        <v>100</v>
      </c>
      <c r="V35" s="773" t="s">
        <v>17</v>
      </c>
      <c r="W35" s="774">
        <f t="shared" si="12"/>
        <v>100</v>
      </c>
      <c r="X35" s="1815"/>
      <c r="Y35" s="3267"/>
      <c r="Z35" s="1816" t="str">
        <f t="shared" si="13"/>
        <v>宗地形状</v>
      </c>
      <c r="AA35" s="1813">
        <f t="shared" si="3"/>
        <v>1</v>
      </c>
      <c r="AB35" s="1813">
        <f t="shared" si="4"/>
        <v>1</v>
      </c>
      <c r="AC35" s="1813">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267"/>
      <c r="Q36" s="1812" t="str">
        <f t="shared" si="14"/>
        <v>宗地开发程度</v>
      </c>
      <c r="R36" s="769" t="s">
        <v>17</v>
      </c>
      <c r="S36" s="770">
        <f t="shared" si="10"/>
        <v>100</v>
      </c>
      <c r="T36" s="769" t="s">
        <v>17</v>
      </c>
      <c r="U36" s="770">
        <f t="shared" si="11"/>
        <v>100</v>
      </c>
      <c r="V36" s="769" t="s">
        <v>17</v>
      </c>
      <c r="W36" s="770">
        <f t="shared" si="12"/>
        <v>100</v>
      </c>
      <c r="X36" s="771"/>
      <c r="Y36" s="3267"/>
      <c r="Z36" s="55" t="str">
        <f t="shared" si="13"/>
        <v>宗地开发程度</v>
      </c>
      <c r="AA36" s="772">
        <f t="shared" si="3"/>
        <v>1</v>
      </c>
      <c r="AB36" s="772">
        <f t="shared" si="4"/>
        <v>1</v>
      </c>
      <c r="AC36" s="772">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267" t="s">
        <v>2563</v>
      </c>
      <c r="Q37" s="1812" t="str">
        <f t="shared" si="14"/>
        <v>工程地质条件</v>
      </c>
      <c r="R37" s="773" t="s">
        <v>17</v>
      </c>
      <c r="S37" s="774">
        <f t="shared" si="10"/>
        <v>100</v>
      </c>
      <c r="T37" s="773" t="s">
        <v>17</v>
      </c>
      <c r="U37" s="774">
        <f t="shared" si="11"/>
        <v>100</v>
      </c>
      <c r="V37" s="773" t="s">
        <v>17</v>
      </c>
      <c r="W37" s="774">
        <f t="shared" si="12"/>
        <v>100</v>
      </c>
      <c r="X37" s="1815"/>
      <c r="Y37" s="3267" t="s">
        <v>2563</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67"/>
      <c r="Q38" s="1812">
        <f t="shared" si="14"/>
        <v>111</v>
      </c>
      <c r="R38" s="773" t="s">
        <v>17</v>
      </c>
      <c r="S38" s="774">
        <f t="shared" si="10"/>
        <v>100</v>
      </c>
      <c r="T38" s="773" t="s">
        <v>17</v>
      </c>
      <c r="U38" s="774">
        <f t="shared" si="11"/>
        <v>100</v>
      </c>
      <c r="V38" s="773" t="s">
        <v>17</v>
      </c>
      <c r="W38" s="774">
        <f t="shared" si="12"/>
        <v>100</v>
      </c>
      <c r="X38" s="1815"/>
      <c r="Y38" s="3267"/>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67"/>
      <c r="Q39" s="1812">
        <f t="shared" si="14"/>
        <v>111</v>
      </c>
      <c r="R39" s="773" t="s">
        <v>17</v>
      </c>
      <c r="S39" s="774">
        <f t="shared" si="10"/>
        <v>100</v>
      </c>
      <c r="T39" s="773" t="s">
        <v>17</v>
      </c>
      <c r="U39" s="774">
        <f t="shared" si="11"/>
        <v>100</v>
      </c>
      <c r="V39" s="773" t="s">
        <v>17</v>
      </c>
      <c r="W39" s="774">
        <f t="shared" si="12"/>
        <v>100</v>
      </c>
      <c r="X39" s="1815"/>
      <c r="Y39" s="3267"/>
      <c r="Z39" s="1816">
        <f t="shared" si="13"/>
        <v>111</v>
      </c>
      <c r="AA39" s="1813">
        <f t="shared" si="3"/>
        <v>1</v>
      </c>
      <c r="AB39" s="1813">
        <f t="shared" si="4"/>
        <v>1</v>
      </c>
      <c r="AC39" s="1813">
        <f t="shared" si="5"/>
        <v>1</v>
      </c>
    </row>
    <row r="40" spans="1:29" s="471" customFormat="1" ht="15.75" thickBot="1">
      <c r="A40" s="468"/>
      <c r="B40" s="1389">
        <v>111</v>
      </c>
      <c r="C40" s="2703"/>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67"/>
      <c r="Q40" s="1812">
        <f t="shared" si="14"/>
        <v>111</v>
      </c>
      <c r="R40" s="776" t="s">
        <v>17</v>
      </c>
      <c r="S40" s="777">
        <f t="shared" si="10"/>
        <v>100</v>
      </c>
      <c r="T40" s="776" t="s">
        <v>17</v>
      </c>
      <c r="U40" s="777">
        <f t="shared" si="11"/>
        <v>100</v>
      </c>
      <c r="V40" s="776" t="s">
        <v>17</v>
      </c>
      <c r="W40" s="777">
        <f t="shared" si="12"/>
        <v>100</v>
      </c>
      <c r="X40" s="778"/>
      <c r="Y40" s="3267"/>
      <c r="Z40" s="779">
        <f t="shared" si="13"/>
        <v>111</v>
      </c>
      <c r="AA40" s="1813">
        <f t="shared" si="3"/>
        <v>1</v>
      </c>
      <c r="AB40" s="1813">
        <f t="shared" si="4"/>
        <v>1</v>
      </c>
      <c r="AC40" s="1813">
        <f t="shared" si="5"/>
        <v>1</v>
      </c>
    </row>
    <row r="41" spans="1:29" ht="15">
      <c r="A41" s="479" t="s">
        <v>2718</v>
      </c>
      <c r="B41" s="2704" t="s">
        <v>2798</v>
      </c>
      <c r="C41" s="681" t="s">
        <v>1</v>
      </c>
      <c r="D41" s="481"/>
      <c r="E41" s="482"/>
      <c r="F41" s="483"/>
      <c r="G41" s="484"/>
      <c r="H41" s="485"/>
      <c r="I41" s="482"/>
      <c r="J41" s="485"/>
      <c r="K41" s="782"/>
      <c r="L41" s="1145"/>
      <c r="M41" s="1133"/>
      <c r="N41" s="1133"/>
      <c r="O41" s="1146"/>
      <c r="P41" s="3255" t="str">
        <f>A41</f>
        <v>成交单价</v>
      </c>
      <c r="Q41" s="3255"/>
      <c r="R41" s="3269">
        <f>E41</f>
        <v>0</v>
      </c>
      <c r="S41" s="3269"/>
      <c r="T41" s="3269">
        <f>G41</f>
        <v>0</v>
      </c>
      <c r="U41" s="3269"/>
      <c r="V41" s="3269">
        <f>I41</f>
        <v>0</v>
      </c>
      <c r="W41" s="3269"/>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255" t="str">
        <f>A42</f>
        <v>比较价值（元/平方米）</v>
      </c>
      <c r="Q42" s="3255"/>
      <c r="R42" s="3348" t="e">
        <f>ROUND(PRODUCT(R41,AA7:AA40),0)</f>
        <v>#DIV/0!</v>
      </c>
      <c r="S42" s="3348"/>
      <c r="T42" s="3348" t="e">
        <f>ROUND(PRODUCT(T41,AB7:AB40),0)</f>
        <v>#DIV/0!</v>
      </c>
      <c r="U42" s="3348"/>
      <c r="V42" s="3348" t="e">
        <f>ROUND(PRODUCT(V41,AC7:AC40),0)</f>
        <v>#DIV/0!</v>
      </c>
      <c r="W42" s="3348"/>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257" t="str">
        <f>A43</f>
        <v>估价对象XX用房的比较价值（楼面单价，元/平方米）</v>
      </c>
      <c r="Q43" s="3258"/>
      <c r="R43" s="3349" t="e">
        <f>ROUND(AVERAGE(R42:V42),0)</f>
        <v>#DIV/0!</v>
      </c>
      <c r="S43" s="3349"/>
      <c r="T43" s="3349"/>
      <c r="U43" s="3349"/>
      <c r="V43" s="3349"/>
      <c r="W43" s="3349"/>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5" t="s">
        <v>2758</v>
      </c>
      <c r="D50" s="2706" t="s">
        <v>2759</v>
      </c>
      <c r="E50" s="685" t="s">
        <v>2760</v>
      </c>
      <c r="F50" s="686" t="s">
        <v>2761</v>
      </c>
      <c r="G50" s="3274" t="s">
        <v>2762</v>
      </c>
      <c r="H50" s="3350"/>
      <c r="I50" s="1816" t="s">
        <v>2799</v>
      </c>
      <c r="J50" s="1816" t="str">
        <f>项目基本情况!F35</f>
        <v>湖北省武汉市</v>
      </c>
      <c r="K50" s="2708" t="s">
        <v>2764</v>
      </c>
      <c r="L50" s="1108"/>
      <c r="M50" s="1146"/>
      <c r="N50" s="1146"/>
      <c r="O50" s="1146"/>
    </row>
    <row r="51" spans="1:17" s="691" customFormat="1">
      <c r="A51" s="687" t="s">
        <v>2765</v>
      </c>
      <c r="B51" s="688" t="e">
        <f>C43</f>
        <v>#DIV/0!</v>
      </c>
      <c r="C51" s="689">
        <v>1</v>
      </c>
      <c r="D51" s="1165">
        <v>1</v>
      </c>
      <c r="E51" s="689">
        <f>'数据-汇总表'!E8+'数据-汇总表'!E9</f>
        <v>39089.930000000037</v>
      </c>
      <c r="F51" s="690" t="e">
        <f t="shared" ref="F51:F60" si="15">ROUND(B51*E51/10000,0)</f>
        <v>#DIV/0!</v>
      </c>
      <c r="G51" s="3270"/>
      <c r="H51" s="3255"/>
      <c r="I51" s="944">
        <v>1</v>
      </c>
      <c r="J51" s="944">
        <v>1</v>
      </c>
      <c r="K51" s="1147"/>
      <c r="L51" s="943"/>
      <c r="M51" s="943"/>
      <c r="N51" s="943"/>
      <c r="O51" s="943"/>
    </row>
    <row r="52" spans="1:17" s="691" customFormat="1">
      <c r="A52" s="692" t="s">
        <v>2766</v>
      </c>
      <c r="B52" s="262" t="e">
        <f>ROUND($C$43*C52*D52,0)</f>
        <v>#DIV/0!</v>
      </c>
      <c r="C52" s="200">
        <f t="shared" ref="C52:C60" si="16">IF($C$50="北京市系数",I52,J52)</f>
        <v>0.8</v>
      </c>
      <c r="D52" s="1166">
        <v>0.25</v>
      </c>
      <c r="E52" s="693"/>
      <c r="F52" s="690" t="e">
        <f t="shared" si="15"/>
        <v>#DIV/0!</v>
      </c>
      <c r="G52" s="3351" t="s">
        <v>2767</v>
      </c>
      <c r="H52" s="1106" t="str">
        <f>项目基本情况!B37</f>
        <v>一级</v>
      </c>
      <c r="I52" s="944">
        <f>SUMIF(修正!A45:A56,H52,修正!B45:B56)</f>
        <v>0.8</v>
      </c>
      <c r="J52" s="945"/>
      <c r="K52" s="1146"/>
      <c r="L52" s="943"/>
      <c r="M52" s="943"/>
      <c r="N52" s="943"/>
      <c r="O52" s="943"/>
    </row>
    <row r="53" spans="1:17" s="691" customFormat="1">
      <c r="A53" s="692" t="s">
        <v>2768</v>
      </c>
      <c r="B53" s="262" t="e">
        <f t="shared" ref="B53:B60" si="17">ROUND($C$43*C53*D53,0)</f>
        <v>#DIV/0!</v>
      </c>
      <c r="C53" s="200">
        <f t="shared" si="16"/>
        <v>0.5</v>
      </c>
      <c r="D53" s="1166">
        <v>0.25</v>
      </c>
      <c r="E53" s="693"/>
      <c r="F53" s="690" t="e">
        <f t="shared" si="15"/>
        <v>#DIV/0!</v>
      </c>
      <c r="G53" s="3351"/>
      <c r="H53" s="1106" t="str">
        <f>项目基本情况!B37</f>
        <v>一级</v>
      </c>
      <c r="I53" s="944">
        <f>SUMIF(修正!A45:A56,H53,修正!C45:C56)</f>
        <v>0.5</v>
      </c>
      <c r="J53" s="945"/>
      <c r="K53" s="1147"/>
      <c r="L53" s="943"/>
      <c r="M53" s="943"/>
      <c r="N53" s="943"/>
      <c r="O53" s="943"/>
    </row>
    <row r="54" spans="1:17" s="691" customFormat="1">
      <c r="A54" s="692" t="s">
        <v>2769</v>
      </c>
      <c r="B54" s="262" t="e">
        <f t="shared" si="17"/>
        <v>#DIV/0!</v>
      </c>
      <c r="C54" s="200">
        <f t="shared" si="16"/>
        <v>0.36</v>
      </c>
      <c r="D54" s="1166">
        <v>0.25</v>
      </c>
      <c r="E54" s="693"/>
      <c r="F54" s="690" t="e">
        <f t="shared" si="15"/>
        <v>#DIV/0!</v>
      </c>
      <c r="G54" s="3351"/>
      <c r="H54" s="1106" t="str">
        <f>项目基本情况!B37</f>
        <v>一级</v>
      </c>
      <c r="I54" s="944">
        <f>SUMIF(修正!A45:A56,H54,修正!D45:D56)</f>
        <v>0.36</v>
      </c>
      <c r="J54" s="945"/>
      <c r="K54" s="1146"/>
      <c r="L54" s="943"/>
      <c r="M54" s="943"/>
      <c r="N54" s="943"/>
      <c r="O54" s="943"/>
    </row>
    <row r="55" spans="1:17" s="691" customFormat="1">
      <c r="A55" s="692" t="s">
        <v>2770</v>
      </c>
      <c r="B55" s="262" t="e">
        <f t="shared" si="17"/>
        <v>#DIV/0!</v>
      </c>
      <c r="C55" s="200">
        <f t="shared" si="16"/>
        <v>0.3</v>
      </c>
      <c r="D55" s="1166">
        <v>0.25</v>
      </c>
      <c r="E55" s="693"/>
      <c r="F55" s="690" t="e">
        <f t="shared" si="15"/>
        <v>#DIV/0!</v>
      </c>
      <c r="G55" s="3351"/>
      <c r="H55" s="1106" t="str">
        <f>项目基本情况!B37</f>
        <v>一级</v>
      </c>
      <c r="I55" s="944">
        <f>SUMIF(修正!A45:A56,H55,修正!E45:E56)</f>
        <v>0.3</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09"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0.25</v>
      </c>
      <c r="D59" s="1166">
        <v>0.25</v>
      </c>
      <c r="E59" s="261">
        <f>'数据-汇总表'!E14</f>
        <v>0</v>
      </c>
      <c r="F59" s="690" t="e">
        <f t="shared" si="15"/>
        <v>#DIV/0!</v>
      </c>
      <c r="G59" s="2709" t="s">
        <v>2767</v>
      </c>
      <c r="H59" s="1106" t="str">
        <f>项目基本情况!B37</f>
        <v>一级</v>
      </c>
      <c r="I59" s="944">
        <f>SUMIF(修正!A45:A56,H59,修正!H45:H56)</f>
        <v>0.25</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10"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15635.97</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11" t="s">
        <v>2780</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2800</v>
      </c>
      <c r="B66" s="332" t="str">
        <f>"北京市平均增长率"&amp;TEXT(基准地价修正!P24,"0.00%")</f>
        <v>北京市平均增长率1.24%</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2"/>
      <c r="L1" s="2718" t="s">
        <v>2804</v>
      </c>
      <c r="M1" s="1082">
        <f>SUMPRODUCT((区片价!B5:B9=I2)*(区片价!C3:F3=E2)*(区片价!C5:F9))</f>
        <v>0</v>
      </c>
      <c r="N1" s="1085">
        <f>SUMPRODUCT((因素修正幅度!B5:B9=I2)*(因素修正幅度!C3:F3=E2)*(因素修正幅度!C5:F9))</f>
        <v>0</v>
      </c>
      <c r="O1" s="2719"/>
      <c r="P1" s="2719"/>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2"/>
      <c r="L2" s="2726"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1" t="s">
        <v>2817</v>
      </c>
      <c r="D3" s="2722" t="s">
        <v>2818</v>
      </c>
      <c r="E3" s="2727"/>
      <c r="F3" s="2728" t="s">
        <v>2819</v>
      </c>
      <c r="G3" s="915">
        <f>IF(F3="宗地容积率",'数据-汇总表'!I4,IF(F3="估价对象容积率",'数据-汇总表'!I6,'数据-汇总表'!I7))</f>
        <v>2.5</v>
      </c>
      <c r="H3" s="198" t="s">
        <v>2820</v>
      </c>
      <c r="I3" s="946"/>
      <c r="J3" s="2725" t="s">
        <v>2821</v>
      </c>
      <c r="K3" s="1372"/>
      <c r="L3" s="2726"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59"/>
      <c r="B4" s="3360"/>
      <c r="C4" s="3360"/>
      <c r="D4" s="3361"/>
      <c r="E4" s="3361"/>
      <c r="F4" s="3361"/>
      <c r="G4" s="3361"/>
      <c r="H4" s="3361"/>
      <c r="I4" s="3361"/>
      <c r="J4" s="3362"/>
      <c r="K4" s="1372"/>
      <c r="L4" s="2726"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2824</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2826</v>
      </c>
      <c r="B6" s="2740" t="s">
        <v>2827</v>
      </c>
      <c r="C6" s="917">
        <f>SUMIF(L1:L12,G2,M1:M12)</f>
        <v>0</v>
      </c>
      <c r="D6" s="2741" t="s">
        <v>2828</v>
      </c>
      <c r="E6" s="2742"/>
      <c r="F6" s="2742"/>
      <c r="G6" s="2743"/>
      <c r="H6" s="2743"/>
      <c r="I6" s="2743"/>
      <c r="J6" s="2744"/>
      <c r="K6" s="1844"/>
      <c r="L6" s="2726"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363" t="str">
        <f>IF(E2="商业",IF(C8="不临58条商业街","",2),"")</f>
        <v/>
      </c>
      <c r="B7" s="2745" t="s">
        <v>2830</v>
      </c>
      <c r="C7" s="918" t="e">
        <f>IF(C8="不临58条商业街",1,ROUND(1+(1.6*E8+1.2*E9+0.8*E10+0.4*E11)*C9,4))</f>
        <v>#DIV/0!</v>
      </c>
      <c r="D7" s="2746" t="s">
        <v>2831</v>
      </c>
      <c r="E7" s="947"/>
      <c r="F7" s="2747"/>
      <c r="G7" s="2748"/>
      <c r="H7" s="2748"/>
      <c r="I7" s="2748"/>
      <c r="J7" s="2749"/>
      <c r="K7" s="1844"/>
      <c r="L7" s="2726"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2.5</v>
      </c>
      <c r="AA7" s="1608"/>
      <c r="AB7" s="1608"/>
      <c r="AC7" s="1609"/>
      <c r="AD7" s="1610"/>
      <c r="AE7" s="1610"/>
      <c r="AF7" s="1610"/>
      <c r="AG7" s="1610"/>
      <c r="AH7" s="1610"/>
      <c r="AI7" s="1610"/>
      <c r="AJ7" s="1611"/>
    </row>
    <row r="8" spans="1:36" ht="15">
      <c r="A8" s="3364"/>
      <c r="B8" s="198" t="s">
        <v>2835</v>
      </c>
      <c r="C8" s="2750"/>
      <c r="D8" s="919" t="s">
        <v>139</v>
      </c>
      <c r="E8" s="920" t="e">
        <f>ROUND(C11/E7,4)</f>
        <v>#DIV/0!</v>
      </c>
      <c r="F8" s="2751" t="s">
        <v>2836</v>
      </c>
      <c r="G8" s="2752"/>
      <c r="H8" s="2752"/>
      <c r="I8" s="2752"/>
      <c r="J8" s="2753"/>
      <c r="K8" s="1372"/>
      <c r="L8" s="2726"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56" t="s">
        <v>2838</v>
      </c>
      <c r="X8" s="3357"/>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364"/>
      <c r="B9" s="198" t="s">
        <v>2851</v>
      </c>
      <c r="C9" s="921">
        <f>SUMIF(修正!C59:C119,C8,修正!E59:E119)</f>
        <v>0</v>
      </c>
      <c r="D9" s="200" t="s">
        <v>140</v>
      </c>
      <c r="E9" s="200" t="e">
        <f>ROUND(C11/E7,4)</f>
        <v>#DIV/0!</v>
      </c>
      <c r="F9" s="2751" t="s">
        <v>2852</v>
      </c>
      <c r="G9" s="2752"/>
      <c r="H9" s="2752"/>
      <c r="I9" s="2752"/>
      <c r="J9" s="2753"/>
      <c r="K9" s="1372"/>
      <c r="L9" s="2726"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58"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64"/>
      <c r="B10" s="198" t="s">
        <v>2856</v>
      </c>
      <c r="C10" s="200">
        <f>SUMIF(修正!C59:C119,C8,修正!F59:F119)</f>
        <v>0</v>
      </c>
      <c r="D10" s="200" t="s">
        <v>141</v>
      </c>
      <c r="E10" s="200" t="e">
        <f>ROUND(C11/E7,4)</f>
        <v>#DIV/0!</v>
      </c>
      <c r="F10" s="2751" t="s">
        <v>2857</v>
      </c>
      <c r="G10" s="2752"/>
      <c r="H10" s="2752"/>
      <c r="I10" s="2752"/>
      <c r="J10" s="2753"/>
      <c r="K10" s="1372"/>
      <c r="L10" s="2726"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5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64"/>
      <c r="B11" s="2754" t="s">
        <v>2859</v>
      </c>
      <c r="C11" s="922">
        <f>C10/4</f>
        <v>0</v>
      </c>
      <c r="D11" s="922" t="s">
        <v>142</v>
      </c>
      <c r="E11" s="922" t="e">
        <f>ROUND(C11/E7,4)</f>
        <v>#DIV/0!</v>
      </c>
      <c r="F11" s="2755" t="s">
        <v>2860</v>
      </c>
      <c r="G11" s="2756"/>
      <c r="H11" s="2756"/>
      <c r="I11" s="2756"/>
      <c r="J11" s="2757"/>
      <c r="K11" s="1372"/>
      <c r="L11" s="2726"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58" t="s">
        <v>2862</v>
      </c>
      <c r="X11" s="1616" t="s">
        <v>2863</v>
      </c>
      <c r="Y11" s="1617">
        <f>$G$3</f>
        <v>2.5</v>
      </c>
      <c r="Z11" s="1617">
        <f t="shared" ref="Z11:AJ11" si="3">$G$3</f>
        <v>2.5</v>
      </c>
      <c r="AA11" s="1617">
        <f t="shared" si="3"/>
        <v>2.5</v>
      </c>
      <c r="AB11" s="1617">
        <f t="shared" si="3"/>
        <v>2.5</v>
      </c>
      <c r="AC11" s="1617">
        <f t="shared" si="3"/>
        <v>2.5</v>
      </c>
      <c r="AD11" s="1617">
        <f t="shared" si="3"/>
        <v>2.5</v>
      </c>
      <c r="AE11" s="1617">
        <f t="shared" si="3"/>
        <v>2.5</v>
      </c>
      <c r="AF11" s="1617">
        <f t="shared" si="3"/>
        <v>2.5</v>
      </c>
      <c r="AG11" s="1617">
        <f t="shared" si="3"/>
        <v>2.5</v>
      </c>
      <c r="AH11" s="1617">
        <f t="shared" si="3"/>
        <v>2.5</v>
      </c>
      <c r="AI11" s="1617">
        <f t="shared" si="3"/>
        <v>2.5</v>
      </c>
      <c r="AJ11" s="1617">
        <f t="shared" si="3"/>
        <v>2.5</v>
      </c>
    </row>
    <row r="12" spans="1:36" ht="25.5" thickBot="1">
      <c r="A12" s="3363" t="s">
        <v>2864</v>
      </c>
      <c r="B12" s="2758" t="s">
        <v>2865</v>
      </c>
      <c r="C12" s="918">
        <f>ROUND(C15*D15*E15*F15*G15*H15*I15*J15,4)</f>
        <v>1</v>
      </c>
      <c r="D12" s="2759" t="s">
        <v>2866</v>
      </c>
      <c r="E12" s="2760"/>
      <c r="F12" s="2760"/>
      <c r="G12" s="2761"/>
      <c r="H12" s="2761"/>
      <c r="I12" s="2761"/>
      <c r="J12" s="2762"/>
      <c r="K12" s="1372"/>
      <c r="L12" s="2763"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58"/>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65"/>
      <c r="B13" s="2764" t="s">
        <v>2869</v>
      </c>
      <c r="C13" s="2765" t="s">
        <v>2870</v>
      </c>
      <c r="D13" s="1810" t="s">
        <v>2871</v>
      </c>
      <c r="E13" s="1810" t="s">
        <v>2872</v>
      </c>
      <c r="F13" s="30" t="s">
        <v>2873</v>
      </c>
      <c r="G13" s="2766" t="s">
        <v>2874</v>
      </c>
      <c r="H13" s="2766" t="s">
        <v>2874</v>
      </c>
      <c r="I13" s="2766" t="s">
        <v>2874</v>
      </c>
      <c r="J13" s="2767" t="s">
        <v>2874</v>
      </c>
      <c r="K13" s="1372"/>
      <c r="L13" s="1372"/>
      <c r="M13" s="1372"/>
      <c r="N13" s="1372"/>
      <c r="O13" s="1372"/>
      <c r="P13" s="1372"/>
      <c r="Q13" s="1372"/>
      <c r="R13" s="1604">
        <v>12</v>
      </c>
      <c r="S13" s="1605"/>
      <c r="T13" s="1604" t="e">
        <f t="shared" si="0"/>
        <v>#DIV/0!</v>
      </c>
      <c r="U13" s="1605"/>
      <c r="V13" s="1604" t="e">
        <f t="shared" si="1"/>
        <v>#DIV/0!</v>
      </c>
      <c r="W13" s="3358"/>
      <c r="X13" s="1618"/>
      <c r="Y13" s="1615">
        <f>(-0.163*(Y12^2)-0.59*Y12+7617)*(10^(-4))/Y11</f>
        <v>0.30468000000000001</v>
      </c>
      <c r="Z13" s="1615">
        <f t="shared" ref="Z13:AJ13" si="5">(-0.163*(Z12^2)-0.59*Z12+7617)*(10^(-4))/Z11</f>
        <v>0.30468000000000001</v>
      </c>
      <c r="AA13" s="1615">
        <f t="shared" si="5"/>
        <v>0.30468000000000001</v>
      </c>
      <c r="AB13" s="1615">
        <f t="shared" si="5"/>
        <v>0.30468000000000001</v>
      </c>
      <c r="AC13" s="1615">
        <f t="shared" si="5"/>
        <v>0.30468000000000001</v>
      </c>
      <c r="AD13" s="1615">
        <f t="shared" si="5"/>
        <v>0.30468000000000001</v>
      </c>
      <c r="AE13" s="1615">
        <f t="shared" si="5"/>
        <v>0.30468000000000001</v>
      </c>
      <c r="AF13" s="1615">
        <f t="shared" si="5"/>
        <v>0.30468000000000001</v>
      </c>
      <c r="AG13" s="1615">
        <f t="shared" si="5"/>
        <v>0.30468000000000001</v>
      </c>
      <c r="AH13" s="1615">
        <f t="shared" si="5"/>
        <v>0.30468000000000001</v>
      </c>
      <c r="AI13" s="1615">
        <f t="shared" si="5"/>
        <v>0.30468000000000001</v>
      </c>
      <c r="AJ13" s="1615">
        <f t="shared" si="5"/>
        <v>0.30468000000000001</v>
      </c>
    </row>
    <row r="14" spans="1:36" ht="15">
      <c r="A14" s="3365"/>
      <c r="B14" s="2768"/>
      <c r="C14" s="2769"/>
      <c r="D14" s="2770"/>
      <c r="E14" s="2770"/>
      <c r="F14" s="2771"/>
      <c r="G14" s="2772" t="s">
        <v>2875</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66"/>
      <c r="B15" s="2776" t="s">
        <v>2876</v>
      </c>
      <c r="C15" s="229">
        <f>IF(C14="有",1.1,1)</f>
        <v>1</v>
      </c>
      <c r="D15" s="229">
        <f>IF(D14="有",1.1,1)</f>
        <v>1</v>
      </c>
      <c r="E15" s="229">
        <f>IF(E14="有",1.1,1)</f>
        <v>1</v>
      </c>
      <c r="F15" s="229">
        <f>IF(F14="500米范围内",1.2,IF(F14="500-1000米",1.1,1))</f>
        <v>1</v>
      </c>
      <c r="G15" s="948">
        <v>1</v>
      </c>
      <c r="H15" s="948">
        <v>1</v>
      </c>
      <c r="I15" s="948">
        <v>1</v>
      </c>
      <c r="J15" s="949">
        <v>1</v>
      </c>
      <c r="K15" s="1372"/>
      <c r="L15" s="2777" t="s">
        <v>2812</v>
      </c>
      <c r="M15" s="919" t="s">
        <v>2877</v>
      </c>
      <c r="N15" s="919" t="s">
        <v>2878</v>
      </c>
      <c r="O15" s="919" t="s">
        <v>2879</v>
      </c>
      <c r="P15" s="2778"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63" t="s">
        <v>2881</v>
      </c>
      <c r="B16" s="2745" t="s">
        <v>2882</v>
      </c>
      <c r="C16" s="1803" t="e">
        <f>ROUND(SUM(G17:J17)/C17,0)</f>
        <v>#DIV/0!</v>
      </c>
      <c r="D16" s="2779" t="s">
        <v>2883</v>
      </c>
      <c r="E16" s="2780"/>
      <c r="F16" s="2781"/>
      <c r="G16" s="2782"/>
      <c r="H16" s="2782"/>
      <c r="I16" s="2782"/>
      <c r="J16" s="2783"/>
      <c r="K16" s="1372"/>
      <c r="L16" s="2784" t="s">
        <v>2884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64"/>
      <c r="B17" s="2785" t="s">
        <v>2885</v>
      </c>
      <c r="C17" s="923">
        <f>SUMPRODUCT((修正!A2:A5=E2)*(修正!B1:M1=G2)*(修正!B2:M5))</f>
        <v>0</v>
      </c>
      <c r="D17" s="2786"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2889</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2890</v>
      </c>
      <c r="C19" s="926" t="e">
        <f>ROUND(IF(H19="按公示增长率计算",SUMPRODUCT((地价!A3:A22=YEAR(G19)&amp;"-"&amp;ROUNDUP(MONTH(G19)/3,0))*(地价!X2:AB2=E2)*(地价!X3:AB22)),IF(H19="地价指数",M20/M19,(1+I19)^O19)),4)</f>
        <v>#DIV/0!</v>
      </c>
      <c r="D19" s="2797" t="s">
        <v>2891</v>
      </c>
      <c r="E19" s="927">
        <v>41640</v>
      </c>
      <c r="F19" s="2797" t="s">
        <v>2892</v>
      </c>
      <c r="G19" s="928">
        <f>'数据-取费表'!B2</f>
        <v>43209</v>
      </c>
      <c r="H19" s="2798" t="s">
        <v>2893</v>
      </c>
      <c r="I19" s="929" t="str">
        <f>IF(H19="季度增幅（自定义）",SUMIF(N21:N24,E2,O21:O24),"")</f>
        <v/>
      </c>
      <c r="J19" s="2795"/>
      <c r="K19" s="1379"/>
      <c r="L19" s="2799" t="s">
        <v>2894</v>
      </c>
      <c r="M19" s="1736">
        <f>ROUND(SUMIF(地价!B2:F2,E2,地价!B22:F22),0)</f>
        <v>0</v>
      </c>
      <c r="N19" s="2800"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2896</v>
      </c>
      <c r="C20" s="931" t="e">
        <f>ROUND(POWER(1+G20,J20-I20)*(POWER(1+G20,I20)-1)/(POWER(1+G20,J20)-1),4)</f>
        <v>#DIV/0!</v>
      </c>
      <c r="D20" s="2806" t="s">
        <v>2897</v>
      </c>
      <c r="E20" s="1770">
        <f ca="1">存贷款利率!D4/100</f>
        <v>4.3499999999999997E-2</v>
      </c>
      <c r="F20" s="2806" t="s">
        <v>2888</v>
      </c>
      <c r="G20" s="936">
        <f>SUMIF(M15:P15,E2,M17:P17)</f>
        <v>0</v>
      </c>
      <c r="H20" s="2806" t="s">
        <v>2898</v>
      </c>
      <c r="I20" s="937" t="e">
        <f>SUMIF('数据-取费表'!C6:C15,E2,'数据-取费表'!F6:F15)/COUNTIF('数据-取费表'!C6:C15,E2)</f>
        <v>#DIV/0!</v>
      </c>
      <c r="J20" s="938">
        <f>IF(E2="住宅",70,IF(E2="商业",40,50))</f>
        <v>50</v>
      </c>
      <c r="K20" s="1379"/>
      <c r="L20" s="2807" t="s">
        <v>2899</v>
      </c>
      <c r="M20" s="1737">
        <f>ROUND(SUMPRODUCT((地价!A4:A22=YEAR(G19)&amp;"-"&amp;ROUNDUP(MONTH(G19)/3,0))*(地价!B2:F2=E2)*(地价!B4:F22)),0)</f>
        <v>0</v>
      </c>
      <c r="N20" s="2808" t="s">
        <v>2900</v>
      </c>
      <c r="O20" s="2809" t="s">
        <v>2901</v>
      </c>
      <c r="P20" s="2810" t="s">
        <v>2902</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2903</v>
      </c>
      <c r="C21" s="939">
        <f>IF(B21="容积率修正",IF(G3&lt;=10,D22,J22),C23)</f>
        <v>0</v>
      </c>
      <c r="D21" s="2813"/>
      <c r="E21" s="2813"/>
      <c r="F21" s="2813"/>
      <c r="G21" s="2813"/>
      <c r="H21" s="2813"/>
      <c r="I21" s="2813"/>
      <c r="J21" s="2814"/>
      <c r="K21" s="1379"/>
      <c r="N21" s="2815" t="s">
        <v>2904</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2905</v>
      </c>
      <c r="B22" s="2816" t="s">
        <v>2906</v>
      </c>
      <c r="C22" s="1812" t="s">
        <v>2907</v>
      </c>
      <c r="D22" s="1812" t="b">
        <f>IF(E22=G22,F22,IF(G3&lt;=10,ROUND(F22+(H22-F22)*(G3-E22)/(G22-E22),4),"——"))</f>
        <v>0</v>
      </c>
      <c r="E22" s="915">
        <f>ROUNDDOWN(G3,1)</f>
        <v>2.5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2908</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4" t="s">
        <v>2909</v>
      </c>
      <c r="B23" s="2817" t="s">
        <v>2910</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2911</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2912</v>
      </c>
      <c r="C24" s="926">
        <f>SUMIF(A45:A88,E2,B45:B88)</f>
        <v>0</v>
      </c>
      <c r="D24" s="2793"/>
      <c r="E24" s="2823"/>
      <c r="F24" s="2823"/>
      <c r="G24" s="2823"/>
      <c r="H24" s="2823"/>
      <c r="I24" s="2823"/>
      <c r="J24" s="2824"/>
      <c r="K24" s="1379"/>
      <c r="N24" s="2825" t="s">
        <v>2913</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2914</v>
      </c>
      <c r="C25" s="932"/>
      <c r="D25" s="2748"/>
      <c r="E25" s="2748"/>
      <c r="F25" s="2827"/>
      <c r="G25" s="2748"/>
      <c r="H25" s="2748"/>
      <c r="I25" s="2748"/>
      <c r="J25" s="2749"/>
      <c r="K25" s="1372"/>
      <c r="N25" s="2828" t="s">
        <v>2915</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9"/>
      <c r="B26" s="2816" t="s">
        <v>2916</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2917</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2918</v>
      </c>
      <c r="C28" s="2840" t="s">
        <v>2919</v>
      </c>
      <c r="D28" s="2840" t="s">
        <v>2920</v>
      </c>
      <c r="E28" s="2841" t="s">
        <v>2921</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2922</v>
      </c>
      <c r="C29" s="206" t="e">
        <f>ROUND(C5*C18*C19*C20*C21*C24,0)</f>
        <v>#DIV/0!</v>
      </c>
      <c r="D29" s="2845"/>
      <c r="E29" s="944" t="e">
        <f>ROUND(C29*D29/10000,0)</f>
        <v>#DIV/0!</v>
      </c>
      <c r="F29" s="2846" t="s">
        <v>2923</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2924</v>
      </c>
      <c r="C30" s="229" t="e">
        <f>ROUND(IF(E2="工业",C29*M39,C29*M38),0)</f>
        <v>#DIV/0!</v>
      </c>
      <c r="D30" s="2851"/>
      <c r="E30" s="944" t="e">
        <f>ROUND(C30*D30/10000,0)</f>
        <v>#DIV/0!</v>
      </c>
      <c r="F30" s="2852" t="s">
        <v>2925</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373" t="s">
        <v>2930</v>
      </c>
      <c r="B33" s="2861" t="s">
        <v>2931</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74"/>
      <c r="B34" s="2765" t="s">
        <v>2932</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74"/>
      <c r="B35" s="2765" t="s">
        <v>2933</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375"/>
      <c r="B36" s="2765" t="s">
        <v>2934</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2935</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2936</v>
      </c>
      <c r="M37" s="2865"/>
      <c r="N37" s="1372"/>
      <c r="O37" s="1372"/>
      <c r="P37" s="1372"/>
      <c r="Q37" s="1372"/>
      <c r="R37" s="1372"/>
      <c r="S37" s="1372"/>
      <c r="T37" s="1372"/>
      <c r="U37" s="1372"/>
      <c r="V37" s="1372"/>
      <c r="W37" s="1372"/>
      <c r="X37" s="1372"/>
      <c r="Y37" s="1372"/>
      <c r="Z37" s="1373"/>
    </row>
    <row r="38" spans="1:37">
      <c r="A38" s="2863"/>
      <c r="B38" s="2765" t="s">
        <v>2937</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89" t="s">
        <v>2938</v>
      </c>
      <c r="M38" s="2866">
        <v>0.25</v>
      </c>
      <c r="N38" s="1372"/>
      <c r="O38" s="1372"/>
      <c r="P38" s="1372"/>
      <c r="Q38" s="1372"/>
      <c r="R38" s="1372"/>
      <c r="S38" s="1372"/>
      <c r="T38" s="1372"/>
      <c r="U38" s="1372"/>
      <c r="V38" s="1372"/>
      <c r="W38" s="1372"/>
      <c r="X38" s="1372"/>
      <c r="Y38" s="1372"/>
      <c r="Z38" s="1373"/>
    </row>
    <row r="39" spans="1:37" ht="13.5" thickBot="1">
      <c r="A39" s="2849"/>
      <c r="B39" s="2867" t="s">
        <v>2939</v>
      </c>
      <c r="C39" s="229" t="e">
        <f>ROUND(C5*C19*C20*C24*F39,0)</f>
        <v>#DIV/0!</v>
      </c>
      <c r="D39" s="2851"/>
      <c r="E39" s="229" t="e">
        <f t="shared" si="7"/>
        <v>#DIV/0!</v>
      </c>
      <c r="F39" s="934">
        <f>SUMIF(修正!A45:A56,G2,修正!H45:H56)</f>
        <v>0</v>
      </c>
      <c r="G39" s="229" t="e">
        <f t="shared" si="6"/>
        <v>#DIV/0!</v>
      </c>
      <c r="H39" s="229">
        <f t="shared" si="8"/>
        <v>0</v>
      </c>
      <c r="I39" s="229" t="e">
        <f t="shared" si="9"/>
        <v>#DIV/0!</v>
      </c>
      <c r="J39" s="2868"/>
      <c r="K39" s="1372"/>
      <c r="L39" s="2869" t="s">
        <v>2880</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2940</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2941</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2942</v>
      </c>
      <c r="B47" s="1811" t="s">
        <v>2943</v>
      </c>
      <c r="C47" s="1811" t="s">
        <v>2944</v>
      </c>
      <c r="D47" s="1811" t="s">
        <v>2945</v>
      </c>
      <c r="E47" s="818" t="s">
        <v>2946</v>
      </c>
      <c r="F47" s="2879" t="s">
        <v>2947</v>
      </c>
      <c r="G47" s="1811" t="s">
        <v>754</v>
      </c>
      <c r="H47" s="2880"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8" t="s">
        <v>2950</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2951</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2952</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2953</v>
      </c>
      <c r="B51" s="2883" t="s">
        <v>2954</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2955</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2956</v>
      </c>
      <c r="B53" s="2884" t="s">
        <v>2957</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2958</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2959</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2960</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2961</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2942</v>
      </c>
      <c r="B58" s="1811"/>
      <c r="C58" s="1811" t="s">
        <v>2944</v>
      </c>
      <c r="D58" s="1811" t="s">
        <v>2945</v>
      </c>
      <c r="E58" s="818" t="s">
        <v>2946</v>
      </c>
      <c r="F58" s="2879" t="s">
        <v>2962</v>
      </c>
      <c r="G58" s="1811" t="s">
        <v>754</v>
      </c>
      <c r="H58" s="2880"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8" t="s">
        <v>2963</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2951</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2952</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2953</v>
      </c>
      <c r="B62" s="2883" t="s">
        <v>2954</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2955</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2956</v>
      </c>
      <c r="B64" s="2884" t="s">
        <v>2957</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2958</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2959</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2960</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2964</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2942</v>
      </c>
      <c r="B69" s="1811"/>
      <c r="C69" s="1811" t="s">
        <v>2944</v>
      </c>
      <c r="D69" s="1811" t="s">
        <v>2945</v>
      </c>
      <c r="E69" s="818" t="s">
        <v>2946</v>
      </c>
      <c r="F69" s="2879" t="s">
        <v>2962</v>
      </c>
      <c r="G69" s="1811" t="s">
        <v>754</v>
      </c>
      <c r="H69" s="2880"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8" t="s">
        <v>2965</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2951</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2952</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2966</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2958</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2959</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2956</v>
      </c>
      <c r="B76" s="2884" t="s">
        <v>2957</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2960</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2967</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2968</v>
      </c>
      <c r="B79" s="2875">
        <f>1+E81</f>
        <v>1</v>
      </c>
      <c r="C79" s="813"/>
      <c r="D79" s="813"/>
      <c r="E79" s="814"/>
      <c r="F79" s="2877"/>
      <c r="G79" s="6"/>
      <c r="H79" s="6"/>
      <c r="I79" s="6"/>
      <c r="J79" s="7"/>
      <c r="K79" s="7"/>
      <c r="L79" s="7"/>
      <c r="M79" s="7"/>
      <c r="N79" s="7"/>
      <c r="Z79" s="2720"/>
      <c r="AA79" s="2796"/>
      <c r="AG79" s="1374"/>
      <c r="AK79" s="2796"/>
    </row>
    <row r="80" spans="1:37" ht="24.75">
      <c r="A80" s="2878" t="s">
        <v>2942</v>
      </c>
      <c r="B80" s="1811"/>
      <c r="C80" s="1811" t="s">
        <v>2944</v>
      </c>
      <c r="D80" s="1811" t="s">
        <v>2945</v>
      </c>
      <c r="E80" s="818" t="s">
        <v>2946</v>
      </c>
      <c r="F80" s="2879" t="s">
        <v>2962</v>
      </c>
      <c r="G80" s="1811" t="s">
        <v>754</v>
      </c>
      <c r="H80" s="2880" t="s">
        <v>2948</v>
      </c>
      <c r="I80" s="1811" t="s">
        <v>2949</v>
      </c>
      <c r="J80" s="603" t="s">
        <v>2595</v>
      </c>
      <c r="K80" s="603" t="s">
        <v>2596</v>
      </c>
      <c r="L80" s="603" t="s">
        <v>2597</v>
      </c>
      <c r="M80" s="603" t="s">
        <v>2598</v>
      </c>
      <c r="N80" s="603" t="s">
        <v>2599</v>
      </c>
      <c r="Z80" s="2720"/>
      <c r="AA80" s="2796"/>
      <c r="AG80" s="1374"/>
      <c r="AK80" s="2796"/>
    </row>
    <row r="81" spans="1:37" ht="38.25">
      <c r="A81" s="2878" t="s">
        <v>2969</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2951</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2952</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2966</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2958</v>
      </c>
      <c r="B85" s="1727"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2959</v>
      </c>
      <c r="B86" s="1727"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2956</v>
      </c>
      <c r="B87" s="2884" t="s">
        <v>2970</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2971</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367" t="s">
        <v>2972</v>
      </c>
      <c r="B90" s="3367"/>
      <c r="C90" s="3367"/>
      <c r="D90" s="3367"/>
      <c r="E90" s="3367"/>
      <c r="F90" s="3367"/>
      <c r="G90" s="3367"/>
      <c r="H90" s="3367"/>
      <c r="I90" s="3367"/>
      <c r="J90" s="3367"/>
      <c r="K90" s="2892"/>
      <c r="L90" s="2892"/>
      <c r="M90" s="2892"/>
      <c r="N90" s="2892"/>
    </row>
    <row r="91" spans="1:37">
      <c r="A91" s="3369" t="s">
        <v>2973</v>
      </c>
      <c r="B91" s="3369" t="s">
        <v>2974</v>
      </c>
      <c r="C91" s="2846" t="s">
        <v>2975</v>
      </c>
      <c r="D91" s="2847"/>
      <c r="E91" s="2847"/>
      <c r="F91" s="2847"/>
      <c r="G91" s="2847"/>
      <c r="H91" s="2847"/>
      <c r="I91" s="2847"/>
      <c r="J91" s="2893"/>
      <c r="K91" s="2894"/>
      <c r="L91" s="2894"/>
      <c r="M91" s="2894"/>
      <c r="N91" s="2894"/>
    </row>
    <row r="92" spans="1:37">
      <c r="A92" s="3369"/>
      <c r="B92" s="3369"/>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70"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7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7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7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7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7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71"/>
      <c r="B99" s="2895" t="s">
        <v>2855</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7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70" t="s">
        <v>2977</v>
      </c>
      <c r="B101" s="2899" t="s">
        <v>2978</v>
      </c>
      <c r="C101" s="2900">
        <f>$G$3</f>
        <v>2.5</v>
      </c>
      <c r="D101" s="2900">
        <f t="shared" ref="D101:N101" si="31">$G$3</f>
        <v>2.5</v>
      </c>
      <c r="E101" s="2900">
        <f t="shared" si="31"/>
        <v>2.5</v>
      </c>
      <c r="F101" s="2900">
        <f t="shared" si="31"/>
        <v>2.5</v>
      </c>
      <c r="G101" s="2900">
        <f t="shared" si="31"/>
        <v>2.5</v>
      </c>
      <c r="H101" s="2900">
        <f t="shared" si="31"/>
        <v>2.5</v>
      </c>
      <c r="I101" s="2900">
        <f t="shared" si="31"/>
        <v>2.5</v>
      </c>
      <c r="J101" s="2900">
        <f t="shared" si="31"/>
        <v>2.5</v>
      </c>
      <c r="K101" s="2900">
        <f t="shared" si="31"/>
        <v>2.5</v>
      </c>
      <c r="L101" s="2900">
        <f t="shared" si="31"/>
        <v>2.5</v>
      </c>
      <c r="M101" s="2900">
        <f t="shared" si="31"/>
        <v>2.5</v>
      </c>
      <c r="N101" s="2900">
        <f t="shared" si="31"/>
        <v>2.5</v>
      </c>
    </row>
    <row r="102" spans="1:14">
      <c r="A102" s="3371"/>
      <c r="B102" s="2895">
        <v>1</v>
      </c>
      <c r="C102" s="2896">
        <f>1.9362/C101</f>
        <v>0.77447999999999995</v>
      </c>
      <c r="D102" s="2896">
        <f>1.9362/D101</f>
        <v>0.77447999999999995</v>
      </c>
      <c r="E102" s="2896">
        <f>1.8629/E101</f>
        <v>0.74516000000000004</v>
      </c>
      <c r="F102" s="2896">
        <f>1.8629/F101</f>
        <v>0.74516000000000004</v>
      </c>
      <c r="G102" s="2896">
        <f>1.8629/G101</f>
        <v>0.74516000000000004</v>
      </c>
      <c r="H102" s="2896">
        <f>1.8629/H101</f>
        <v>0.74516000000000004</v>
      </c>
      <c r="I102" s="2896">
        <f>1.8629/I101</f>
        <v>0.74516000000000004</v>
      </c>
      <c r="J102" s="2896">
        <f>1.942/J101</f>
        <v>0.77679999999999993</v>
      </c>
      <c r="K102" s="2896">
        <f>1.942/K101</f>
        <v>0.77679999999999993</v>
      </c>
      <c r="L102" s="2896">
        <f>1.942/L101</f>
        <v>0.77679999999999993</v>
      </c>
      <c r="M102" s="2896">
        <f>1.942/M101</f>
        <v>0.77679999999999993</v>
      </c>
      <c r="N102" s="2896">
        <f>1.942/N101</f>
        <v>0.77679999999999993</v>
      </c>
    </row>
    <row r="103" spans="1:14">
      <c r="A103" s="3371"/>
      <c r="B103" s="2895">
        <v>2</v>
      </c>
      <c r="C103" s="2896">
        <f>1.4198/C101</f>
        <v>0.56791999999999998</v>
      </c>
      <c r="D103" s="2896">
        <f>1.4198/D101</f>
        <v>0.56791999999999998</v>
      </c>
      <c r="E103" s="2896">
        <f>1.3372/E101</f>
        <v>0.53488000000000002</v>
      </c>
      <c r="F103" s="2896">
        <f>1.3372/F101</f>
        <v>0.53488000000000002</v>
      </c>
      <c r="G103" s="2896">
        <f>1.3372/G101</f>
        <v>0.53488000000000002</v>
      </c>
      <c r="H103" s="2896">
        <f>1.3372/H101</f>
        <v>0.53488000000000002</v>
      </c>
      <c r="I103" s="2896">
        <f>1.3372/I101</f>
        <v>0.53488000000000002</v>
      </c>
      <c r="J103" s="2896">
        <f>1.2799/J101</f>
        <v>0.51195999999999997</v>
      </c>
      <c r="K103" s="2896">
        <f>1.2799/K101</f>
        <v>0.51195999999999997</v>
      </c>
      <c r="L103" s="2896">
        <f>1.2799/L101</f>
        <v>0.51195999999999997</v>
      </c>
      <c r="M103" s="2896">
        <f>1.2799/M101</f>
        <v>0.51195999999999997</v>
      </c>
      <c r="N103" s="2896">
        <f>1.2799/N101</f>
        <v>0.51195999999999997</v>
      </c>
    </row>
    <row r="104" spans="1:14">
      <c r="A104" s="3371"/>
      <c r="B104" s="2895">
        <v>3</v>
      </c>
      <c r="C104" s="2896">
        <f>1.1594/C101</f>
        <v>0.46376000000000001</v>
      </c>
      <c r="D104" s="2896">
        <f>1.1594/D101</f>
        <v>0.46376000000000001</v>
      </c>
      <c r="E104" s="2896">
        <f>1.0788/E101</f>
        <v>0.43152000000000001</v>
      </c>
      <c r="F104" s="2896">
        <f>1.0788/F101</f>
        <v>0.43152000000000001</v>
      </c>
      <c r="G104" s="2896">
        <f>1.0788/G101</f>
        <v>0.43152000000000001</v>
      </c>
      <c r="H104" s="2896">
        <f>1.0788/H101</f>
        <v>0.43152000000000001</v>
      </c>
      <c r="I104" s="2896">
        <f>1.0788/I101</f>
        <v>0.43152000000000001</v>
      </c>
      <c r="J104" s="2896">
        <f>1.0072/J101</f>
        <v>0.40288000000000002</v>
      </c>
      <c r="K104" s="2896">
        <f>1.0072/K101</f>
        <v>0.40288000000000002</v>
      </c>
      <c r="L104" s="2896">
        <f>1.0072/L101</f>
        <v>0.40288000000000002</v>
      </c>
      <c r="M104" s="2896">
        <f>1.0072/M101</f>
        <v>0.40288000000000002</v>
      </c>
      <c r="N104" s="2896">
        <f>1.0072/N101</f>
        <v>0.40288000000000002</v>
      </c>
    </row>
    <row r="105" spans="1:14">
      <c r="A105" s="3371"/>
      <c r="B105" s="2895">
        <v>4</v>
      </c>
      <c r="C105" s="2896">
        <f>0.9622/C101</f>
        <v>0.38488</v>
      </c>
      <c r="D105" s="2896">
        <f>0.9622/D101</f>
        <v>0.38488</v>
      </c>
      <c r="E105" s="2896">
        <f>0.8656/E101</f>
        <v>0.34623999999999999</v>
      </c>
      <c r="F105" s="2896">
        <f>0.8656/F101</f>
        <v>0.34623999999999999</v>
      </c>
      <c r="G105" s="2896">
        <f>0.8656/G101</f>
        <v>0.34623999999999999</v>
      </c>
      <c r="H105" s="2896">
        <f>0.8656/H101</f>
        <v>0.34623999999999999</v>
      </c>
      <c r="I105" s="2896">
        <f>0.8656/I101</f>
        <v>0.34623999999999999</v>
      </c>
      <c r="J105" s="2896">
        <f>0.7525/J101</f>
        <v>0.30099999999999999</v>
      </c>
      <c r="K105" s="2896">
        <f>0.7525/K101</f>
        <v>0.30099999999999999</v>
      </c>
      <c r="L105" s="2896">
        <f>0.7525/L101</f>
        <v>0.30099999999999999</v>
      </c>
      <c r="M105" s="2896">
        <f>0.7525/M101</f>
        <v>0.30099999999999999</v>
      </c>
      <c r="N105" s="2896">
        <f>0.7525/N101</f>
        <v>0.30099999999999999</v>
      </c>
    </row>
    <row r="106" spans="1:14">
      <c r="A106" s="3371"/>
      <c r="B106" s="2895">
        <v>5</v>
      </c>
      <c r="C106" s="2896">
        <f>0.8417/C101</f>
        <v>0.33667999999999998</v>
      </c>
      <c r="D106" s="2896">
        <f>0.8417/D101</f>
        <v>0.33667999999999998</v>
      </c>
      <c r="E106" s="2896">
        <f>0.7371/E101</f>
        <v>0.29483999999999999</v>
      </c>
      <c r="F106" s="2896">
        <f>0.7371/F101</f>
        <v>0.29483999999999999</v>
      </c>
      <c r="G106" s="2896">
        <f>0.7371/G101</f>
        <v>0.29483999999999999</v>
      </c>
      <c r="H106" s="2896">
        <f>0.7371/H101</f>
        <v>0.29483999999999999</v>
      </c>
      <c r="I106" s="2896">
        <f>0.7371/I101</f>
        <v>0.29483999999999999</v>
      </c>
      <c r="J106" s="2896">
        <f>0.5659/J101</f>
        <v>0.22635999999999998</v>
      </c>
      <c r="K106" s="2896">
        <f>0.5659/K101</f>
        <v>0.22635999999999998</v>
      </c>
      <c r="L106" s="2896">
        <f>0.5659/L101</f>
        <v>0.22635999999999998</v>
      </c>
      <c r="M106" s="2896">
        <f>0.5659/M101</f>
        <v>0.22635999999999998</v>
      </c>
      <c r="N106" s="2896">
        <f>0.5659/N101</f>
        <v>0.22635999999999998</v>
      </c>
    </row>
    <row r="107" spans="1:14">
      <c r="A107" s="3371"/>
      <c r="B107" s="2895">
        <v>6</v>
      </c>
      <c r="C107" s="2896">
        <f>0.7608/C101</f>
        <v>0.30432000000000003</v>
      </c>
      <c r="D107" s="2896">
        <f>0.7608/D101</f>
        <v>0.30432000000000003</v>
      </c>
      <c r="E107" s="2896">
        <f>0.6482/E101</f>
        <v>0.25928000000000001</v>
      </c>
      <c r="F107" s="2896">
        <f>0.6482/F101</f>
        <v>0.25928000000000001</v>
      </c>
      <c r="G107" s="2896">
        <f>0.6482/G101</f>
        <v>0.25928000000000001</v>
      </c>
      <c r="H107" s="2896">
        <f>0.6482/H101</f>
        <v>0.25928000000000001</v>
      </c>
      <c r="I107" s="2896">
        <f>0.6482/I101</f>
        <v>0.25928000000000001</v>
      </c>
      <c r="J107" s="2896">
        <f>0.4525/J101</f>
        <v>0.18099999999999999</v>
      </c>
      <c r="K107" s="2896">
        <f>0.4525/K101</f>
        <v>0.18099999999999999</v>
      </c>
      <c r="L107" s="2896">
        <f>0.4525/L101</f>
        <v>0.18099999999999999</v>
      </c>
      <c r="M107" s="2896">
        <f>0.4525/M101</f>
        <v>0.18099999999999999</v>
      </c>
      <c r="N107" s="2896">
        <f>0.4525/N101</f>
        <v>0.18099999999999999</v>
      </c>
    </row>
    <row r="108" spans="1:14">
      <c r="A108" s="3371"/>
      <c r="B108" s="3225" t="s">
        <v>2979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72"/>
      <c r="B109" s="3226"/>
      <c r="C109" s="2898">
        <f>(-0.163*(C108^2)-0.59*C108+7617)*(10^(-4))/C101</f>
        <v>0.30468000000000001</v>
      </c>
      <c r="D109" s="2898">
        <f>(-0.163*(D108^2)-0.59*D108+7617)*(10^(-4))/D101</f>
        <v>0.30468000000000001</v>
      </c>
      <c r="E109" s="2898">
        <f>(-0.161*(E108^2)-7.509*E108+6533)*(10^(-4))/E101</f>
        <v>0.26132</v>
      </c>
      <c r="F109" s="2898">
        <f>(-0.161*(F108^2)-7.509*F108+6533)*(10^(-4))/F101</f>
        <v>0.26132</v>
      </c>
      <c r="G109" s="2898">
        <f>(-0.161*(G108^2)-7.509*G108+6533)*(10^(-4))/G101</f>
        <v>0.26132</v>
      </c>
      <c r="H109" s="2898">
        <f>(-0.161*(H108^2)-7.509*H108+6533)*(10^(-4))/H101</f>
        <v>0.26132</v>
      </c>
      <c r="I109" s="2898">
        <f>(-0.161*(I108^2)-7.509*I108+6533)*(10^(-4))/I101</f>
        <v>0.26132</v>
      </c>
      <c r="J109" s="2898">
        <f>(-0.214*(J108^2)-21.991*J108+4665)*(10^(-4))/J101</f>
        <v>0.18660000000000002</v>
      </c>
      <c r="K109" s="2898">
        <f>(-0.214*(K108^2)-21.991*K108+4665)*(10^(-4))/K101</f>
        <v>0.18660000000000002</v>
      </c>
      <c r="L109" s="2898">
        <f>(-0.214*(L108^2)-21.991*L108+4665)*(10^(-4))/L101</f>
        <v>0.18660000000000002</v>
      </c>
      <c r="M109" s="2898">
        <f>(-0.214*(M108^2)-21.991*M108+4665)*(10^(-4))/M101</f>
        <v>0.18660000000000002</v>
      </c>
      <c r="N109" s="2898">
        <f>(-0.214*(N108^2)-21.991*N108+4665)*(10^(-4))/N101</f>
        <v>0.18660000000000002</v>
      </c>
    </row>
    <row r="110" spans="1:14">
      <c r="A110" s="3368" t="s">
        <v>2980</v>
      </c>
      <c r="B110" s="3368"/>
      <c r="C110" s="3368"/>
      <c r="D110" s="3368"/>
      <c r="E110" s="3368"/>
      <c r="F110" s="3368"/>
      <c r="G110" s="3368"/>
      <c r="H110" s="3368"/>
      <c r="I110" s="3368"/>
      <c r="J110" s="3368"/>
      <c r="K110" s="2901"/>
      <c r="L110" s="2901"/>
      <c r="M110" s="2901"/>
      <c r="N110" s="2901"/>
    </row>
    <row r="112" spans="1:14" ht="13.5" thickBot="1"/>
    <row r="113" spans="1:13" ht="25.5" thickBot="1">
      <c r="A113" s="902" t="s">
        <v>2981</v>
      </c>
      <c r="B113" s="1289">
        <f>G3</f>
        <v>2.5</v>
      </c>
      <c r="C113" s="903" t="s">
        <v>2982</v>
      </c>
      <c r="D113" s="904">
        <f>SUMPRODUCT((A115:A118=F113)*(B114:M114=H113)*B115:M118)</f>
        <v>0</v>
      </c>
      <c r="E113" s="2724" t="s">
        <v>2812</v>
      </c>
      <c r="F113" s="2903">
        <f>E2</f>
        <v>0</v>
      </c>
      <c r="G113" s="2724" t="s">
        <v>2813</v>
      </c>
      <c r="H113" s="2903">
        <f>G2</f>
        <v>0</v>
      </c>
      <c r="I113" s="2724"/>
      <c r="J113" s="2904"/>
      <c r="K113" s="2904"/>
      <c r="L113" s="2904"/>
      <c r="M113" s="2904"/>
    </row>
    <row r="114" spans="1:13">
      <c r="A114" s="907"/>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8" t="s">
        <v>2877</v>
      </c>
      <c r="B115" s="909">
        <f>ROUND(0.9335-0.0094*B113,4)</f>
        <v>0.91</v>
      </c>
      <c r="C115" s="909">
        <f>B115</f>
        <v>0.91</v>
      </c>
      <c r="D115" s="909">
        <f>ROUND(0.8331-0.0109*B113,4)</f>
        <v>0.80589999999999995</v>
      </c>
      <c r="E115" s="909">
        <f>D115</f>
        <v>0.80589999999999995</v>
      </c>
      <c r="F115" s="909">
        <f>E115</f>
        <v>0.80589999999999995</v>
      </c>
      <c r="G115" s="909">
        <f>F115</f>
        <v>0.80589999999999995</v>
      </c>
      <c r="H115" s="909">
        <f>G115</f>
        <v>0.80589999999999995</v>
      </c>
      <c r="I115" s="909">
        <f>ROUND(0.689-0.0155*B113,4)</f>
        <v>0.65029999999999999</v>
      </c>
      <c r="J115" s="909">
        <f t="shared" ref="J115:M118" si="33">I115</f>
        <v>0.65029999999999999</v>
      </c>
      <c r="K115" s="909">
        <f t="shared" si="33"/>
        <v>0.65029999999999999</v>
      </c>
      <c r="L115" s="909">
        <f t="shared" si="33"/>
        <v>0.65029999999999999</v>
      </c>
      <c r="M115" s="910">
        <f t="shared" si="33"/>
        <v>0.65029999999999999</v>
      </c>
    </row>
    <row r="116" spans="1:13">
      <c r="A116" s="908" t="s">
        <v>2878</v>
      </c>
      <c r="B116" s="909">
        <f>ROUND(0.949-0.012*B113,4)</f>
        <v>0.91900000000000004</v>
      </c>
      <c r="C116" s="909">
        <f>B116</f>
        <v>0.91900000000000004</v>
      </c>
      <c r="D116" s="909">
        <f>ROUND(0.8567-0.013*B113,4)</f>
        <v>0.82420000000000004</v>
      </c>
      <c r="E116" s="909">
        <f t="shared" ref="E116:H117" si="34">D116</f>
        <v>0.82420000000000004</v>
      </c>
      <c r="F116" s="909">
        <f t="shared" si="34"/>
        <v>0.82420000000000004</v>
      </c>
      <c r="G116" s="909">
        <f t="shared" si="34"/>
        <v>0.82420000000000004</v>
      </c>
      <c r="H116" s="909">
        <f t="shared" si="34"/>
        <v>0.82420000000000004</v>
      </c>
      <c r="I116" s="909">
        <f>ROUND(0.7694-0.014*B113,4)</f>
        <v>0.73440000000000005</v>
      </c>
      <c r="J116" s="909">
        <f t="shared" si="33"/>
        <v>0.73440000000000005</v>
      </c>
      <c r="K116" s="909">
        <f t="shared" si="33"/>
        <v>0.73440000000000005</v>
      </c>
      <c r="L116" s="909">
        <f t="shared" si="33"/>
        <v>0.73440000000000005</v>
      </c>
      <c r="M116" s="910">
        <f t="shared" si="33"/>
        <v>0.73440000000000005</v>
      </c>
    </row>
    <row r="117" spans="1:13">
      <c r="A117" s="908" t="s">
        <v>2879</v>
      </c>
      <c r="B117" s="909">
        <f>ROUND(0.8808-0.006*B113,4)</f>
        <v>0.86580000000000001</v>
      </c>
      <c r="C117" s="909">
        <f>B117</f>
        <v>0.86580000000000001</v>
      </c>
      <c r="D117" s="909">
        <f>ROUND(0.8748-0.008*B113,4)</f>
        <v>0.8548</v>
      </c>
      <c r="E117" s="909">
        <f t="shared" si="34"/>
        <v>0.8548</v>
      </c>
      <c r="F117" s="909">
        <f t="shared" si="34"/>
        <v>0.8548</v>
      </c>
      <c r="G117" s="909">
        <f t="shared" si="34"/>
        <v>0.8548</v>
      </c>
      <c r="H117" s="909">
        <f t="shared" si="34"/>
        <v>0.8548</v>
      </c>
      <c r="I117" s="909">
        <f>ROUND(0.7412-0.0095*B113,4)</f>
        <v>0.71750000000000003</v>
      </c>
      <c r="J117" s="909">
        <f t="shared" si="33"/>
        <v>0.71750000000000003</v>
      </c>
      <c r="K117" s="909">
        <f t="shared" si="33"/>
        <v>0.71750000000000003</v>
      </c>
      <c r="L117" s="909">
        <f t="shared" si="33"/>
        <v>0.71750000000000003</v>
      </c>
      <c r="M117" s="910">
        <f t="shared" si="33"/>
        <v>0.71750000000000003</v>
      </c>
    </row>
    <row r="118" spans="1:13" ht="13.5" thickBot="1">
      <c r="A118" s="713" t="s">
        <v>2880</v>
      </c>
      <c r="B118" s="911">
        <f>ROUND(0.7275-0.01*B113,4)</f>
        <v>0.70250000000000001</v>
      </c>
      <c r="C118" s="911">
        <f>B118</f>
        <v>0.70250000000000001</v>
      </c>
      <c r="D118" s="911">
        <f>ROUND(0.7043-0.012*B113,4)</f>
        <v>0.67430000000000001</v>
      </c>
      <c r="E118" s="911">
        <f>D118</f>
        <v>0.67430000000000001</v>
      </c>
      <c r="F118" s="911">
        <f>E118</f>
        <v>0.67430000000000001</v>
      </c>
      <c r="G118" s="911">
        <f>ROUND(0.6299-0.0122*B113,4)</f>
        <v>0.59940000000000004</v>
      </c>
      <c r="H118" s="911">
        <f>G118</f>
        <v>0.59940000000000004</v>
      </c>
      <c r="I118" s="911">
        <f>ROUND(0.5667-0.0136*B113,4)</f>
        <v>0.53269999999999995</v>
      </c>
      <c r="J118" s="911">
        <f t="shared" si="33"/>
        <v>0.53269999999999995</v>
      </c>
      <c r="K118" s="911">
        <f t="shared" si="33"/>
        <v>0.53269999999999995</v>
      </c>
      <c r="L118" s="911">
        <f t="shared" si="33"/>
        <v>0.53269999999999995</v>
      </c>
      <c r="M118" s="912">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76" t="s">
        <v>183</v>
      </c>
      <c r="B18" s="881" t="s">
        <v>560</v>
      </c>
      <c r="C18" s="882" t="s">
        <v>561</v>
      </c>
      <c r="D18" s="883"/>
      <c r="E18" s="881">
        <v>1</v>
      </c>
      <c r="F18" s="884" t="s">
        <v>562</v>
      </c>
      <c r="G18" s="885"/>
      <c r="H18" s="877"/>
      <c r="I18" s="877"/>
    </row>
    <row r="19" spans="1:9" s="886" customFormat="1" ht="19.5" customHeight="1">
      <c r="A19" s="3376"/>
      <c r="B19" s="3376" t="s">
        <v>563</v>
      </c>
      <c r="C19" s="882" t="s">
        <v>564</v>
      </c>
      <c r="D19" s="883"/>
      <c r="E19" s="881">
        <v>0.9</v>
      </c>
      <c r="F19" s="884" t="s">
        <v>565</v>
      </c>
      <c r="G19" s="885"/>
      <c r="H19" s="877"/>
      <c r="I19" s="877"/>
    </row>
    <row r="20" spans="1:9" s="886" customFormat="1" ht="19.5" customHeight="1">
      <c r="A20" s="3376"/>
      <c r="B20" s="3376"/>
      <c r="C20" s="882" t="s">
        <v>566</v>
      </c>
      <c r="D20" s="883"/>
      <c r="E20" s="881">
        <v>1.1000000000000001</v>
      </c>
      <c r="F20" s="884" t="s">
        <v>567</v>
      </c>
      <c r="G20" s="885"/>
      <c r="H20" s="877"/>
      <c r="I20" s="877"/>
    </row>
    <row r="21" spans="1:9" s="886" customFormat="1" ht="19.5" customHeight="1">
      <c r="A21" s="3376"/>
      <c r="B21" s="3376"/>
      <c r="C21" s="882" t="s">
        <v>568</v>
      </c>
      <c r="D21" s="883"/>
      <c r="E21" s="881">
        <v>0.8</v>
      </c>
      <c r="F21" s="884" t="s">
        <v>569</v>
      </c>
      <c r="G21" s="885"/>
      <c r="H21" s="877"/>
      <c r="I21" s="877"/>
    </row>
    <row r="22" spans="1:9" s="886" customFormat="1" ht="19.5" customHeight="1">
      <c r="A22" s="3376"/>
      <c r="B22" s="3376"/>
      <c r="C22" s="882" t="s">
        <v>570</v>
      </c>
      <c r="D22" s="883"/>
      <c r="E22" s="881">
        <v>0.5</v>
      </c>
      <c r="F22" s="884"/>
      <c r="G22" s="885"/>
      <c r="H22" s="877"/>
      <c r="I22" s="877"/>
    </row>
    <row r="23" spans="1:9" s="886" customFormat="1" ht="19.5" customHeight="1">
      <c r="A23" s="3376" t="s">
        <v>184</v>
      </c>
      <c r="B23" s="881" t="s">
        <v>560</v>
      </c>
      <c r="C23" s="882" t="s">
        <v>571</v>
      </c>
      <c r="D23" s="883"/>
      <c r="E23" s="881">
        <v>1</v>
      </c>
      <c r="F23" s="884" t="s">
        <v>572</v>
      </c>
      <c r="G23" s="885"/>
      <c r="H23" s="877"/>
      <c r="I23" s="877"/>
    </row>
    <row r="24" spans="1:9" s="886" customFormat="1" ht="19.5" customHeight="1">
      <c r="A24" s="3376"/>
      <c r="B24" s="3376" t="s">
        <v>563</v>
      </c>
      <c r="C24" s="882" t="s">
        <v>573</v>
      </c>
      <c r="D24" s="883"/>
      <c r="E24" s="881">
        <v>0.5</v>
      </c>
      <c r="F24" s="884"/>
      <c r="G24" s="885"/>
      <c r="H24" s="877"/>
      <c r="I24" s="877"/>
    </row>
    <row r="25" spans="1:9" s="886" customFormat="1" ht="19.5" customHeight="1">
      <c r="A25" s="3376"/>
      <c r="B25" s="3376"/>
      <c r="C25" s="882" t="s">
        <v>574</v>
      </c>
      <c r="D25" s="883"/>
      <c r="E25" s="881">
        <v>1.1000000000000001</v>
      </c>
      <c r="F25" s="884"/>
      <c r="G25" s="885"/>
      <c r="H25" s="877"/>
      <c r="I25" s="877"/>
    </row>
    <row r="26" spans="1:9" s="886" customFormat="1" ht="19.5" customHeight="1">
      <c r="A26" s="3376"/>
      <c r="B26" s="3376"/>
      <c r="C26" s="882" t="s">
        <v>575</v>
      </c>
      <c r="D26" s="883"/>
      <c r="E26" s="881">
        <v>1.1000000000000001</v>
      </c>
      <c r="F26" s="884"/>
      <c r="G26" s="885"/>
      <c r="H26" s="877"/>
      <c r="I26" s="877"/>
    </row>
    <row r="27" spans="1:9" s="886" customFormat="1" ht="19.5" customHeight="1">
      <c r="A27" s="3376"/>
      <c r="B27" s="3376"/>
      <c r="C27" s="882" t="s">
        <v>576</v>
      </c>
      <c r="D27" s="883"/>
      <c r="E27" s="881">
        <v>0.9</v>
      </c>
      <c r="F27" s="884" t="s">
        <v>577</v>
      </c>
      <c r="G27" s="885"/>
      <c r="H27" s="877"/>
      <c r="I27" s="877"/>
    </row>
    <row r="28" spans="1:9" s="886" customFormat="1" ht="19.5" customHeight="1">
      <c r="A28" s="3376"/>
      <c r="B28" s="3376"/>
      <c r="C28" s="882" t="s">
        <v>578</v>
      </c>
      <c r="D28" s="883"/>
      <c r="E28" s="881">
        <v>0.9</v>
      </c>
      <c r="F28" s="884" t="s">
        <v>579</v>
      </c>
      <c r="G28" s="885"/>
      <c r="H28" s="877"/>
      <c r="I28" s="877"/>
    </row>
    <row r="29" spans="1:9" s="886" customFormat="1" ht="19.5" customHeight="1">
      <c r="A29" s="3376"/>
      <c r="B29" s="3376"/>
      <c r="C29" s="882" t="s">
        <v>580</v>
      </c>
      <c r="D29" s="883"/>
      <c r="E29" s="881">
        <v>0.9</v>
      </c>
      <c r="F29" s="884" t="s">
        <v>581</v>
      </c>
      <c r="G29" s="885"/>
      <c r="H29" s="877"/>
      <c r="I29" s="877"/>
    </row>
    <row r="30" spans="1:9" s="886" customFormat="1" ht="19.5" customHeight="1">
      <c r="A30" s="3376"/>
      <c r="B30" s="3376"/>
      <c r="C30" s="882" t="s">
        <v>582</v>
      </c>
      <c r="D30" s="883"/>
      <c r="E30" s="881">
        <v>0.9</v>
      </c>
      <c r="F30" s="884" t="s">
        <v>583</v>
      </c>
      <c r="G30" s="885"/>
      <c r="H30" s="877"/>
      <c r="I30" s="877"/>
    </row>
    <row r="31" spans="1:9" s="886" customFormat="1" ht="19.5" customHeight="1">
      <c r="A31" s="3376"/>
      <c r="B31" s="3376"/>
      <c r="C31" s="882" t="s">
        <v>584</v>
      </c>
      <c r="D31" s="883"/>
      <c r="E31" s="881">
        <v>0.8</v>
      </c>
      <c r="F31" s="884" t="s">
        <v>585</v>
      </c>
      <c r="G31" s="885"/>
      <c r="H31" s="877"/>
      <c r="I31" s="877"/>
    </row>
    <row r="32" spans="1:9" s="886" customFormat="1" ht="19.5" customHeight="1">
      <c r="A32" s="3376"/>
      <c r="B32" s="3376"/>
      <c r="C32" s="882" t="s">
        <v>586</v>
      </c>
      <c r="D32" s="883"/>
      <c r="E32" s="881">
        <v>0.8</v>
      </c>
      <c r="F32" s="884" t="s">
        <v>587</v>
      </c>
      <c r="G32" s="885"/>
      <c r="H32" s="877"/>
      <c r="I32" s="877"/>
    </row>
    <row r="33" spans="1:9" s="886" customFormat="1" ht="19.5" customHeight="1">
      <c r="A33" s="3376" t="s">
        <v>185</v>
      </c>
      <c r="B33" s="881" t="s">
        <v>560</v>
      </c>
      <c r="C33" s="882" t="s">
        <v>588</v>
      </c>
      <c r="D33" s="883"/>
      <c r="E33" s="881">
        <v>1</v>
      </c>
      <c r="F33" s="884" t="s">
        <v>589</v>
      </c>
      <c r="G33" s="885"/>
      <c r="H33" s="877"/>
      <c r="I33" s="877"/>
    </row>
    <row r="34" spans="1:9" s="886" customFormat="1" ht="19.5" customHeight="1">
      <c r="A34" s="3376"/>
      <c r="B34" s="881" t="s">
        <v>563</v>
      </c>
      <c r="C34" s="882" t="s">
        <v>590</v>
      </c>
      <c r="D34" s="883"/>
      <c r="E34" s="881">
        <v>1.5</v>
      </c>
      <c r="F34" s="884" t="s">
        <v>591</v>
      </c>
      <c r="G34" s="885"/>
      <c r="H34" s="877"/>
      <c r="I34" s="877"/>
    </row>
    <row r="35" spans="1:9" s="886" customFormat="1" ht="19.5" customHeight="1">
      <c r="A35" s="3376" t="s">
        <v>186</v>
      </c>
      <c r="B35" s="881" t="s">
        <v>560</v>
      </c>
      <c r="C35" s="882" t="s">
        <v>592</v>
      </c>
      <c r="D35" s="883"/>
      <c r="E35" s="881">
        <v>1</v>
      </c>
      <c r="F35" s="884" t="s">
        <v>593</v>
      </c>
      <c r="G35" s="885"/>
      <c r="H35" s="877"/>
      <c r="I35" s="877"/>
    </row>
    <row r="36" spans="1:9" s="886" customFormat="1" ht="19.5" customHeight="1">
      <c r="A36" s="3376"/>
      <c r="B36" s="3376" t="s">
        <v>563</v>
      </c>
      <c r="C36" s="882" t="s">
        <v>594</v>
      </c>
      <c r="D36" s="883"/>
      <c r="E36" s="881">
        <v>1</v>
      </c>
      <c r="F36" s="884" t="s">
        <v>595</v>
      </c>
      <c r="G36" s="885"/>
      <c r="H36" s="877"/>
      <c r="I36" s="877"/>
    </row>
    <row r="37" spans="1:9" s="886" customFormat="1" ht="19.5" customHeight="1">
      <c r="A37" s="3376"/>
      <c r="B37" s="3376"/>
      <c r="C37" s="882" t="s">
        <v>596</v>
      </c>
      <c r="D37" s="883"/>
      <c r="E37" s="881">
        <v>1.5</v>
      </c>
      <c r="F37" s="884" t="s">
        <v>597</v>
      </c>
      <c r="G37" s="885"/>
      <c r="H37" s="877"/>
      <c r="I37" s="877"/>
    </row>
    <row r="38" spans="1:9" s="886" customFormat="1" ht="19.5" customHeight="1">
      <c r="A38" s="3376"/>
      <c r="B38" s="3376"/>
      <c r="C38" s="882" t="s">
        <v>598</v>
      </c>
      <c r="D38" s="883"/>
      <c r="E38" s="881">
        <v>1</v>
      </c>
      <c r="F38" s="884" t="s">
        <v>599</v>
      </c>
      <c r="G38" s="885"/>
      <c r="H38" s="877"/>
      <c r="I38" s="877"/>
    </row>
    <row r="39" spans="1:9" s="886" customFormat="1" ht="19.5" customHeight="1">
      <c r="A39" s="3376"/>
      <c r="B39" s="337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76" t="s">
        <v>614</v>
      </c>
      <c r="C61" s="817" t="s">
        <v>615</v>
      </c>
      <c r="D61" s="817" t="s">
        <v>616</v>
      </c>
      <c r="E61" s="894">
        <v>0.5</v>
      </c>
      <c r="F61" s="881">
        <v>80</v>
      </c>
    </row>
    <row r="62" spans="1:8" s="877" customFormat="1" ht="24">
      <c r="A62" s="881">
        <v>2</v>
      </c>
      <c r="B62" s="3376"/>
      <c r="C62" s="817" t="s">
        <v>617</v>
      </c>
      <c r="D62" s="817" t="s">
        <v>618</v>
      </c>
      <c r="E62" s="894">
        <v>0.5</v>
      </c>
      <c r="F62" s="881">
        <v>80</v>
      </c>
    </row>
    <row r="63" spans="1:8" s="877" customFormat="1" ht="36">
      <c r="A63" s="881">
        <v>3</v>
      </c>
      <c r="B63" s="3376"/>
      <c r="C63" s="817" t="s">
        <v>619</v>
      </c>
      <c r="D63" s="817" t="s">
        <v>620</v>
      </c>
      <c r="E63" s="894">
        <v>0.5</v>
      </c>
      <c r="F63" s="881">
        <v>80</v>
      </c>
    </row>
    <row r="64" spans="1:8" s="877" customFormat="1" ht="36">
      <c r="A64" s="881">
        <v>4</v>
      </c>
      <c r="B64" s="3376"/>
      <c r="C64" s="817" t="s">
        <v>621</v>
      </c>
      <c r="D64" s="817" t="s">
        <v>622</v>
      </c>
      <c r="E64" s="894">
        <v>0.4</v>
      </c>
      <c r="F64" s="881">
        <v>60</v>
      </c>
    </row>
    <row r="65" spans="1:6" s="877" customFormat="1" ht="36">
      <c r="A65" s="881">
        <v>5</v>
      </c>
      <c r="B65" s="3376"/>
      <c r="C65" s="817" t="s">
        <v>623</v>
      </c>
      <c r="D65" s="817" t="s">
        <v>624</v>
      </c>
      <c r="E65" s="894">
        <v>0.2</v>
      </c>
      <c r="F65" s="881">
        <v>30</v>
      </c>
    </row>
    <row r="66" spans="1:6" s="877" customFormat="1" ht="36">
      <c r="A66" s="881">
        <v>6</v>
      </c>
      <c r="B66" s="3376"/>
      <c r="C66" s="817" t="s">
        <v>625</v>
      </c>
      <c r="D66" s="817" t="s">
        <v>626</v>
      </c>
      <c r="E66" s="894">
        <v>0.3</v>
      </c>
      <c r="F66" s="881">
        <v>50</v>
      </c>
    </row>
    <row r="67" spans="1:6" s="877" customFormat="1" ht="36">
      <c r="A67" s="881">
        <v>7</v>
      </c>
      <c r="B67" s="3376"/>
      <c r="C67" s="817" t="s">
        <v>627</v>
      </c>
      <c r="D67" s="817" t="s">
        <v>628</v>
      </c>
      <c r="E67" s="894">
        <v>0.2</v>
      </c>
      <c r="F67" s="881">
        <v>30</v>
      </c>
    </row>
    <row r="68" spans="1:6" s="877" customFormat="1" ht="36">
      <c r="A68" s="881">
        <v>8</v>
      </c>
      <c r="B68" s="3376"/>
      <c r="C68" s="817" t="s">
        <v>629</v>
      </c>
      <c r="D68" s="817" t="s">
        <v>630</v>
      </c>
      <c r="E68" s="894">
        <v>0.2</v>
      </c>
      <c r="F68" s="881">
        <v>30</v>
      </c>
    </row>
    <row r="69" spans="1:6" s="877" customFormat="1" ht="36">
      <c r="A69" s="881">
        <v>9</v>
      </c>
      <c r="B69" s="3376"/>
      <c r="C69" s="817" t="s">
        <v>631</v>
      </c>
      <c r="D69" s="817" t="s">
        <v>632</v>
      </c>
      <c r="E69" s="894">
        <v>0.2</v>
      </c>
      <c r="F69" s="881">
        <v>30</v>
      </c>
    </row>
    <row r="70" spans="1:6" s="877" customFormat="1" ht="48">
      <c r="A70" s="881">
        <v>10</v>
      </c>
      <c r="B70" s="3376"/>
      <c r="C70" s="817" t="s">
        <v>633</v>
      </c>
      <c r="D70" s="817" t="s">
        <v>634</v>
      </c>
      <c r="E70" s="894">
        <v>0.2</v>
      </c>
      <c r="F70" s="881">
        <v>30</v>
      </c>
    </row>
    <row r="71" spans="1:6" s="877" customFormat="1" ht="48">
      <c r="A71" s="881">
        <v>11</v>
      </c>
      <c r="B71" s="3376"/>
      <c r="C71" s="817" t="s">
        <v>635</v>
      </c>
      <c r="D71" s="817" t="s">
        <v>636</v>
      </c>
      <c r="E71" s="894">
        <v>0.2</v>
      </c>
      <c r="F71" s="881">
        <v>30</v>
      </c>
    </row>
    <row r="72" spans="1:6" s="877" customFormat="1" ht="36">
      <c r="A72" s="881">
        <v>12</v>
      </c>
      <c r="B72" s="3376"/>
      <c r="C72" s="817" t="s">
        <v>637</v>
      </c>
      <c r="D72" s="817" t="s">
        <v>638</v>
      </c>
      <c r="E72" s="894">
        <v>0.5</v>
      </c>
      <c r="F72" s="881">
        <v>80</v>
      </c>
    </row>
    <row r="73" spans="1:6" s="877" customFormat="1" ht="24">
      <c r="A73" s="881">
        <v>13</v>
      </c>
      <c r="B73" s="3376"/>
      <c r="C73" s="817" t="s">
        <v>639</v>
      </c>
      <c r="D73" s="817" t="s">
        <v>640</v>
      </c>
      <c r="E73" s="894">
        <v>0.4</v>
      </c>
      <c r="F73" s="881">
        <v>60</v>
      </c>
    </row>
    <row r="74" spans="1:6" s="877" customFormat="1" ht="24">
      <c r="A74" s="881">
        <v>14</v>
      </c>
      <c r="B74" s="3376"/>
      <c r="C74" s="817" t="s">
        <v>641</v>
      </c>
      <c r="D74" s="817" t="s">
        <v>642</v>
      </c>
      <c r="E74" s="894">
        <v>0.2</v>
      </c>
      <c r="F74" s="881">
        <v>30</v>
      </c>
    </row>
    <row r="75" spans="1:6" s="877" customFormat="1" ht="24">
      <c r="A75" s="881">
        <v>15</v>
      </c>
      <c r="B75" s="3376"/>
      <c r="C75" s="817" t="s">
        <v>643</v>
      </c>
      <c r="D75" s="817" t="s">
        <v>644</v>
      </c>
      <c r="E75" s="894">
        <v>0.2</v>
      </c>
      <c r="F75" s="881">
        <v>30</v>
      </c>
    </row>
    <row r="76" spans="1:6" s="877" customFormat="1" ht="24">
      <c r="A76" s="881">
        <v>16</v>
      </c>
      <c r="B76" s="3376" t="s">
        <v>645</v>
      </c>
      <c r="C76" s="817" t="s">
        <v>646</v>
      </c>
      <c r="D76" s="817" t="s">
        <v>647</v>
      </c>
      <c r="E76" s="894">
        <v>0.5</v>
      </c>
      <c r="F76" s="881">
        <v>80</v>
      </c>
    </row>
    <row r="77" spans="1:6" s="877" customFormat="1" ht="24">
      <c r="A77" s="881">
        <v>17</v>
      </c>
      <c r="B77" s="3376"/>
      <c r="C77" s="817" t="s">
        <v>648</v>
      </c>
      <c r="D77" s="817" t="s">
        <v>649</v>
      </c>
      <c r="E77" s="894">
        <v>0.5</v>
      </c>
      <c r="F77" s="881">
        <v>80</v>
      </c>
    </row>
    <row r="78" spans="1:6" s="877" customFormat="1" ht="24">
      <c r="A78" s="881">
        <v>18</v>
      </c>
      <c r="B78" s="3376"/>
      <c r="C78" s="817" t="s">
        <v>650</v>
      </c>
      <c r="D78" s="817" t="s">
        <v>651</v>
      </c>
      <c r="E78" s="894">
        <v>0.2</v>
      </c>
      <c r="F78" s="881">
        <v>30</v>
      </c>
    </row>
    <row r="79" spans="1:6" s="877" customFormat="1" ht="24">
      <c r="A79" s="881">
        <v>19</v>
      </c>
      <c r="B79" s="3376"/>
      <c r="C79" s="817" t="s">
        <v>652</v>
      </c>
      <c r="D79" s="817" t="s">
        <v>653</v>
      </c>
      <c r="E79" s="894">
        <v>0.5</v>
      </c>
      <c r="F79" s="881">
        <v>80</v>
      </c>
    </row>
    <row r="80" spans="1:6" s="877" customFormat="1" ht="36">
      <c r="A80" s="881">
        <v>20</v>
      </c>
      <c r="B80" s="3376"/>
      <c r="C80" s="817" t="s">
        <v>654</v>
      </c>
      <c r="D80" s="817" t="s">
        <v>655</v>
      </c>
      <c r="E80" s="894">
        <v>0.2</v>
      </c>
      <c r="F80" s="881">
        <v>30</v>
      </c>
    </row>
    <row r="81" spans="1:6" s="877" customFormat="1" ht="36">
      <c r="A81" s="881">
        <v>21</v>
      </c>
      <c r="B81" s="3376"/>
      <c r="C81" s="817" t="s">
        <v>656</v>
      </c>
      <c r="D81" s="817" t="s">
        <v>657</v>
      </c>
      <c r="E81" s="894">
        <v>0.2</v>
      </c>
      <c r="F81" s="881">
        <v>30</v>
      </c>
    </row>
    <row r="82" spans="1:6" s="877" customFormat="1" ht="48">
      <c r="A82" s="881">
        <v>22</v>
      </c>
      <c r="B82" s="3376"/>
      <c r="C82" s="817" t="s">
        <v>658</v>
      </c>
      <c r="D82" s="817" t="s">
        <v>659</v>
      </c>
      <c r="E82" s="894">
        <v>0.2</v>
      </c>
      <c r="F82" s="881">
        <v>30</v>
      </c>
    </row>
    <row r="83" spans="1:6" s="877" customFormat="1" ht="48">
      <c r="A83" s="881">
        <v>23</v>
      </c>
      <c r="B83" s="3376"/>
      <c r="C83" s="817" t="s">
        <v>660</v>
      </c>
      <c r="D83" s="817" t="s">
        <v>661</v>
      </c>
      <c r="E83" s="894">
        <v>0.2</v>
      </c>
      <c r="F83" s="881">
        <v>30</v>
      </c>
    </row>
    <row r="84" spans="1:6" s="877" customFormat="1" ht="36">
      <c r="A84" s="881">
        <v>24</v>
      </c>
      <c r="B84" s="3376"/>
      <c r="C84" s="817" t="s">
        <v>662</v>
      </c>
      <c r="D84" s="817" t="s">
        <v>663</v>
      </c>
      <c r="E84" s="894">
        <v>0.2</v>
      </c>
      <c r="F84" s="881">
        <v>30</v>
      </c>
    </row>
    <row r="85" spans="1:6" s="877" customFormat="1" ht="36">
      <c r="A85" s="881">
        <v>25</v>
      </c>
      <c r="B85" s="3376"/>
      <c r="C85" s="817" t="s">
        <v>664</v>
      </c>
      <c r="D85" s="817" t="s">
        <v>665</v>
      </c>
      <c r="E85" s="894">
        <v>0.5</v>
      </c>
      <c r="F85" s="881">
        <v>80</v>
      </c>
    </row>
    <row r="86" spans="1:6" s="877" customFormat="1" ht="36">
      <c r="A86" s="881">
        <v>26</v>
      </c>
      <c r="B86" s="3376"/>
      <c r="C86" s="817" t="s">
        <v>666</v>
      </c>
      <c r="D86" s="817" t="s">
        <v>667</v>
      </c>
      <c r="E86" s="894">
        <v>0.2</v>
      </c>
      <c r="F86" s="881">
        <v>30</v>
      </c>
    </row>
    <row r="87" spans="1:6" s="877" customFormat="1" ht="36">
      <c r="A87" s="881">
        <v>27</v>
      </c>
      <c r="B87" s="3376"/>
      <c r="C87" s="817" t="s">
        <v>668</v>
      </c>
      <c r="D87" s="817" t="s">
        <v>669</v>
      </c>
      <c r="E87" s="894">
        <v>0.2</v>
      </c>
      <c r="F87" s="881">
        <v>30</v>
      </c>
    </row>
    <row r="88" spans="1:6" s="877" customFormat="1" ht="36">
      <c r="A88" s="881">
        <v>28</v>
      </c>
      <c r="B88" s="3376"/>
      <c r="C88" s="817" t="s">
        <v>670</v>
      </c>
      <c r="D88" s="817" t="s">
        <v>671</v>
      </c>
      <c r="E88" s="894">
        <v>0.2</v>
      </c>
      <c r="F88" s="881">
        <v>30</v>
      </c>
    </row>
    <row r="89" spans="1:6" s="877" customFormat="1" ht="24">
      <c r="A89" s="881">
        <v>29</v>
      </c>
      <c r="B89" s="3376"/>
      <c r="C89" s="817" t="s">
        <v>672</v>
      </c>
      <c r="D89" s="817" t="s">
        <v>673</v>
      </c>
      <c r="E89" s="894">
        <v>0.2</v>
      </c>
      <c r="F89" s="881">
        <v>30</v>
      </c>
    </row>
    <row r="90" spans="1:6" s="877" customFormat="1" ht="24">
      <c r="A90" s="881">
        <v>30</v>
      </c>
      <c r="B90" s="3376"/>
      <c r="C90" s="817" t="s">
        <v>674</v>
      </c>
      <c r="D90" s="817" t="s">
        <v>675</v>
      </c>
      <c r="E90" s="894">
        <v>0.2</v>
      </c>
      <c r="F90" s="881">
        <v>30</v>
      </c>
    </row>
    <row r="91" spans="1:6" s="877" customFormat="1" ht="36">
      <c r="A91" s="881">
        <v>31</v>
      </c>
      <c r="B91" s="3376"/>
      <c r="C91" s="817" t="s">
        <v>676</v>
      </c>
      <c r="D91" s="817" t="s">
        <v>677</v>
      </c>
      <c r="E91" s="894">
        <v>0.2</v>
      </c>
      <c r="F91" s="881">
        <v>30</v>
      </c>
    </row>
    <row r="92" spans="1:6" s="877" customFormat="1" ht="24">
      <c r="A92" s="881">
        <v>32</v>
      </c>
      <c r="B92" s="3376" t="s">
        <v>678</v>
      </c>
      <c r="C92" s="881" t="s">
        <v>679</v>
      </c>
      <c r="D92" s="817" t="s">
        <v>680</v>
      </c>
      <c r="E92" s="894">
        <v>0.2</v>
      </c>
      <c r="F92" s="881">
        <v>30</v>
      </c>
    </row>
    <row r="93" spans="1:6" s="877" customFormat="1" ht="36">
      <c r="A93" s="881">
        <v>33</v>
      </c>
      <c r="B93" s="3376"/>
      <c r="C93" s="881" t="s">
        <v>681</v>
      </c>
      <c r="D93" s="817" t="s">
        <v>682</v>
      </c>
      <c r="E93" s="894">
        <v>0.2</v>
      </c>
      <c r="F93" s="881">
        <v>30</v>
      </c>
    </row>
    <row r="94" spans="1:6" s="877" customFormat="1" ht="48">
      <c r="A94" s="881">
        <v>34</v>
      </c>
      <c r="B94" s="3376"/>
      <c r="C94" s="881" t="s">
        <v>683</v>
      </c>
      <c r="D94" s="817" t="s">
        <v>684</v>
      </c>
      <c r="E94" s="894">
        <v>0.2</v>
      </c>
      <c r="F94" s="881">
        <v>30</v>
      </c>
    </row>
    <row r="95" spans="1:6" s="877" customFormat="1" ht="36">
      <c r="A95" s="881">
        <v>35</v>
      </c>
      <c r="B95" s="3376"/>
      <c r="C95" s="881" t="s">
        <v>685</v>
      </c>
      <c r="D95" s="817" t="s">
        <v>686</v>
      </c>
      <c r="E95" s="894">
        <v>0.2</v>
      </c>
      <c r="F95" s="881">
        <v>30</v>
      </c>
    </row>
    <row r="96" spans="1:6" s="877" customFormat="1" ht="48">
      <c r="A96" s="881">
        <v>36</v>
      </c>
      <c r="B96" s="3376"/>
      <c r="C96" s="817" t="s">
        <v>687</v>
      </c>
      <c r="D96" s="817" t="s">
        <v>688</v>
      </c>
      <c r="E96" s="894">
        <v>0.2</v>
      </c>
      <c r="F96" s="881">
        <v>30</v>
      </c>
    </row>
    <row r="97" spans="1:6" s="877" customFormat="1" ht="36">
      <c r="A97" s="881">
        <v>37</v>
      </c>
      <c r="B97" s="3376"/>
      <c r="C97" s="881" t="s">
        <v>689</v>
      </c>
      <c r="D97" s="817" t="s">
        <v>690</v>
      </c>
      <c r="E97" s="894">
        <v>0.2</v>
      </c>
      <c r="F97" s="881">
        <v>30</v>
      </c>
    </row>
    <row r="98" spans="1:6" s="877" customFormat="1" ht="36">
      <c r="A98" s="881">
        <v>38</v>
      </c>
      <c r="B98" s="3376"/>
      <c r="C98" s="881" t="s">
        <v>691</v>
      </c>
      <c r="D98" s="817" t="s">
        <v>692</v>
      </c>
      <c r="E98" s="894">
        <v>0.2</v>
      </c>
      <c r="F98" s="881">
        <v>30</v>
      </c>
    </row>
    <row r="99" spans="1:6" s="877" customFormat="1" ht="36">
      <c r="A99" s="881">
        <v>39</v>
      </c>
      <c r="B99" s="3376" t="s">
        <v>693</v>
      </c>
      <c r="C99" s="881" t="s">
        <v>694</v>
      </c>
      <c r="D99" s="817" t="s">
        <v>695</v>
      </c>
      <c r="E99" s="894">
        <v>0.3</v>
      </c>
      <c r="F99" s="881">
        <v>50</v>
      </c>
    </row>
    <row r="100" spans="1:6" s="877" customFormat="1" ht="24">
      <c r="A100" s="881">
        <v>40</v>
      </c>
      <c r="B100" s="3376"/>
      <c r="C100" s="881" t="s">
        <v>696</v>
      </c>
      <c r="D100" s="817" t="s">
        <v>697</v>
      </c>
      <c r="E100" s="894">
        <v>0.2</v>
      </c>
      <c r="F100" s="881">
        <v>30</v>
      </c>
    </row>
    <row r="101" spans="1:6" s="877" customFormat="1" ht="36">
      <c r="A101" s="881">
        <v>41</v>
      </c>
      <c r="B101" s="337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76" t="s">
        <v>708</v>
      </c>
      <c r="C105" s="881" t="s">
        <v>709</v>
      </c>
      <c r="D105" s="817" t="s">
        <v>710</v>
      </c>
      <c r="E105" s="894">
        <v>0.2</v>
      </c>
      <c r="F105" s="881">
        <v>30</v>
      </c>
    </row>
    <row r="106" spans="1:6" s="877" customFormat="1" ht="36">
      <c r="A106" s="881">
        <v>46</v>
      </c>
      <c r="B106" s="3376"/>
      <c r="C106" s="881" t="s">
        <v>711</v>
      </c>
      <c r="D106" s="817" t="s">
        <v>712</v>
      </c>
      <c r="E106" s="894">
        <v>0.2</v>
      </c>
      <c r="F106" s="881">
        <v>30</v>
      </c>
    </row>
    <row r="107" spans="1:6" s="877" customFormat="1" ht="36">
      <c r="A107" s="881">
        <v>47</v>
      </c>
      <c r="B107" s="3376" t="s">
        <v>713</v>
      </c>
      <c r="C107" s="881" t="s">
        <v>714</v>
      </c>
      <c r="D107" s="817" t="s">
        <v>715</v>
      </c>
      <c r="E107" s="894">
        <v>0.3</v>
      </c>
      <c r="F107" s="881">
        <v>50</v>
      </c>
    </row>
    <row r="108" spans="1:6" s="877" customFormat="1" ht="36">
      <c r="A108" s="881">
        <v>48</v>
      </c>
      <c r="B108" s="337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76" t="s">
        <v>724</v>
      </c>
      <c r="C111" s="881" t="s">
        <v>725</v>
      </c>
      <c r="D111" s="817" t="s">
        <v>726</v>
      </c>
      <c r="E111" s="894">
        <v>0.2</v>
      </c>
      <c r="F111" s="881">
        <v>30</v>
      </c>
    </row>
    <row r="112" spans="1:6" s="877" customFormat="1" ht="24">
      <c r="A112" s="881">
        <v>52</v>
      </c>
      <c r="B112" s="3376"/>
      <c r="C112" s="881" t="s">
        <v>727</v>
      </c>
      <c r="D112" s="817" t="s">
        <v>728</v>
      </c>
      <c r="E112" s="894">
        <v>0.2</v>
      </c>
      <c r="F112" s="881">
        <v>30</v>
      </c>
    </row>
    <row r="113" spans="1:6" s="877" customFormat="1" ht="24">
      <c r="A113" s="881">
        <v>53</v>
      </c>
      <c r="B113" s="337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76" t="s">
        <v>737</v>
      </c>
      <c r="C116" s="881" t="s">
        <v>738</v>
      </c>
      <c r="D116" s="817" t="s">
        <v>739</v>
      </c>
      <c r="E116" s="894">
        <v>0.2</v>
      </c>
      <c r="F116" s="881">
        <v>30</v>
      </c>
    </row>
    <row r="117" spans="1:6" ht="36">
      <c r="A117" s="881">
        <v>57</v>
      </c>
      <c r="B117" s="337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3003</v>
      </c>
    </row>
    <row r="2" spans="1:5" ht="15.75">
      <c r="A2" s="2910" t="s">
        <v>2995</v>
      </c>
      <c r="B2" s="2911" t="e">
        <f ca="1">SUMIF(B6:B13,"&lt;&gt;#ref!",B6:B13)</f>
        <v>#DIV/0!</v>
      </c>
      <c r="C2" s="2910" t="s">
        <v>2996</v>
      </c>
      <c r="D2" s="2910" t="s">
        <v>2997</v>
      </c>
      <c r="E2" s="2911" t="e">
        <f ca="1">SUM(E6:E13)</f>
        <v>#REF!</v>
      </c>
    </row>
    <row r="3" spans="1:5" ht="15.75">
      <c r="A3" s="2910" t="s">
        <v>2998</v>
      </c>
      <c r="B3" s="2911" t="e">
        <f ca="1">ROUND(B2*10000/E2,0)</f>
        <v>#DIV/0!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t="e">
        <f ca="1">SUMIF(INDIRECT("'"&amp;A6&amp;"'"&amp;"!A:A"),"总价",INDIRECT("'"&amp;A6&amp;"'"&amp;"!B:B"))</f>
        <v>#DIV/0!</v>
      </c>
      <c r="C6" s="2910" t="s">
        <v>2996</v>
      </c>
      <c r="D6" s="2912"/>
      <c r="E6" s="2575">
        <f ca="1">SUMIF(INDIRECT("'"&amp;A6&amp;"'"&amp;"!C:C"),"建筑面积",INDIRECT("'"&amp;A6&amp;"'"&amp;"!D:D"))</f>
        <v>0</v>
      </c>
    </row>
    <row r="7" spans="1:5" ht="15.75">
      <c r="A7" s="2915"/>
      <c r="B7" s="2911" t="e">
        <f ca="1">SUMIF(INDIRECT("'"&amp;A7&amp;"'"&amp;"!A:A"),"总价",INDIRECT("'"&amp;A7&amp;"'"&amp;"!B:B"))</f>
        <v>#REF!</v>
      </c>
      <c r="C7" s="2910" t="s">
        <v>2996</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5" t="e">
        <f t="shared" ca="1" si="0"/>
        <v>#REF!</v>
      </c>
    </row>
    <row r="9" spans="1:5" ht="15.75">
      <c r="A9" s="2915"/>
      <c r="B9" s="2911" t="e">
        <f t="shared" ca="1" si="1"/>
        <v>#REF!</v>
      </c>
      <c r="C9" s="2910" t="s">
        <v>2996</v>
      </c>
      <c r="D9" s="2912"/>
      <c r="E9" s="2575" t="e">
        <f t="shared" ca="1" si="0"/>
        <v>#REF!</v>
      </c>
    </row>
    <row r="10" spans="1:5" ht="15.75">
      <c r="A10" s="2915"/>
      <c r="B10" s="2911" t="e">
        <f t="shared" ca="1" si="1"/>
        <v>#REF!</v>
      </c>
      <c r="C10" s="2910" t="s">
        <v>2996</v>
      </c>
      <c r="D10" s="2912"/>
      <c r="E10" s="2575" t="e">
        <f t="shared" ca="1" si="0"/>
        <v>#REF!</v>
      </c>
    </row>
    <row r="11" spans="1:5" ht="15.75">
      <c r="A11" s="2915"/>
      <c r="B11" s="2911" t="e">
        <f t="shared" ca="1" si="1"/>
        <v>#REF!</v>
      </c>
      <c r="C11" s="2910" t="s">
        <v>2996</v>
      </c>
      <c r="D11" s="2912"/>
      <c r="E11" s="2575" t="e">
        <f t="shared" ca="1" si="0"/>
        <v>#REF!</v>
      </c>
    </row>
    <row r="12" spans="1:5" ht="15.75">
      <c r="A12" s="2915"/>
      <c r="B12" s="2911" t="e">
        <f t="shared" ca="1" si="1"/>
        <v>#REF!</v>
      </c>
      <c r="C12" s="2910" t="s">
        <v>2996</v>
      </c>
      <c r="D12" s="2912"/>
      <c r="E12" s="2575" t="e">
        <f t="shared" ca="1" si="0"/>
        <v>#REF!</v>
      </c>
    </row>
    <row r="13" spans="1:5" ht="15.75">
      <c r="A13" s="2915"/>
      <c r="B13" s="2911" t="e">
        <f t="shared" ca="1" si="1"/>
        <v>#REF!</v>
      </c>
      <c r="C13" s="2910" t="s">
        <v>2996</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82" t="s">
        <v>1150</v>
      </c>
      <c r="C1" s="3382"/>
      <c r="D1" s="3382"/>
      <c r="E1" s="3382"/>
      <c r="F1" s="3382"/>
      <c r="G1" s="3381" t="s">
        <v>1151</v>
      </c>
      <c r="H1" s="3381"/>
      <c r="I1" s="3381"/>
      <c r="J1" s="3381"/>
      <c r="K1" s="3381"/>
      <c r="L1" s="3381"/>
      <c r="N1" s="3381" t="s">
        <v>1152</v>
      </c>
      <c r="O1" s="3381"/>
      <c r="P1" s="3381"/>
      <c r="Q1" s="3381"/>
      <c r="R1" s="1448"/>
      <c r="S1" s="3381" t="s">
        <v>1153</v>
      </c>
      <c r="T1" s="3381"/>
      <c r="U1" s="3381"/>
      <c r="V1" s="3381"/>
      <c r="X1" s="3380" t="s">
        <v>1154</v>
      </c>
      <c r="Y1" s="3381"/>
      <c r="Z1" s="3381"/>
      <c r="AA1" s="3381"/>
      <c r="AB1" s="3381"/>
      <c r="AD1" s="3380" t="s">
        <v>1155</v>
      </c>
      <c r="AE1" s="3381"/>
      <c r="AF1" s="3381"/>
      <c r="AG1" s="3381"/>
      <c r="AH1" s="338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3035</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3041</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3036</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3034</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0">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3031</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26">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3032</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2"/>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1"/>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83">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78"/>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78"/>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379"/>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377">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78"/>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78"/>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379"/>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377">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78"/>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78"/>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379"/>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384">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385"/>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385"/>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386"/>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377">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78"/>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78"/>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379"/>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377">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78">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78">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379">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377">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78">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78">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379">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377">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78">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78">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379">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377">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78">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78">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379">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377">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78">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78">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379">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377">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78">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78">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379">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377">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78">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78">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379">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377">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78">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78">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379">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377">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78">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78">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379">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377">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78">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78">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379">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topLeftCell="B1" zoomScale="90" zoomScaleNormal="90" workbookViewId="0">
      <pane ySplit="24" topLeftCell="A25" activePane="bottomLeft" state="frozen"/>
      <selection activeCell="C50" sqref="C50"/>
      <selection pane="bottomLeft" activeCell="Y23" sqref="Y23"/>
    </sheetView>
  </sheetViews>
  <sheetFormatPr defaultRowHeight="12.75"/>
  <cols>
    <col min="1" max="1" width="11.5" style="139" customWidth="1"/>
    <col min="2" max="2" width="9.25" style="27" customWidth="1"/>
    <col min="3" max="3" width="6.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388" t="s">
        <v>3006</v>
      </c>
      <c r="D1" s="3389"/>
      <c r="E1" s="3389"/>
      <c r="F1" s="3389"/>
      <c r="G1" s="3389"/>
      <c r="H1" s="3389"/>
      <c r="I1" s="3389"/>
      <c r="J1" s="3389"/>
      <c r="K1" s="3389"/>
      <c r="L1" s="3389"/>
      <c r="M1" s="3389"/>
      <c r="N1" s="3389"/>
      <c r="O1" s="3389"/>
      <c r="P1" s="3389"/>
      <c r="Q1" s="3389"/>
      <c r="R1" s="3389"/>
      <c r="S1" s="3390"/>
      <c r="T1" s="1206" t="s">
        <v>3007</v>
      </c>
    </row>
    <row r="2" spans="1:45" s="706" customFormat="1" ht="38.25">
      <c r="A2" s="1207"/>
      <c r="B2" s="702" t="s">
        <v>3008</v>
      </c>
      <c r="C2" s="703" t="str">
        <f t="shared" ref="C2:L2" si="0">C3&amp;"(含)"&amp;"-"&amp;D3</f>
        <v>0(含)-100</v>
      </c>
      <c r="D2" s="704" t="str">
        <f t="shared" si="0"/>
        <v>100(含)-200</v>
      </c>
      <c r="E2" s="704" t="str">
        <f t="shared" si="0"/>
        <v>200(含)-300</v>
      </c>
      <c r="F2" s="704" t="str">
        <f t="shared" si="0"/>
        <v>300(含)-400</v>
      </c>
      <c r="G2" s="704" t="str">
        <f t="shared" si="0"/>
        <v>400(含)-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300</v>
      </c>
      <c r="G3" s="1706">
        <v>400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v>97</v>
      </c>
      <c r="G4" s="1710">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3015</v>
      </c>
      <c r="B17" s="2917" t="s">
        <v>3016</v>
      </c>
      <c r="C17" s="1233" t="s">
        <v>3122</v>
      </c>
      <c r="D17" s="1234" t="s">
        <v>3556</v>
      </c>
      <c r="E17" s="1234" t="s">
        <v>3123</v>
      </c>
      <c r="F17" s="1234" t="s">
        <v>3124</v>
      </c>
      <c r="G17" s="1234" t="s">
        <v>3557</v>
      </c>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85</v>
      </c>
      <c r="E18" s="1246">
        <v>70</v>
      </c>
      <c r="F18" s="1246">
        <v>60</v>
      </c>
      <c r="G18" s="1246">
        <v>50</v>
      </c>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3017</v>
      </c>
      <c r="E19" s="1794"/>
      <c r="F19" s="1794"/>
      <c r="G19" s="1794"/>
      <c r="H19" s="1282"/>
      <c r="I19" s="168"/>
      <c r="J19" s="168"/>
      <c r="K19" s="168"/>
      <c r="L19" s="168"/>
      <c r="M19" s="168"/>
      <c r="N19" s="168"/>
      <c r="O19" s="168"/>
      <c r="P19" s="168"/>
      <c r="Q19" s="168"/>
      <c r="R19" s="787"/>
      <c r="S19" s="138"/>
    </row>
    <row r="20" spans="1:45" ht="16.5" thickBot="1">
      <c r="A20" s="714" t="s">
        <v>3018</v>
      </c>
      <c r="B20" s="338">
        <f ca="1">IF(D20="——",S22,S22-F20)</f>
        <v>102448</v>
      </c>
      <c r="C20" s="168"/>
      <c r="D20" s="2919" t="s">
        <v>70</v>
      </c>
      <c r="E20" s="1795"/>
      <c r="F20" s="1206">
        <f ca="1">SUMIF(INDIRECT("'"&amp;H20&amp;"'"&amp;"!A:A"),"承租人权益价值",INDIRECT("'"&amp;H20&amp;"'"&amp;"!c:c"))</f>
        <v>0</v>
      </c>
      <c r="G20" s="1206" t="s">
        <v>3019</v>
      </c>
      <c r="H20" s="2920" t="s">
        <v>3125</v>
      </c>
      <c r="I20" s="168"/>
      <c r="J20" s="168"/>
      <c r="K20" s="168"/>
      <c r="L20" s="168"/>
      <c r="M20" s="168"/>
      <c r="N20" s="168"/>
      <c r="O20" s="168"/>
      <c r="P20" s="168"/>
      <c r="Q20" s="168"/>
      <c r="R20" s="787"/>
      <c r="S20" s="138"/>
    </row>
    <row r="21" spans="1:45" ht="15.75">
      <c r="A21" s="714" t="s">
        <v>3020</v>
      </c>
      <c r="B21" s="338">
        <f ca="1">R22</f>
        <v>26208</v>
      </c>
      <c r="C21" s="168"/>
      <c r="D21" s="168"/>
      <c r="E21" s="168"/>
      <c r="F21" s="168"/>
      <c r="G21" s="168"/>
      <c r="H21" s="168"/>
      <c r="I21" s="168"/>
      <c r="J21" s="168"/>
      <c r="K21" s="168"/>
      <c r="L21" s="168"/>
      <c r="M21" s="168"/>
      <c r="N21" s="168"/>
      <c r="O21" s="168"/>
      <c r="P21" s="168"/>
      <c r="Q21" s="168"/>
      <c r="R21" s="787"/>
      <c r="S21" s="138"/>
      <c r="V21" s="794">
        <v>1500</v>
      </c>
      <c r="W21" s="794">
        <f>ROUND(B22*V21/10000,0)</f>
        <v>5863</v>
      </c>
    </row>
    <row r="22" spans="1:45">
      <c r="A22" s="2960" t="s">
        <v>3608</v>
      </c>
      <c r="B22" s="2960">
        <f>SUM(B24:B10000)</f>
        <v>39089.930000000037</v>
      </c>
      <c r="C22" s="3247" t="s">
        <v>33</v>
      </c>
      <c r="D22" s="3248"/>
      <c r="E22" s="3248"/>
      <c r="F22" s="3248"/>
      <c r="G22" s="3248"/>
      <c r="H22" s="3248"/>
      <c r="I22" s="3248"/>
      <c r="J22" s="3248"/>
      <c r="K22" s="3248"/>
      <c r="L22" s="3248"/>
      <c r="M22" s="3248"/>
      <c r="N22" s="3248"/>
      <c r="O22" s="3248"/>
      <c r="P22" s="3248"/>
      <c r="Q22" s="3387"/>
      <c r="R22" s="715">
        <f ca="1">ROUND(S22*10000/B22,0)</f>
        <v>26208</v>
      </c>
      <c r="S22" s="2960">
        <f ca="1">SUM(S24:S10000)</f>
        <v>102448</v>
      </c>
      <c r="W22" s="794">
        <v>6000</v>
      </c>
      <c r="X22" s="794">
        <f ca="1">S22-W22</f>
        <v>96448</v>
      </c>
      <c r="Y22" s="794">
        <f ca="1">ROUND(X22*10000/B22,0)</f>
        <v>24673</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43" t="str">
        <f>Sheet1!C3</f>
        <v>1-6</v>
      </c>
      <c r="B24" s="717">
        <f>Sheet1!E3</f>
        <v>98.27</v>
      </c>
      <c r="C24" s="718">
        <v>1</v>
      </c>
      <c r="D24" s="719"/>
      <c r="E24" s="718">
        <v>1</v>
      </c>
      <c r="F24" s="719"/>
      <c r="G24" s="718">
        <v>1</v>
      </c>
      <c r="H24" s="719"/>
      <c r="I24" s="718">
        <v>1</v>
      </c>
      <c r="J24" s="719"/>
      <c r="K24" s="718">
        <v>1</v>
      </c>
      <c r="L24" s="719"/>
      <c r="M24" s="718">
        <v>1</v>
      </c>
      <c r="N24" s="719"/>
      <c r="O24" s="718">
        <v>1</v>
      </c>
      <c r="P24" s="719" t="s">
        <v>3120</v>
      </c>
      <c r="Q24" s="718">
        <v>1</v>
      </c>
      <c r="R24" s="720">
        <f ca="1">结果表!G20</f>
        <v>27374</v>
      </c>
      <c r="S24" s="718">
        <f t="shared" ref="S24:S54" ca="1" si="11">ROUND(R24*B24/10000,0)</f>
        <v>269</v>
      </c>
      <c r="T24" s="799"/>
      <c r="U24" s="3056" t="str">
        <f>Sheet1!C3</f>
        <v>1-6</v>
      </c>
      <c r="V24" s="799">
        <f>Sheet1!E3</f>
        <v>98.27</v>
      </c>
      <c r="W24" s="799">
        <f>B24-V24</f>
        <v>0</v>
      </c>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3043" t="str">
        <f>Sheet1!C4</f>
        <v>1-7</v>
      </c>
      <c r="B25" s="717">
        <f>Sheet1!E4</f>
        <v>95.87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3120</v>
      </c>
      <c r="Q25" s="24">
        <f>(SUMIF($17:$17,P25,$18:$18)-SUMIF($17:$17,$P$24,$18:$18)+100)/100</f>
        <v>1</v>
      </c>
      <c r="R25" s="715">
        <f ca="1">IF(B25="",0,ROUND($R$24*C25*E25*G25*I25*K25*M25*O25*Q25,0))</f>
        <v>27374</v>
      </c>
      <c r="S25" s="361">
        <f t="shared" ca="1" si="11"/>
        <v>262</v>
      </c>
      <c r="U25" s="3056" t="str">
        <f>Sheet1!C4</f>
        <v>1-7</v>
      </c>
      <c r="V25" s="799">
        <f>Sheet1!E4</f>
        <v>95.87</v>
      </c>
      <c r="W25" s="799">
        <f t="shared" ref="W25:W88" si="12">B25-V25</f>
        <v>0</v>
      </c>
    </row>
    <row r="26" spans="1:45">
      <c r="A26" s="3043" t="str">
        <f>Sheet1!C5</f>
        <v>1-8</v>
      </c>
      <c r="B26" s="717">
        <f>Sheet1!E5</f>
        <v>127.76</v>
      </c>
      <c r="C26" s="24">
        <f t="shared" ref="C26:C89" si="13">IF(B26="",1,(LOOKUP(B26,$3:$3,$4:$4)-LOOKUP($B$24,$3:$3,$4:$4)+100)/100)</f>
        <v>0.99</v>
      </c>
      <c r="D26" s="719"/>
      <c r="E26" s="24">
        <f t="shared" ref="E26:E89" si="14">(SUMIF($5:$5,D26,$6:$6)-SUMIF($5:$5,$D$24,$6:$6)+100)/100</f>
        <v>1</v>
      </c>
      <c r="F26" s="719"/>
      <c r="G26" s="24">
        <f t="shared" ref="G26:G89" si="15">(SUMIF($7:$7,F26,$8:$8)-SUMIF($7:$7,$F$24,$8:$8)+100)/100</f>
        <v>1</v>
      </c>
      <c r="H26" s="719"/>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t="s">
        <v>3120</v>
      </c>
      <c r="Q26" s="24">
        <f t="shared" ref="Q26:Q89" si="20">(SUMIF($17:$17,P26,$18:$18)-SUMIF($17:$17,$P$24,$18:$18)+100)/100</f>
        <v>1</v>
      </c>
      <c r="R26" s="715">
        <f t="shared" ref="R26:R89" ca="1" si="21">IF(B26="",0,ROUND($R$24*C26*E26*G26*I26*K26*M26*O26*Q26,0))</f>
        <v>27100</v>
      </c>
      <c r="S26" s="361">
        <f t="shared" ca="1" si="11"/>
        <v>346</v>
      </c>
      <c r="U26" s="3056" t="str">
        <f>Sheet1!C5</f>
        <v>1-8</v>
      </c>
      <c r="V26" s="799">
        <f>Sheet1!E5</f>
        <v>127.76</v>
      </c>
      <c r="W26" s="799">
        <f t="shared" si="12"/>
        <v>0</v>
      </c>
    </row>
    <row r="27" spans="1:45">
      <c r="A27" s="3043" t="str">
        <f>Sheet1!C6</f>
        <v>1-10</v>
      </c>
      <c r="B27" s="717">
        <f>Sheet1!E6</f>
        <v>95.87</v>
      </c>
      <c r="C27" s="24">
        <f t="shared" si="13"/>
        <v>1</v>
      </c>
      <c r="D27" s="719"/>
      <c r="E27" s="24">
        <f t="shared" si="14"/>
        <v>1</v>
      </c>
      <c r="F27" s="719"/>
      <c r="G27" s="24">
        <f t="shared" si="15"/>
        <v>1</v>
      </c>
      <c r="H27" s="719"/>
      <c r="I27" s="24">
        <f t="shared" si="16"/>
        <v>1</v>
      </c>
      <c r="J27" s="719"/>
      <c r="K27" s="24">
        <f t="shared" si="17"/>
        <v>1</v>
      </c>
      <c r="L27" s="719"/>
      <c r="M27" s="24">
        <f t="shared" si="18"/>
        <v>1</v>
      </c>
      <c r="N27" s="719"/>
      <c r="O27" s="24">
        <f t="shared" si="19"/>
        <v>1</v>
      </c>
      <c r="P27" s="719" t="s">
        <v>3120</v>
      </c>
      <c r="Q27" s="24">
        <f t="shared" si="20"/>
        <v>1</v>
      </c>
      <c r="R27" s="715">
        <f t="shared" ca="1" si="21"/>
        <v>27374</v>
      </c>
      <c r="S27" s="361">
        <f t="shared" ca="1" si="11"/>
        <v>262</v>
      </c>
      <c r="U27" s="3056" t="str">
        <f>Sheet1!C6</f>
        <v>1-10</v>
      </c>
      <c r="V27" s="799">
        <f>Sheet1!E6</f>
        <v>95.87</v>
      </c>
      <c r="W27" s="799">
        <f t="shared" si="12"/>
        <v>0</v>
      </c>
    </row>
    <row r="28" spans="1:45">
      <c r="A28" s="3043" t="str">
        <f>Sheet1!C7</f>
        <v>1-11</v>
      </c>
      <c r="B28" s="717">
        <f>Sheet1!E7</f>
        <v>95.87</v>
      </c>
      <c r="C28" s="24">
        <f t="shared" si="13"/>
        <v>1</v>
      </c>
      <c r="D28" s="719"/>
      <c r="E28" s="24">
        <f t="shared" si="14"/>
        <v>1</v>
      </c>
      <c r="F28" s="719"/>
      <c r="G28" s="24">
        <f t="shared" si="15"/>
        <v>1</v>
      </c>
      <c r="H28" s="719"/>
      <c r="I28" s="24">
        <f t="shared" si="16"/>
        <v>1</v>
      </c>
      <c r="J28" s="719"/>
      <c r="K28" s="24">
        <f t="shared" si="17"/>
        <v>1</v>
      </c>
      <c r="L28" s="719"/>
      <c r="M28" s="24">
        <f t="shared" si="18"/>
        <v>1</v>
      </c>
      <c r="N28" s="719"/>
      <c r="O28" s="24">
        <f t="shared" si="19"/>
        <v>1</v>
      </c>
      <c r="P28" s="719" t="s">
        <v>3120</v>
      </c>
      <c r="Q28" s="24">
        <f t="shared" si="20"/>
        <v>1</v>
      </c>
      <c r="R28" s="715">
        <f t="shared" ca="1" si="21"/>
        <v>27374</v>
      </c>
      <c r="S28" s="361">
        <f t="shared" ca="1" si="11"/>
        <v>262</v>
      </c>
      <c r="U28" s="3056" t="str">
        <f>Sheet1!C7</f>
        <v>1-11</v>
      </c>
      <c r="V28" s="799">
        <f>Sheet1!E7</f>
        <v>95.87</v>
      </c>
      <c r="W28" s="799">
        <f t="shared" si="12"/>
        <v>0</v>
      </c>
    </row>
    <row r="29" spans="1:45">
      <c r="A29" s="3043" t="str">
        <f>Sheet1!C8</f>
        <v>1-13</v>
      </c>
      <c r="B29" s="717">
        <f>Sheet1!E8</f>
        <v>109.8</v>
      </c>
      <c r="C29" s="24">
        <f t="shared" si="13"/>
        <v>0.99</v>
      </c>
      <c r="D29" s="719"/>
      <c r="E29" s="24">
        <f t="shared" si="14"/>
        <v>1</v>
      </c>
      <c r="F29" s="719"/>
      <c r="G29" s="24">
        <f t="shared" si="15"/>
        <v>1</v>
      </c>
      <c r="H29" s="719"/>
      <c r="I29" s="24">
        <f t="shared" si="16"/>
        <v>1</v>
      </c>
      <c r="J29" s="719"/>
      <c r="K29" s="24">
        <f t="shared" si="17"/>
        <v>1</v>
      </c>
      <c r="L29" s="719"/>
      <c r="M29" s="24">
        <f t="shared" si="18"/>
        <v>1</v>
      </c>
      <c r="N29" s="719"/>
      <c r="O29" s="24">
        <f t="shared" si="19"/>
        <v>1</v>
      </c>
      <c r="P29" s="719" t="s">
        <v>3120</v>
      </c>
      <c r="Q29" s="24">
        <f t="shared" si="20"/>
        <v>1</v>
      </c>
      <c r="R29" s="715">
        <f t="shared" ca="1" si="21"/>
        <v>27100</v>
      </c>
      <c r="S29" s="361">
        <f t="shared" ca="1" si="11"/>
        <v>298</v>
      </c>
      <c r="U29" s="3056" t="str">
        <f>Sheet1!C8</f>
        <v>1-13</v>
      </c>
      <c r="V29" s="799">
        <f>Sheet1!E8</f>
        <v>109.8</v>
      </c>
      <c r="W29" s="799">
        <f t="shared" si="12"/>
        <v>0</v>
      </c>
    </row>
    <row r="30" spans="1:45">
      <c r="A30" s="3043" t="str">
        <f>Sheet1!C9</f>
        <v>1-14</v>
      </c>
      <c r="B30" s="717">
        <f>Sheet1!E9</f>
        <v>95.87</v>
      </c>
      <c r="C30" s="24">
        <f t="shared" si="13"/>
        <v>1</v>
      </c>
      <c r="D30" s="719"/>
      <c r="E30" s="24">
        <f t="shared" si="14"/>
        <v>1</v>
      </c>
      <c r="F30" s="719"/>
      <c r="G30" s="24">
        <f t="shared" si="15"/>
        <v>1</v>
      </c>
      <c r="H30" s="719"/>
      <c r="I30" s="24">
        <f t="shared" si="16"/>
        <v>1</v>
      </c>
      <c r="J30" s="719"/>
      <c r="K30" s="24">
        <f t="shared" si="17"/>
        <v>1</v>
      </c>
      <c r="L30" s="719"/>
      <c r="M30" s="24">
        <f t="shared" si="18"/>
        <v>1</v>
      </c>
      <c r="N30" s="719"/>
      <c r="O30" s="24">
        <f t="shared" si="19"/>
        <v>1</v>
      </c>
      <c r="P30" s="719" t="s">
        <v>3120</v>
      </c>
      <c r="Q30" s="24">
        <f t="shared" si="20"/>
        <v>1</v>
      </c>
      <c r="R30" s="715">
        <f t="shared" ca="1" si="21"/>
        <v>27374</v>
      </c>
      <c r="S30" s="361">
        <f t="shared" ca="1" si="11"/>
        <v>262</v>
      </c>
      <c r="U30" s="3056" t="str">
        <f>Sheet1!C9</f>
        <v>1-14</v>
      </c>
      <c r="V30" s="799">
        <f>Sheet1!E9</f>
        <v>95.87</v>
      </c>
      <c r="W30" s="799">
        <f t="shared" si="12"/>
        <v>0</v>
      </c>
    </row>
    <row r="31" spans="1:45">
      <c r="A31" s="3043" t="str">
        <f>Sheet1!C10</f>
        <v>1-15</v>
      </c>
      <c r="B31" s="717">
        <f>Sheet1!E10</f>
        <v>62.71</v>
      </c>
      <c r="C31" s="24">
        <f t="shared" si="13"/>
        <v>1</v>
      </c>
      <c r="D31" s="719"/>
      <c r="E31" s="24">
        <f t="shared" si="14"/>
        <v>1</v>
      </c>
      <c r="F31" s="719"/>
      <c r="G31" s="24">
        <f t="shared" si="15"/>
        <v>1</v>
      </c>
      <c r="H31" s="719"/>
      <c r="I31" s="24">
        <f t="shared" si="16"/>
        <v>1</v>
      </c>
      <c r="J31" s="719"/>
      <c r="K31" s="24">
        <f t="shared" si="17"/>
        <v>1</v>
      </c>
      <c r="L31" s="719"/>
      <c r="M31" s="24">
        <f t="shared" si="18"/>
        <v>1</v>
      </c>
      <c r="N31" s="719"/>
      <c r="O31" s="24">
        <f t="shared" si="19"/>
        <v>1</v>
      </c>
      <c r="P31" s="719" t="s">
        <v>3120</v>
      </c>
      <c r="Q31" s="24">
        <f t="shared" si="20"/>
        <v>1</v>
      </c>
      <c r="R31" s="715">
        <f t="shared" ca="1" si="21"/>
        <v>27374</v>
      </c>
      <c r="S31" s="361">
        <f t="shared" ca="1" si="11"/>
        <v>172</v>
      </c>
      <c r="U31" s="3056" t="str">
        <f>Sheet1!C10</f>
        <v>1-15</v>
      </c>
      <c r="V31" s="799">
        <f>Sheet1!E10</f>
        <v>62.71</v>
      </c>
      <c r="W31" s="799">
        <f t="shared" si="12"/>
        <v>0</v>
      </c>
    </row>
    <row r="32" spans="1:45">
      <c r="A32" s="3043" t="str">
        <f>Sheet1!C11</f>
        <v>1-16</v>
      </c>
      <c r="B32" s="717">
        <f>Sheet1!E11</f>
        <v>62.71</v>
      </c>
      <c r="C32" s="24">
        <f t="shared" si="13"/>
        <v>1</v>
      </c>
      <c r="D32" s="719"/>
      <c r="E32" s="24">
        <f t="shared" si="14"/>
        <v>1</v>
      </c>
      <c r="F32" s="719"/>
      <c r="G32" s="24">
        <f t="shared" si="15"/>
        <v>1</v>
      </c>
      <c r="H32" s="719"/>
      <c r="I32" s="24">
        <f t="shared" si="16"/>
        <v>1</v>
      </c>
      <c r="J32" s="719"/>
      <c r="K32" s="24">
        <f t="shared" si="17"/>
        <v>1</v>
      </c>
      <c r="L32" s="719"/>
      <c r="M32" s="24">
        <f t="shared" si="18"/>
        <v>1</v>
      </c>
      <c r="N32" s="719"/>
      <c r="O32" s="24">
        <f t="shared" si="19"/>
        <v>1</v>
      </c>
      <c r="P32" s="719" t="s">
        <v>3120</v>
      </c>
      <c r="Q32" s="24">
        <f t="shared" si="20"/>
        <v>1</v>
      </c>
      <c r="R32" s="715">
        <f t="shared" ca="1" si="21"/>
        <v>27374</v>
      </c>
      <c r="S32" s="361">
        <f t="shared" ca="1" si="11"/>
        <v>172</v>
      </c>
      <c r="U32" s="3056" t="str">
        <f>Sheet1!C11</f>
        <v>1-16</v>
      </c>
      <c r="V32" s="799">
        <f>Sheet1!E11</f>
        <v>62.71</v>
      </c>
      <c r="W32" s="799">
        <f t="shared" si="12"/>
        <v>0</v>
      </c>
    </row>
    <row r="33" spans="1:23">
      <c r="A33" s="3043" t="str">
        <f>Sheet1!C12</f>
        <v>5-1</v>
      </c>
      <c r="B33" s="717">
        <f>Sheet1!E12</f>
        <v>66.3</v>
      </c>
      <c r="C33" s="24">
        <f t="shared" si="13"/>
        <v>1</v>
      </c>
      <c r="D33" s="719"/>
      <c r="E33" s="24">
        <f t="shared" si="14"/>
        <v>1</v>
      </c>
      <c r="F33" s="719"/>
      <c r="G33" s="24">
        <f t="shared" si="15"/>
        <v>1</v>
      </c>
      <c r="H33" s="719"/>
      <c r="I33" s="24">
        <f t="shared" si="16"/>
        <v>1</v>
      </c>
      <c r="J33" s="719"/>
      <c r="K33" s="24">
        <f t="shared" si="17"/>
        <v>1</v>
      </c>
      <c r="L33" s="719"/>
      <c r="M33" s="24">
        <f t="shared" si="18"/>
        <v>1</v>
      </c>
      <c r="N33" s="719"/>
      <c r="O33" s="24">
        <f t="shared" si="19"/>
        <v>1</v>
      </c>
      <c r="P33" s="719" t="s">
        <v>3120</v>
      </c>
      <c r="Q33" s="24">
        <f t="shared" si="20"/>
        <v>1</v>
      </c>
      <c r="R33" s="715">
        <f t="shared" ca="1" si="21"/>
        <v>27374</v>
      </c>
      <c r="S33" s="361">
        <f t="shared" ca="1" si="11"/>
        <v>181</v>
      </c>
      <c r="U33" s="3056" t="str">
        <f>Sheet1!C12</f>
        <v>5-1</v>
      </c>
      <c r="V33" s="799">
        <f>Sheet1!E12</f>
        <v>66.3</v>
      </c>
      <c r="W33" s="799">
        <f t="shared" si="12"/>
        <v>0</v>
      </c>
    </row>
    <row r="34" spans="1:23">
      <c r="A34" s="3043" t="str">
        <f>Sheet1!C13</f>
        <v>5-2</v>
      </c>
      <c r="B34" s="717">
        <f>Sheet1!E13</f>
        <v>65</v>
      </c>
      <c r="C34" s="24">
        <f t="shared" si="13"/>
        <v>1</v>
      </c>
      <c r="D34" s="719"/>
      <c r="E34" s="24">
        <f t="shared" si="14"/>
        <v>1</v>
      </c>
      <c r="F34" s="719"/>
      <c r="G34" s="24">
        <f t="shared" si="15"/>
        <v>1</v>
      </c>
      <c r="H34" s="719"/>
      <c r="I34" s="24">
        <f t="shared" si="16"/>
        <v>1</v>
      </c>
      <c r="J34" s="719"/>
      <c r="K34" s="24">
        <f t="shared" si="17"/>
        <v>1</v>
      </c>
      <c r="L34" s="719"/>
      <c r="M34" s="24">
        <f t="shared" si="18"/>
        <v>1</v>
      </c>
      <c r="N34" s="719"/>
      <c r="O34" s="24">
        <f t="shared" si="19"/>
        <v>1</v>
      </c>
      <c r="P34" s="719" t="s">
        <v>3120</v>
      </c>
      <c r="Q34" s="24">
        <f t="shared" si="20"/>
        <v>1</v>
      </c>
      <c r="R34" s="715">
        <f t="shared" ca="1" si="21"/>
        <v>27374</v>
      </c>
      <c r="S34" s="361">
        <f t="shared" ca="1" si="11"/>
        <v>178</v>
      </c>
      <c r="U34" s="3056" t="str">
        <f>Sheet1!C13</f>
        <v>5-2</v>
      </c>
      <c r="V34" s="799">
        <f>Sheet1!E13</f>
        <v>65</v>
      </c>
      <c r="W34" s="799">
        <f t="shared" si="12"/>
        <v>0</v>
      </c>
    </row>
    <row r="35" spans="1:23">
      <c r="A35" s="3043" t="str">
        <f>Sheet1!C14</f>
        <v>5-3</v>
      </c>
      <c r="B35" s="717">
        <f>Sheet1!E14</f>
        <v>78</v>
      </c>
      <c r="C35" s="24">
        <f t="shared" si="13"/>
        <v>1</v>
      </c>
      <c r="D35" s="719"/>
      <c r="E35" s="24">
        <f t="shared" si="14"/>
        <v>1</v>
      </c>
      <c r="F35" s="719"/>
      <c r="G35" s="24">
        <f t="shared" si="15"/>
        <v>1</v>
      </c>
      <c r="H35" s="719"/>
      <c r="I35" s="24">
        <f t="shared" si="16"/>
        <v>1</v>
      </c>
      <c r="J35" s="719"/>
      <c r="K35" s="24">
        <f t="shared" si="17"/>
        <v>1</v>
      </c>
      <c r="L35" s="719"/>
      <c r="M35" s="24">
        <f t="shared" si="18"/>
        <v>1</v>
      </c>
      <c r="N35" s="719"/>
      <c r="O35" s="24">
        <f t="shared" si="19"/>
        <v>1</v>
      </c>
      <c r="P35" s="719" t="s">
        <v>3120</v>
      </c>
      <c r="Q35" s="24">
        <f t="shared" si="20"/>
        <v>1</v>
      </c>
      <c r="R35" s="715">
        <f t="shared" ca="1" si="21"/>
        <v>27374</v>
      </c>
      <c r="S35" s="361">
        <f t="shared" ca="1" si="11"/>
        <v>214</v>
      </c>
      <c r="U35" s="3056" t="str">
        <f>Sheet1!C14</f>
        <v>5-3</v>
      </c>
      <c r="V35" s="799">
        <f>Sheet1!E14</f>
        <v>78</v>
      </c>
      <c r="W35" s="799">
        <f t="shared" si="12"/>
        <v>0</v>
      </c>
    </row>
    <row r="36" spans="1:23">
      <c r="A36" s="3043" t="str">
        <f>Sheet1!C15</f>
        <v>5-6</v>
      </c>
      <c r="B36" s="717">
        <f>Sheet1!E15</f>
        <v>78</v>
      </c>
      <c r="C36" s="24">
        <f t="shared" si="13"/>
        <v>1</v>
      </c>
      <c r="D36" s="719"/>
      <c r="E36" s="24">
        <f t="shared" si="14"/>
        <v>1</v>
      </c>
      <c r="F36" s="719"/>
      <c r="G36" s="24">
        <f t="shared" si="15"/>
        <v>1</v>
      </c>
      <c r="H36" s="719"/>
      <c r="I36" s="24">
        <f t="shared" si="16"/>
        <v>1</v>
      </c>
      <c r="J36" s="719"/>
      <c r="K36" s="24">
        <f t="shared" si="17"/>
        <v>1</v>
      </c>
      <c r="L36" s="719"/>
      <c r="M36" s="24">
        <f t="shared" si="18"/>
        <v>1</v>
      </c>
      <c r="N36" s="719"/>
      <c r="O36" s="24">
        <f t="shared" si="19"/>
        <v>1</v>
      </c>
      <c r="P36" s="719" t="s">
        <v>3120</v>
      </c>
      <c r="Q36" s="24">
        <f t="shared" si="20"/>
        <v>1</v>
      </c>
      <c r="R36" s="715">
        <f t="shared" ca="1" si="21"/>
        <v>27374</v>
      </c>
      <c r="S36" s="361">
        <f t="shared" ca="1" si="11"/>
        <v>214</v>
      </c>
      <c r="U36" s="3056" t="str">
        <f>Sheet1!C15</f>
        <v>5-6</v>
      </c>
      <c r="V36" s="799">
        <f>Sheet1!E15</f>
        <v>78</v>
      </c>
      <c r="W36" s="799">
        <f t="shared" si="12"/>
        <v>0</v>
      </c>
    </row>
    <row r="37" spans="1:23">
      <c r="A37" s="3043" t="str">
        <f>Sheet1!C16</f>
        <v>5-7</v>
      </c>
      <c r="B37" s="717">
        <f>Sheet1!E16</f>
        <v>97.88</v>
      </c>
      <c r="C37" s="24">
        <f t="shared" si="13"/>
        <v>1</v>
      </c>
      <c r="D37" s="719"/>
      <c r="E37" s="24">
        <f t="shared" si="14"/>
        <v>1</v>
      </c>
      <c r="F37" s="719"/>
      <c r="G37" s="24">
        <f t="shared" si="15"/>
        <v>1</v>
      </c>
      <c r="H37" s="719"/>
      <c r="I37" s="24">
        <f t="shared" si="16"/>
        <v>1</v>
      </c>
      <c r="J37" s="719"/>
      <c r="K37" s="24">
        <f t="shared" si="17"/>
        <v>1</v>
      </c>
      <c r="L37" s="719"/>
      <c r="M37" s="24">
        <f t="shared" si="18"/>
        <v>1</v>
      </c>
      <c r="N37" s="719"/>
      <c r="O37" s="24">
        <f t="shared" si="19"/>
        <v>1</v>
      </c>
      <c r="P37" s="719" t="s">
        <v>3120</v>
      </c>
      <c r="Q37" s="24">
        <f t="shared" si="20"/>
        <v>1</v>
      </c>
      <c r="R37" s="715">
        <f t="shared" ca="1" si="21"/>
        <v>27374</v>
      </c>
      <c r="S37" s="361">
        <f t="shared" ca="1" si="11"/>
        <v>268</v>
      </c>
      <c r="U37" s="3056" t="str">
        <f>Sheet1!C16</f>
        <v>5-7</v>
      </c>
      <c r="V37" s="799">
        <f>Sheet1!E16</f>
        <v>97.88</v>
      </c>
      <c r="W37" s="799">
        <f t="shared" si="12"/>
        <v>0</v>
      </c>
    </row>
    <row r="38" spans="1:23">
      <c r="A38" s="3043" t="str">
        <f>Sheet1!C17</f>
        <v>5-8</v>
      </c>
      <c r="B38" s="717">
        <f>Sheet1!E17</f>
        <v>142.75</v>
      </c>
      <c r="C38" s="24">
        <f t="shared" si="13"/>
        <v>0.99</v>
      </c>
      <c r="D38" s="719"/>
      <c r="E38" s="24">
        <f t="shared" si="14"/>
        <v>1</v>
      </c>
      <c r="F38" s="719"/>
      <c r="G38" s="24">
        <f t="shared" si="15"/>
        <v>1</v>
      </c>
      <c r="H38" s="719"/>
      <c r="I38" s="24">
        <f t="shared" si="16"/>
        <v>1</v>
      </c>
      <c r="J38" s="719"/>
      <c r="K38" s="24">
        <f t="shared" si="17"/>
        <v>1</v>
      </c>
      <c r="L38" s="719"/>
      <c r="M38" s="24">
        <f t="shared" si="18"/>
        <v>1</v>
      </c>
      <c r="N38" s="719"/>
      <c r="O38" s="24">
        <f t="shared" si="19"/>
        <v>1</v>
      </c>
      <c r="P38" s="719" t="s">
        <v>3120</v>
      </c>
      <c r="Q38" s="24">
        <f t="shared" si="20"/>
        <v>1</v>
      </c>
      <c r="R38" s="715">
        <f t="shared" ca="1" si="21"/>
        <v>27100</v>
      </c>
      <c r="S38" s="361">
        <f t="shared" ca="1" si="11"/>
        <v>387</v>
      </c>
      <c r="U38" s="3056" t="str">
        <f>Sheet1!C17</f>
        <v>5-8</v>
      </c>
      <c r="V38" s="799">
        <f>Sheet1!E17</f>
        <v>142.75</v>
      </c>
      <c r="W38" s="799">
        <f t="shared" si="12"/>
        <v>0</v>
      </c>
    </row>
    <row r="39" spans="1:23">
      <c r="A39" s="3043" t="str">
        <f>Sheet1!C18</f>
        <v>5-9</v>
      </c>
      <c r="B39" s="717">
        <f>Sheet1!E18</f>
        <v>128.12</v>
      </c>
      <c r="C39" s="24">
        <f t="shared" si="13"/>
        <v>0.99</v>
      </c>
      <c r="D39" s="719"/>
      <c r="E39" s="24">
        <f t="shared" si="14"/>
        <v>1</v>
      </c>
      <c r="F39" s="719"/>
      <c r="G39" s="24">
        <f t="shared" si="15"/>
        <v>1</v>
      </c>
      <c r="H39" s="719"/>
      <c r="I39" s="24">
        <f t="shared" si="16"/>
        <v>1</v>
      </c>
      <c r="J39" s="719"/>
      <c r="K39" s="24">
        <f t="shared" si="17"/>
        <v>1</v>
      </c>
      <c r="L39" s="719"/>
      <c r="M39" s="24">
        <f t="shared" si="18"/>
        <v>1</v>
      </c>
      <c r="N39" s="719"/>
      <c r="O39" s="24">
        <f t="shared" si="19"/>
        <v>1</v>
      </c>
      <c r="P39" s="719" t="s">
        <v>3120</v>
      </c>
      <c r="Q39" s="24">
        <f t="shared" si="20"/>
        <v>1</v>
      </c>
      <c r="R39" s="715">
        <f t="shared" ca="1" si="21"/>
        <v>27100</v>
      </c>
      <c r="S39" s="361">
        <f t="shared" ca="1" si="11"/>
        <v>347</v>
      </c>
      <c r="U39" s="3056" t="str">
        <f>Sheet1!C18</f>
        <v>5-9</v>
      </c>
      <c r="V39" s="799">
        <f>Sheet1!E18</f>
        <v>128.12</v>
      </c>
      <c r="W39" s="799">
        <f t="shared" si="12"/>
        <v>0</v>
      </c>
    </row>
    <row r="40" spans="1:23">
      <c r="A40" s="3043" t="str">
        <f>Sheet1!C19</f>
        <v>5-10</v>
      </c>
      <c r="B40" s="717">
        <f>Sheet1!E19</f>
        <v>110.11</v>
      </c>
      <c r="C40" s="24">
        <f t="shared" si="13"/>
        <v>0.99</v>
      </c>
      <c r="D40" s="719"/>
      <c r="E40" s="24">
        <f t="shared" si="14"/>
        <v>1</v>
      </c>
      <c r="F40" s="719"/>
      <c r="G40" s="24">
        <f t="shared" si="15"/>
        <v>1</v>
      </c>
      <c r="H40" s="719"/>
      <c r="I40" s="24">
        <f t="shared" si="16"/>
        <v>1</v>
      </c>
      <c r="J40" s="719"/>
      <c r="K40" s="24">
        <f t="shared" si="17"/>
        <v>1</v>
      </c>
      <c r="L40" s="719"/>
      <c r="M40" s="24">
        <f t="shared" si="18"/>
        <v>1</v>
      </c>
      <c r="N40" s="719"/>
      <c r="O40" s="24">
        <f t="shared" si="19"/>
        <v>1</v>
      </c>
      <c r="P40" s="719" t="s">
        <v>3120</v>
      </c>
      <c r="Q40" s="24">
        <f t="shared" si="20"/>
        <v>1</v>
      </c>
      <c r="R40" s="715">
        <f t="shared" ca="1" si="21"/>
        <v>27100</v>
      </c>
      <c r="S40" s="361">
        <f t="shared" ca="1" si="11"/>
        <v>298</v>
      </c>
      <c r="U40" s="3056" t="str">
        <f>Sheet1!C19</f>
        <v>5-10</v>
      </c>
      <c r="V40" s="799">
        <f>Sheet1!E19</f>
        <v>110.11</v>
      </c>
      <c r="W40" s="799">
        <f t="shared" si="12"/>
        <v>0</v>
      </c>
    </row>
    <row r="41" spans="1:23">
      <c r="A41" s="3043" t="str">
        <f>Sheet1!C20</f>
        <v>5-11</v>
      </c>
      <c r="B41" s="717">
        <f>Sheet1!E20</f>
        <v>142.75</v>
      </c>
      <c r="C41" s="24">
        <f t="shared" si="13"/>
        <v>0.99</v>
      </c>
      <c r="D41" s="719"/>
      <c r="E41" s="24">
        <f t="shared" si="14"/>
        <v>1</v>
      </c>
      <c r="F41" s="719"/>
      <c r="G41" s="24">
        <f t="shared" si="15"/>
        <v>1</v>
      </c>
      <c r="H41" s="719"/>
      <c r="I41" s="24">
        <f t="shared" si="16"/>
        <v>1</v>
      </c>
      <c r="J41" s="719"/>
      <c r="K41" s="24">
        <f t="shared" si="17"/>
        <v>1</v>
      </c>
      <c r="L41" s="719"/>
      <c r="M41" s="24">
        <f t="shared" si="18"/>
        <v>1</v>
      </c>
      <c r="N41" s="719"/>
      <c r="O41" s="24">
        <f t="shared" si="19"/>
        <v>1</v>
      </c>
      <c r="P41" s="719" t="s">
        <v>3120</v>
      </c>
      <c r="Q41" s="24">
        <f t="shared" si="20"/>
        <v>1</v>
      </c>
      <c r="R41" s="715">
        <f t="shared" ca="1" si="21"/>
        <v>27100</v>
      </c>
      <c r="S41" s="361">
        <f t="shared" ca="1" si="11"/>
        <v>387</v>
      </c>
      <c r="U41" s="3056" t="str">
        <f>Sheet1!C20</f>
        <v>5-11</v>
      </c>
      <c r="V41" s="799">
        <f>Sheet1!E20</f>
        <v>142.75</v>
      </c>
      <c r="W41" s="799">
        <f t="shared" si="12"/>
        <v>0</v>
      </c>
    </row>
    <row r="42" spans="1:23">
      <c r="A42" s="3043" t="str">
        <f>Sheet1!C21</f>
        <v>5-12</v>
      </c>
      <c r="B42" s="717">
        <f>Sheet1!E21</f>
        <v>142.75</v>
      </c>
      <c r="C42" s="24">
        <f t="shared" si="13"/>
        <v>0.99</v>
      </c>
      <c r="D42" s="719"/>
      <c r="E42" s="24">
        <f t="shared" si="14"/>
        <v>1</v>
      </c>
      <c r="F42" s="719"/>
      <c r="G42" s="24">
        <f t="shared" si="15"/>
        <v>1</v>
      </c>
      <c r="H42" s="719"/>
      <c r="I42" s="24">
        <f t="shared" si="16"/>
        <v>1</v>
      </c>
      <c r="J42" s="719"/>
      <c r="K42" s="24">
        <f t="shared" si="17"/>
        <v>1</v>
      </c>
      <c r="L42" s="719"/>
      <c r="M42" s="24">
        <f t="shared" si="18"/>
        <v>1</v>
      </c>
      <c r="N42" s="719"/>
      <c r="O42" s="24">
        <f t="shared" si="19"/>
        <v>1</v>
      </c>
      <c r="P42" s="719" t="s">
        <v>3120</v>
      </c>
      <c r="Q42" s="24">
        <f t="shared" si="20"/>
        <v>1</v>
      </c>
      <c r="R42" s="715">
        <f t="shared" ca="1" si="21"/>
        <v>27100</v>
      </c>
      <c r="S42" s="361">
        <f t="shared" ca="1" si="11"/>
        <v>387</v>
      </c>
      <c r="U42" s="3056" t="str">
        <f>Sheet1!C21</f>
        <v>5-12</v>
      </c>
      <c r="V42" s="799">
        <f>Sheet1!E21</f>
        <v>142.75</v>
      </c>
      <c r="W42" s="799">
        <f t="shared" si="12"/>
        <v>0</v>
      </c>
    </row>
    <row r="43" spans="1:23">
      <c r="A43" s="3043" t="str">
        <f>Sheet1!C22</f>
        <v>5-13</v>
      </c>
      <c r="B43" s="717">
        <f>Sheet1!E22</f>
        <v>128.12</v>
      </c>
      <c r="C43" s="24">
        <f t="shared" si="13"/>
        <v>0.99</v>
      </c>
      <c r="D43" s="719"/>
      <c r="E43" s="24">
        <f t="shared" si="14"/>
        <v>1</v>
      </c>
      <c r="F43" s="719"/>
      <c r="G43" s="24">
        <f t="shared" si="15"/>
        <v>1</v>
      </c>
      <c r="H43" s="719"/>
      <c r="I43" s="24">
        <f t="shared" si="16"/>
        <v>1</v>
      </c>
      <c r="J43" s="719"/>
      <c r="K43" s="24">
        <f t="shared" si="17"/>
        <v>1</v>
      </c>
      <c r="L43" s="719"/>
      <c r="M43" s="24">
        <f t="shared" si="18"/>
        <v>1</v>
      </c>
      <c r="N43" s="719"/>
      <c r="O43" s="24">
        <f t="shared" si="19"/>
        <v>1</v>
      </c>
      <c r="P43" s="719" t="s">
        <v>3120</v>
      </c>
      <c r="Q43" s="24">
        <f t="shared" si="20"/>
        <v>1</v>
      </c>
      <c r="R43" s="715">
        <f t="shared" ca="1" si="21"/>
        <v>27100</v>
      </c>
      <c r="S43" s="361">
        <f t="shared" ca="1" si="11"/>
        <v>347</v>
      </c>
      <c r="U43" s="3056" t="str">
        <f>Sheet1!C22</f>
        <v>5-13</v>
      </c>
      <c r="V43" s="799">
        <f>Sheet1!E22</f>
        <v>128.12</v>
      </c>
      <c r="W43" s="799">
        <f t="shared" si="12"/>
        <v>0</v>
      </c>
    </row>
    <row r="44" spans="1:23">
      <c r="A44" s="3043" t="str">
        <f>Sheet1!C23</f>
        <v>5-14</v>
      </c>
      <c r="B44" s="717">
        <f>Sheet1!E23</f>
        <v>110.11</v>
      </c>
      <c r="C44" s="24">
        <f t="shared" si="13"/>
        <v>0.99</v>
      </c>
      <c r="D44" s="719"/>
      <c r="E44" s="24">
        <f t="shared" si="14"/>
        <v>1</v>
      </c>
      <c r="F44" s="719"/>
      <c r="G44" s="24">
        <f t="shared" si="15"/>
        <v>1</v>
      </c>
      <c r="H44" s="719"/>
      <c r="I44" s="24">
        <f t="shared" si="16"/>
        <v>1</v>
      </c>
      <c r="J44" s="719"/>
      <c r="K44" s="24">
        <f t="shared" si="17"/>
        <v>1</v>
      </c>
      <c r="L44" s="719"/>
      <c r="M44" s="24">
        <f t="shared" si="18"/>
        <v>1</v>
      </c>
      <c r="N44" s="719"/>
      <c r="O44" s="24">
        <f t="shared" si="19"/>
        <v>1</v>
      </c>
      <c r="P44" s="719" t="s">
        <v>3120</v>
      </c>
      <c r="Q44" s="24">
        <f t="shared" si="20"/>
        <v>1</v>
      </c>
      <c r="R44" s="715">
        <f t="shared" ca="1" si="21"/>
        <v>27100</v>
      </c>
      <c r="S44" s="361">
        <f t="shared" ca="1" si="11"/>
        <v>298</v>
      </c>
      <c r="U44" s="3056" t="str">
        <f>Sheet1!C23</f>
        <v>5-14</v>
      </c>
      <c r="V44" s="799">
        <f>Sheet1!E23</f>
        <v>110.11</v>
      </c>
      <c r="W44" s="799">
        <f t="shared" si="12"/>
        <v>0</v>
      </c>
    </row>
    <row r="45" spans="1:23">
      <c r="A45" s="3043" t="str">
        <f>Sheet1!C24</f>
        <v>6-1</v>
      </c>
      <c r="B45" s="717">
        <f>Sheet1!E24</f>
        <v>103.95</v>
      </c>
      <c r="C45" s="24">
        <f t="shared" si="13"/>
        <v>0.99</v>
      </c>
      <c r="D45" s="719"/>
      <c r="E45" s="24">
        <f t="shared" si="14"/>
        <v>1</v>
      </c>
      <c r="F45" s="719"/>
      <c r="G45" s="24">
        <f t="shared" si="15"/>
        <v>1</v>
      </c>
      <c r="H45" s="719"/>
      <c r="I45" s="24">
        <f t="shared" si="16"/>
        <v>1</v>
      </c>
      <c r="J45" s="719"/>
      <c r="K45" s="24">
        <f t="shared" si="17"/>
        <v>1</v>
      </c>
      <c r="L45" s="719"/>
      <c r="M45" s="24">
        <f t="shared" si="18"/>
        <v>1</v>
      </c>
      <c r="N45" s="719"/>
      <c r="O45" s="24">
        <f t="shared" si="19"/>
        <v>1</v>
      </c>
      <c r="P45" s="719" t="s">
        <v>3120</v>
      </c>
      <c r="Q45" s="24">
        <f t="shared" si="20"/>
        <v>1</v>
      </c>
      <c r="R45" s="715">
        <f t="shared" ca="1" si="21"/>
        <v>27100</v>
      </c>
      <c r="S45" s="361">
        <f t="shared" ca="1" si="11"/>
        <v>282</v>
      </c>
      <c r="U45" s="3056" t="str">
        <f>Sheet1!C24</f>
        <v>6-1</v>
      </c>
      <c r="V45" s="799">
        <f>Sheet1!E24</f>
        <v>103.95</v>
      </c>
      <c r="W45" s="799">
        <f t="shared" si="12"/>
        <v>0</v>
      </c>
    </row>
    <row r="46" spans="1:23">
      <c r="A46" s="3043" t="str">
        <f>Sheet1!C25</f>
        <v>6-2</v>
      </c>
      <c r="B46" s="717">
        <f>Sheet1!E25</f>
        <v>103.95</v>
      </c>
      <c r="C46" s="24">
        <f t="shared" si="13"/>
        <v>0.99</v>
      </c>
      <c r="D46" s="719"/>
      <c r="E46" s="24">
        <f t="shared" si="14"/>
        <v>1</v>
      </c>
      <c r="F46" s="719"/>
      <c r="G46" s="24">
        <f t="shared" si="15"/>
        <v>1</v>
      </c>
      <c r="H46" s="719"/>
      <c r="I46" s="24">
        <f t="shared" si="16"/>
        <v>1</v>
      </c>
      <c r="J46" s="719"/>
      <c r="K46" s="24">
        <f t="shared" si="17"/>
        <v>1</v>
      </c>
      <c r="L46" s="719"/>
      <c r="M46" s="24">
        <f t="shared" si="18"/>
        <v>1</v>
      </c>
      <c r="N46" s="719"/>
      <c r="O46" s="24">
        <f t="shared" si="19"/>
        <v>1</v>
      </c>
      <c r="P46" s="719" t="s">
        <v>3120</v>
      </c>
      <c r="Q46" s="24">
        <f t="shared" si="20"/>
        <v>1</v>
      </c>
      <c r="R46" s="715">
        <f t="shared" ca="1" si="21"/>
        <v>27100</v>
      </c>
      <c r="S46" s="361">
        <f t="shared" ca="1" si="11"/>
        <v>282</v>
      </c>
      <c r="U46" s="3056" t="str">
        <f>Sheet1!C25</f>
        <v>6-2</v>
      </c>
      <c r="V46" s="799">
        <f>Sheet1!E25</f>
        <v>103.95</v>
      </c>
      <c r="W46" s="799">
        <f t="shared" si="12"/>
        <v>0</v>
      </c>
    </row>
    <row r="47" spans="1:23">
      <c r="A47" s="3043" t="str">
        <f>Sheet1!C26</f>
        <v>6-3</v>
      </c>
      <c r="B47" s="717">
        <f>Sheet1!E26</f>
        <v>82.32</v>
      </c>
      <c r="C47" s="24">
        <f t="shared" si="13"/>
        <v>1</v>
      </c>
      <c r="D47" s="719"/>
      <c r="E47" s="24">
        <f t="shared" si="14"/>
        <v>1</v>
      </c>
      <c r="F47" s="719"/>
      <c r="G47" s="24">
        <f t="shared" si="15"/>
        <v>1</v>
      </c>
      <c r="H47" s="719"/>
      <c r="I47" s="24">
        <f t="shared" si="16"/>
        <v>1</v>
      </c>
      <c r="J47" s="719"/>
      <c r="K47" s="24">
        <f t="shared" si="17"/>
        <v>1</v>
      </c>
      <c r="L47" s="719"/>
      <c r="M47" s="24">
        <f t="shared" si="18"/>
        <v>1</v>
      </c>
      <c r="N47" s="719"/>
      <c r="O47" s="24">
        <f t="shared" si="19"/>
        <v>1</v>
      </c>
      <c r="P47" s="719" t="s">
        <v>3120</v>
      </c>
      <c r="Q47" s="24">
        <f t="shared" si="20"/>
        <v>1</v>
      </c>
      <c r="R47" s="715">
        <f t="shared" ca="1" si="21"/>
        <v>27374</v>
      </c>
      <c r="S47" s="361">
        <f t="shared" ca="1" si="11"/>
        <v>225</v>
      </c>
      <c r="U47" s="3056" t="str">
        <f>Sheet1!C26</f>
        <v>6-3</v>
      </c>
      <c r="V47" s="799">
        <f>Sheet1!E26</f>
        <v>82.32</v>
      </c>
      <c r="W47" s="799">
        <f t="shared" si="12"/>
        <v>0</v>
      </c>
    </row>
    <row r="48" spans="1:23">
      <c r="A48" s="3043" t="str">
        <f>Sheet1!C27</f>
        <v>6-4</v>
      </c>
      <c r="B48" s="717">
        <f>Sheet1!E27</f>
        <v>87.9</v>
      </c>
      <c r="C48" s="24">
        <f t="shared" si="13"/>
        <v>1</v>
      </c>
      <c r="D48" s="719"/>
      <c r="E48" s="24">
        <f t="shared" si="14"/>
        <v>1</v>
      </c>
      <c r="F48" s="719"/>
      <c r="G48" s="24">
        <f t="shared" si="15"/>
        <v>1</v>
      </c>
      <c r="H48" s="719"/>
      <c r="I48" s="24">
        <f t="shared" si="16"/>
        <v>1</v>
      </c>
      <c r="J48" s="719"/>
      <c r="K48" s="24">
        <f t="shared" si="17"/>
        <v>1</v>
      </c>
      <c r="L48" s="719"/>
      <c r="M48" s="24">
        <f t="shared" si="18"/>
        <v>1</v>
      </c>
      <c r="N48" s="719"/>
      <c r="O48" s="24">
        <f t="shared" si="19"/>
        <v>1</v>
      </c>
      <c r="P48" s="719" t="s">
        <v>3120</v>
      </c>
      <c r="Q48" s="24">
        <f t="shared" si="20"/>
        <v>1</v>
      </c>
      <c r="R48" s="715">
        <f t="shared" ca="1" si="21"/>
        <v>27374</v>
      </c>
      <c r="S48" s="361">
        <f t="shared" ca="1" si="11"/>
        <v>241</v>
      </c>
      <c r="U48" s="3056" t="str">
        <f>Sheet1!C27</f>
        <v>6-4</v>
      </c>
      <c r="V48" s="799">
        <f>Sheet1!E27</f>
        <v>87.9</v>
      </c>
      <c r="W48" s="799">
        <f t="shared" si="12"/>
        <v>0</v>
      </c>
    </row>
    <row r="49" spans="1:23">
      <c r="A49" s="3043" t="str">
        <f>Sheet1!C28</f>
        <v>6-5</v>
      </c>
      <c r="B49" s="717">
        <f>Sheet1!E28</f>
        <v>79.95</v>
      </c>
      <c r="C49" s="24">
        <f t="shared" si="13"/>
        <v>1</v>
      </c>
      <c r="D49" s="719"/>
      <c r="E49" s="24">
        <f t="shared" si="14"/>
        <v>1</v>
      </c>
      <c r="F49" s="719"/>
      <c r="G49" s="24">
        <f t="shared" si="15"/>
        <v>1</v>
      </c>
      <c r="H49" s="719"/>
      <c r="I49" s="24">
        <f t="shared" si="16"/>
        <v>1</v>
      </c>
      <c r="J49" s="719"/>
      <c r="K49" s="24">
        <f t="shared" si="17"/>
        <v>1</v>
      </c>
      <c r="L49" s="719"/>
      <c r="M49" s="24">
        <f t="shared" si="18"/>
        <v>1</v>
      </c>
      <c r="N49" s="719"/>
      <c r="O49" s="24">
        <f t="shared" si="19"/>
        <v>1</v>
      </c>
      <c r="P49" s="719" t="s">
        <v>3120</v>
      </c>
      <c r="Q49" s="24">
        <f t="shared" si="20"/>
        <v>1</v>
      </c>
      <c r="R49" s="715">
        <f t="shared" ca="1" si="21"/>
        <v>27374</v>
      </c>
      <c r="S49" s="361">
        <f t="shared" ca="1" si="11"/>
        <v>219</v>
      </c>
      <c r="U49" s="3056" t="str">
        <f>Sheet1!C28</f>
        <v>6-5</v>
      </c>
      <c r="V49" s="799">
        <f>Sheet1!E28</f>
        <v>79.95</v>
      </c>
      <c r="W49" s="799">
        <f t="shared" si="12"/>
        <v>0</v>
      </c>
    </row>
    <row r="50" spans="1:23">
      <c r="A50" s="3043" t="str">
        <f>Sheet1!C29</f>
        <v>6-6</v>
      </c>
      <c r="B50" s="717">
        <f>Sheet1!E29</f>
        <v>141.07</v>
      </c>
      <c r="C50" s="24">
        <f t="shared" si="13"/>
        <v>0.99</v>
      </c>
      <c r="D50" s="719"/>
      <c r="E50" s="24">
        <f t="shared" si="14"/>
        <v>1</v>
      </c>
      <c r="F50" s="719"/>
      <c r="G50" s="24">
        <f t="shared" si="15"/>
        <v>1</v>
      </c>
      <c r="H50" s="719"/>
      <c r="I50" s="24">
        <f t="shared" si="16"/>
        <v>1</v>
      </c>
      <c r="J50" s="719"/>
      <c r="K50" s="24">
        <f t="shared" si="17"/>
        <v>1</v>
      </c>
      <c r="L50" s="719"/>
      <c r="M50" s="24">
        <f t="shared" si="18"/>
        <v>1</v>
      </c>
      <c r="N50" s="719"/>
      <c r="O50" s="24">
        <f t="shared" si="19"/>
        <v>1</v>
      </c>
      <c r="P50" s="719" t="s">
        <v>3120</v>
      </c>
      <c r="Q50" s="24">
        <f t="shared" si="20"/>
        <v>1</v>
      </c>
      <c r="R50" s="715">
        <f t="shared" ca="1" si="21"/>
        <v>27100</v>
      </c>
      <c r="S50" s="361">
        <f t="shared" ca="1" si="11"/>
        <v>382</v>
      </c>
      <c r="U50" s="3056" t="str">
        <f>Sheet1!C29</f>
        <v>6-6</v>
      </c>
      <c r="V50" s="799">
        <f>Sheet1!E29</f>
        <v>141.07</v>
      </c>
      <c r="W50" s="799">
        <f t="shared" si="12"/>
        <v>0</v>
      </c>
    </row>
    <row r="51" spans="1:23">
      <c r="A51" s="3043" t="str">
        <f>Sheet1!C30</f>
        <v>7-1</v>
      </c>
      <c r="B51" s="717">
        <f>Sheet1!E30</f>
        <v>77.02</v>
      </c>
      <c r="C51" s="24">
        <f t="shared" si="13"/>
        <v>1</v>
      </c>
      <c r="D51" s="719"/>
      <c r="E51" s="24">
        <f t="shared" si="14"/>
        <v>1</v>
      </c>
      <c r="F51" s="719"/>
      <c r="G51" s="24">
        <f t="shared" si="15"/>
        <v>1</v>
      </c>
      <c r="H51" s="719"/>
      <c r="I51" s="24">
        <f t="shared" si="16"/>
        <v>1</v>
      </c>
      <c r="J51" s="719"/>
      <c r="K51" s="24">
        <f t="shared" si="17"/>
        <v>1</v>
      </c>
      <c r="L51" s="719"/>
      <c r="M51" s="24">
        <f t="shared" si="18"/>
        <v>1</v>
      </c>
      <c r="N51" s="719"/>
      <c r="O51" s="24">
        <f t="shared" si="19"/>
        <v>1</v>
      </c>
      <c r="P51" s="719" t="s">
        <v>3120</v>
      </c>
      <c r="Q51" s="24">
        <f t="shared" si="20"/>
        <v>1</v>
      </c>
      <c r="R51" s="715">
        <f t="shared" ca="1" si="21"/>
        <v>27374</v>
      </c>
      <c r="S51" s="361">
        <f t="shared" ca="1" si="11"/>
        <v>211</v>
      </c>
      <c r="U51" s="3056" t="str">
        <f>Sheet1!C30</f>
        <v>7-1</v>
      </c>
      <c r="V51" s="799">
        <f>Sheet1!E30</f>
        <v>77.02</v>
      </c>
      <c r="W51" s="799">
        <f t="shared" si="12"/>
        <v>0</v>
      </c>
    </row>
    <row r="52" spans="1:23">
      <c r="A52" s="3043" t="str">
        <f>Sheet1!C31</f>
        <v>7-2</v>
      </c>
      <c r="B52" s="717">
        <f>Sheet1!E31</f>
        <v>77.02</v>
      </c>
      <c r="C52" s="24">
        <f t="shared" si="13"/>
        <v>1</v>
      </c>
      <c r="D52" s="719"/>
      <c r="E52" s="24">
        <f t="shared" si="14"/>
        <v>1</v>
      </c>
      <c r="F52" s="719"/>
      <c r="G52" s="24">
        <f t="shared" si="15"/>
        <v>1</v>
      </c>
      <c r="H52" s="719"/>
      <c r="I52" s="24">
        <f t="shared" si="16"/>
        <v>1</v>
      </c>
      <c r="J52" s="719"/>
      <c r="K52" s="24">
        <f t="shared" si="17"/>
        <v>1</v>
      </c>
      <c r="L52" s="719"/>
      <c r="M52" s="24">
        <f t="shared" si="18"/>
        <v>1</v>
      </c>
      <c r="N52" s="719"/>
      <c r="O52" s="24">
        <f t="shared" si="19"/>
        <v>1</v>
      </c>
      <c r="P52" s="719" t="s">
        <v>3120</v>
      </c>
      <c r="Q52" s="24">
        <f t="shared" si="20"/>
        <v>1</v>
      </c>
      <c r="R52" s="715">
        <f t="shared" ca="1" si="21"/>
        <v>27374</v>
      </c>
      <c r="S52" s="361">
        <f t="shared" ca="1" si="11"/>
        <v>211</v>
      </c>
      <c r="U52" s="3056" t="str">
        <f>Sheet1!C31</f>
        <v>7-2</v>
      </c>
      <c r="V52" s="799">
        <f>Sheet1!E31</f>
        <v>77.02</v>
      </c>
      <c r="W52" s="799">
        <f t="shared" si="12"/>
        <v>0</v>
      </c>
    </row>
    <row r="53" spans="1:23">
      <c r="A53" s="3043" t="str">
        <f>Sheet1!C32</f>
        <v>7-3</v>
      </c>
      <c r="B53" s="717">
        <f>Sheet1!E32</f>
        <v>77.02</v>
      </c>
      <c r="C53" s="24">
        <f t="shared" si="13"/>
        <v>1</v>
      </c>
      <c r="D53" s="719"/>
      <c r="E53" s="24">
        <f t="shared" si="14"/>
        <v>1</v>
      </c>
      <c r="F53" s="719"/>
      <c r="G53" s="24">
        <f t="shared" si="15"/>
        <v>1</v>
      </c>
      <c r="H53" s="719"/>
      <c r="I53" s="24">
        <f t="shared" si="16"/>
        <v>1</v>
      </c>
      <c r="J53" s="719"/>
      <c r="K53" s="24">
        <f t="shared" si="17"/>
        <v>1</v>
      </c>
      <c r="L53" s="719"/>
      <c r="M53" s="24">
        <f t="shared" si="18"/>
        <v>1</v>
      </c>
      <c r="N53" s="719"/>
      <c r="O53" s="24">
        <f t="shared" si="19"/>
        <v>1</v>
      </c>
      <c r="P53" s="719" t="s">
        <v>3120</v>
      </c>
      <c r="Q53" s="24">
        <f t="shared" si="20"/>
        <v>1</v>
      </c>
      <c r="R53" s="715">
        <f t="shared" ca="1" si="21"/>
        <v>27374</v>
      </c>
      <c r="S53" s="361">
        <f t="shared" ca="1" si="11"/>
        <v>211</v>
      </c>
      <c r="U53" s="3056" t="str">
        <f>Sheet1!C32</f>
        <v>7-3</v>
      </c>
      <c r="V53" s="799">
        <f>Sheet1!E32</f>
        <v>77.02</v>
      </c>
      <c r="W53" s="799">
        <f t="shared" si="12"/>
        <v>0</v>
      </c>
    </row>
    <row r="54" spans="1:23">
      <c r="A54" s="3043" t="str">
        <f>Sheet1!C33</f>
        <v>7-4</v>
      </c>
      <c r="B54" s="717">
        <f>Sheet1!E33</f>
        <v>77.02</v>
      </c>
      <c r="C54" s="24">
        <f t="shared" si="13"/>
        <v>1</v>
      </c>
      <c r="D54" s="719"/>
      <c r="E54" s="24">
        <f t="shared" si="14"/>
        <v>1</v>
      </c>
      <c r="F54" s="719"/>
      <c r="G54" s="24">
        <f t="shared" si="15"/>
        <v>1</v>
      </c>
      <c r="H54" s="719"/>
      <c r="I54" s="24">
        <f t="shared" si="16"/>
        <v>1</v>
      </c>
      <c r="J54" s="719"/>
      <c r="K54" s="24">
        <f t="shared" si="17"/>
        <v>1</v>
      </c>
      <c r="L54" s="719"/>
      <c r="M54" s="24">
        <f t="shared" si="18"/>
        <v>1</v>
      </c>
      <c r="N54" s="719"/>
      <c r="O54" s="24">
        <f t="shared" si="19"/>
        <v>1</v>
      </c>
      <c r="P54" s="719" t="s">
        <v>3120</v>
      </c>
      <c r="Q54" s="24">
        <f t="shared" si="20"/>
        <v>1</v>
      </c>
      <c r="R54" s="715">
        <f t="shared" ca="1" si="21"/>
        <v>27374</v>
      </c>
      <c r="S54" s="361">
        <f t="shared" ca="1" si="11"/>
        <v>211</v>
      </c>
      <c r="U54" s="3056" t="str">
        <f>Sheet1!C33</f>
        <v>7-4</v>
      </c>
      <c r="V54" s="799">
        <f>Sheet1!E33</f>
        <v>77.02</v>
      </c>
      <c r="W54" s="799">
        <f t="shared" si="12"/>
        <v>0</v>
      </c>
    </row>
    <row r="55" spans="1:23">
      <c r="A55" s="3043" t="str">
        <f>Sheet1!C34</f>
        <v>7-5</v>
      </c>
      <c r="B55" s="717">
        <f>Sheet1!E34</f>
        <v>77.02</v>
      </c>
      <c r="C55" s="24">
        <f t="shared" si="13"/>
        <v>1</v>
      </c>
      <c r="D55" s="719"/>
      <c r="E55" s="24">
        <f t="shared" si="14"/>
        <v>1</v>
      </c>
      <c r="F55" s="719"/>
      <c r="G55" s="24">
        <f t="shared" si="15"/>
        <v>1</v>
      </c>
      <c r="H55" s="719"/>
      <c r="I55" s="24">
        <f t="shared" si="16"/>
        <v>1</v>
      </c>
      <c r="J55" s="719"/>
      <c r="K55" s="24">
        <f t="shared" si="17"/>
        <v>1</v>
      </c>
      <c r="L55" s="719"/>
      <c r="M55" s="24">
        <f t="shared" si="18"/>
        <v>1</v>
      </c>
      <c r="N55" s="719"/>
      <c r="O55" s="24">
        <f t="shared" si="19"/>
        <v>1</v>
      </c>
      <c r="P55" s="719" t="s">
        <v>3120</v>
      </c>
      <c r="Q55" s="24">
        <f t="shared" si="20"/>
        <v>1</v>
      </c>
      <c r="R55" s="715">
        <f t="shared" ca="1" si="21"/>
        <v>27374</v>
      </c>
      <c r="S55" s="361">
        <f t="shared" ref="S55:S77" ca="1" si="22">ROUND(R55*B55/10000,0)</f>
        <v>211</v>
      </c>
      <c r="U55" s="3056" t="str">
        <f>Sheet1!C34</f>
        <v>7-5</v>
      </c>
      <c r="V55" s="799">
        <f>Sheet1!E34</f>
        <v>77.02</v>
      </c>
      <c r="W55" s="799">
        <f t="shared" si="12"/>
        <v>0</v>
      </c>
    </row>
    <row r="56" spans="1:23">
      <c r="A56" s="3043" t="str">
        <f>Sheet1!C35</f>
        <v>7-6</v>
      </c>
      <c r="B56" s="717">
        <f>Sheet1!E35</f>
        <v>168.06</v>
      </c>
      <c r="C56" s="24">
        <f t="shared" si="13"/>
        <v>0.99</v>
      </c>
      <c r="D56" s="719"/>
      <c r="E56" s="24">
        <f t="shared" si="14"/>
        <v>1</v>
      </c>
      <c r="F56" s="719"/>
      <c r="G56" s="24">
        <f t="shared" si="15"/>
        <v>1</v>
      </c>
      <c r="H56" s="719"/>
      <c r="I56" s="24">
        <f t="shared" si="16"/>
        <v>1</v>
      </c>
      <c r="J56" s="719"/>
      <c r="K56" s="24">
        <f t="shared" si="17"/>
        <v>1</v>
      </c>
      <c r="L56" s="719"/>
      <c r="M56" s="24">
        <f t="shared" si="18"/>
        <v>1</v>
      </c>
      <c r="N56" s="719"/>
      <c r="O56" s="24">
        <f t="shared" si="19"/>
        <v>1</v>
      </c>
      <c r="P56" s="719" t="s">
        <v>3120</v>
      </c>
      <c r="Q56" s="24">
        <f t="shared" si="20"/>
        <v>1</v>
      </c>
      <c r="R56" s="715">
        <f t="shared" ca="1" si="21"/>
        <v>27100</v>
      </c>
      <c r="S56" s="361">
        <f t="shared" ca="1" si="22"/>
        <v>455</v>
      </c>
      <c r="U56" s="3056" t="str">
        <f>Sheet1!C35</f>
        <v>7-6</v>
      </c>
      <c r="V56" s="799">
        <f>Sheet1!E35</f>
        <v>168.06</v>
      </c>
      <c r="W56" s="799">
        <f t="shared" si="12"/>
        <v>0</v>
      </c>
    </row>
    <row r="57" spans="1:23">
      <c r="A57" s="3043" t="str">
        <f>Sheet1!C36</f>
        <v>7-7</v>
      </c>
      <c r="B57" s="717">
        <f>Sheet1!E36</f>
        <v>82.43</v>
      </c>
      <c r="C57" s="24">
        <f t="shared" si="13"/>
        <v>1</v>
      </c>
      <c r="D57" s="719"/>
      <c r="E57" s="24">
        <f t="shared" si="14"/>
        <v>1</v>
      </c>
      <c r="F57" s="719"/>
      <c r="G57" s="24">
        <f t="shared" si="15"/>
        <v>1</v>
      </c>
      <c r="H57" s="719"/>
      <c r="I57" s="24">
        <f t="shared" si="16"/>
        <v>1</v>
      </c>
      <c r="J57" s="719"/>
      <c r="K57" s="24">
        <f t="shared" si="17"/>
        <v>1</v>
      </c>
      <c r="L57" s="719"/>
      <c r="M57" s="24">
        <f t="shared" si="18"/>
        <v>1</v>
      </c>
      <c r="N57" s="719"/>
      <c r="O57" s="24">
        <f t="shared" si="19"/>
        <v>1</v>
      </c>
      <c r="P57" s="719" t="s">
        <v>3120</v>
      </c>
      <c r="Q57" s="24">
        <f t="shared" si="20"/>
        <v>1</v>
      </c>
      <c r="R57" s="715">
        <f t="shared" ca="1" si="21"/>
        <v>27374</v>
      </c>
      <c r="S57" s="361">
        <f t="shared" ca="1" si="22"/>
        <v>226</v>
      </c>
      <c r="U57" s="3056" t="str">
        <f>Sheet1!C36</f>
        <v>7-7</v>
      </c>
      <c r="V57" s="799">
        <f>Sheet1!E36</f>
        <v>82.43</v>
      </c>
      <c r="W57" s="799">
        <f t="shared" si="12"/>
        <v>0</v>
      </c>
    </row>
    <row r="58" spans="1:23">
      <c r="A58" s="3043" t="str">
        <f>Sheet1!C37</f>
        <v>7-8</v>
      </c>
      <c r="B58" s="717">
        <f>Sheet1!E37</f>
        <v>131.22</v>
      </c>
      <c r="C58" s="24">
        <f t="shared" si="13"/>
        <v>0.99</v>
      </c>
      <c r="D58" s="719"/>
      <c r="E58" s="24">
        <f t="shared" si="14"/>
        <v>1</v>
      </c>
      <c r="F58" s="719"/>
      <c r="G58" s="24">
        <f t="shared" si="15"/>
        <v>1</v>
      </c>
      <c r="H58" s="719"/>
      <c r="I58" s="24">
        <f t="shared" si="16"/>
        <v>1</v>
      </c>
      <c r="J58" s="719"/>
      <c r="K58" s="24">
        <f t="shared" si="17"/>
        <v>1</v>
      </c>
      <c r="L58" s="719"/>
      <c r="M58" s="24">
        <f t="shared" si="18"/>
        <v>1</v>
      </c>
      <c r="N58" s="719"/>
      <c r="O58" s="24">
        <f t="shared" si="19"/>
        <v>1</v>
      </c>
      <c r="P58" s="719" t="s">
        <v>3120</v>
      </c>
      <c r="Q58" s="24">
        <f t="shared" si="20"/>
        <v>1</v>
      </c>
      <c r="R58" s="715">
        <f t="shared" ca="1" si="21"/>
        <v>27100</v>
      </c>
      <c r="S58" s="361">
        <f t="shared" ca="1" si="22"/>
        <v>356</v>
      </c>
      <c r="U58" s="3056" t="str">
        <f>Sheet1!C37</f>
        <v>7-8</v>
      </c>
      <c r="V58" s="799">
        <f>Sheet1!E37</f>
        <v>131.22</v>
      </c>
      <c r="W58" s="799">
        <f t="shared" si="12"/>
        <v>0</v>
      </c>
    </row>
    <row r="59" spans="1:23">
      <c r="A59" s="3043" t="str">
        <f>Sheet1!C38</f>
        <v>8-1</v>
      </c>
      <c r="B59" s="717">
        <f>Sheet1!E38</f>
        <v>58.79</v>
      </c>
      <c r="C59" s="24">
        <f t="shared" si="13"/>
        <v>1</v>
      </c>
      <c r="D59" s="719"/>
      <c r="E59" s="24">
        <f t="shared" si="14"/>
        <v>1</v>
      </c>
      <c r="F59" s="719"/>
      <c r="G59" s="24">
        <f t="shared" si="15"/>
        <v>1</v>
      </c>
      <c r="H59" s="719"/>
      <c r="I59" s="24">
        <f t="shared" si="16"/>
        <v>1</v>
      </c>
      <c r="J59" s="719"/>
      <c r="K59" s="24">
        <f t="shared" si="17"/>
        <v>1</v>
      </c>
      <c r="L59" s="719"/>
      <c r="M59" s="24">
        <f t="shared" si="18"/>
        <v>1</v>
      </c>
      <c r="N59" s="719"/>
      <c r="O59" s="24">
        <f t="shared" si="19"/>
        <v>1</v>
      </c>
      <c r="P59" s="719" t="s">
        <v>3120</v>
      </c>
      <c r="Q59" s="24">
        <f t="shared" si="20"/>
        <v>1</v>
      </c>
      <c r="R59" s="715">
        <f t="shared" ca="1" si="21"/>
        <v>27374</v>
      </c>
      <c r="S59" s="361">
        <f t="shared" ca="1" si="22"/>
        <v>161</v>
      </c>
      <c r="U59" s="3056" t="str">
        <f>Sheet1!C38</f>
        <v>8-1</v>
      </c>
      <c r="V59" s="799">
        <f>Sheet1!E38</f>
        <v>58.79</v>
      </c>
      <c r="W59" s="799">
        <f t="shared" si="12"/>
        <v>0</v>
      </c>
    </row>
    <row r="60" spans="1:23">
      <c r="A60" s="3043" t="str">
        <f>Sheet1!C39</f>
        <v>8-2</v>
      </c>
      <c r="B60" s="717">
        <f>Sheet1!E39</f>
        <v>148.11000000000001</v>
      </c>
      <c r="C60" s="24">
        <f t="shared" si="13"/>
        <v>0.99</v>
      </c>
      <c r="D60" s="719"/>
      <c r="E60" s="24">
        <f t="shared" si="14"/>
        <v>1</v>
      </c>
      <c r="F60" s="719"/>
      <c r="G60" s="24">
        <f t="shared" si="15"/>
        <v>1</v>
      </c>
      <c r="H60" s="719"/>
      <c r="I60" s="24">
        <f t="shared" si="16"/>
        <v>1</v>
      </c>
      <c r="J60" s="719"/>
      <c r="K60" s="24">
        <f t="shared" si="17"/>
        <v>1</v>
      </c>
      <c r="L60" s="719"/>
      <c r="M60" s="24">
        <f t="shared" si="18"/>
        <v>1</v>
      </c>
      <c r="N60" s="719"/>
      <c r="O60" s="24">
        <f t="shared" si="19"/>
        <v>1</v>
      </c>
      <c r="P60" s="719" t="s">
        <v>3120</v>
      </c>
      <c r="Q60" s="24">
        <f t="shared" si="20"/>
        <v>1</v>
      </c>
      <c r="R60" s="715">
        <f t="shared" ca="1" si="21"/>
        <v>27100</v>
      </c>
      <c r="S60" s="361">
        <f t="shared" ca="1" si="22"/>
        <v>401</v>
      </c>
      <c r="U60" s="3056" t="str">
        <f>Sheet1!C39</f>
        <v>8-2</v>
      </c>
      <c r="V60" s="799">
        <f>Sheet1!E39</f>
        <v>148.11000000000001</v>
      </c>
      <c r="W60" s="799">
        <f t="shared" si="12"/>
        <v>0</v>
      </c>
    </row>
    <row r="61" spans="1:23">
      <c r="A61" s="3043" t="str">
        <f>Sheet1!C40</f>
        <v>8-3</v>
      </c>
      <c r="B61" s="717">
        <f>Sheet1!E40</f>
        <v>68.17</v>
      </c>
      <c r="C61" s="24">
        <f t="shared" si="13"/>
        <v>1</v>
      </c>
      <c r="D61" s="719"/>
      <c r="E61" s="24">
        <f t="shared" si="14"/>
        <v>1</v>
      </c>
      <c r="F61" s="719"/>
      <c r="G61" s="24">
        <f t="shared" si="15"/>
        <v>1</v>
      </c>
      <c r="H61" s="719"/>
      <c r="I61" s="24">
        <f t="shared" si="16"/>
        <v>1</v>
      </c>
      <c r="J61" s="719"/>
      <c r="K61" s="24">
        <f t="shared" si="17"/>
        <v>1</v>
      </c>
      <c r="L61" s="719"/>
      <c r="M61" s="24">
        <f t="shared" si="18"/>
        <v>1</v>
      </c>
      <c r="N61" s="719"/>
      <c r="O61" s="24">
        <f t="shared" si="19"/>
        <v>1</v>
      </c>
      <c r="P61" s="719" t="s">
        <v>3120</v>
      </c>
      <c r="Q61" s="24">
        <f t="shared" si="20"/>
        <v>1</v>
      </c>
      <c r="R61" s="715">
        <f t="shared" ca="1" si="21"/>
        <v>27374</v>
      </c>
      <c r="S61" s="361">
        <f t="shared" ca="1" si="22"/>
        <v>187</v>
      </c>
      <c r="U61" s="3056" t="str">
        <f>Sheet1!C40</f>
        <v>8-3</v>
      </c>
      <c r="V61" s="799">
        <f>Sheet1!E40</f>
        <v>68.17</v>
      </c>
      <c r="W61" s="799">
        <f t="shared" si="12"/>
        <v>0</v>
      </c>
    </row>
    <row r="62" spans="1:23">
      <c r="A62" s="3043" t="str">
        <f>Sheet1!C41</f>
        <v>8-4</v>
      </c>
      <c r="B62" s="717">
        <f>Sheet1!E41</f>
        <v>99.85</v>
      </c>
      <c r="C62" s="24">
        <f t="shared" si="13"/>
        <v>1</v>
      </c>
      <c r="D62" s="719"/>
      <c r="E62" s="24">
        <f t="shared" si="14"/>
        <v>1</v>
      </c>
      <c r="F62" s="719"/>
      <c r="G62" s="24">
        <f t="shared" si="15"/>
        <v>1</v>
      </c>
      <c r="H62" s="719"/>
      <c r="I62" s="24">
        <f t="shared" si="16"/>
        <v>1</v>
      </c>
      <c r="J62" s="719"/>
      <c r="K62" s="24">
        <f t="shared" si="17"/>
        <v>1</v>
      </c>
      <c r="L62" s="719"/>
      <c r="M62" s="24">
        <f t="shared" si="18"/>
        <v>1</v>
      </c>
      <c r="N62" s="719"/>
      <c r="O62" s="24">
        <f t="shared" si="19"/>
        <v>1</v>
      </c>
      <c r="P62" s="719" t="s">
        <v>3120</v>
      </c>
      <c r="Q62" s="24">
        <f t="shared" si="20"/>
        <v>1</v>
      </c>
      <c r="R62" s="715">
        <f t="shared" ca="1" si="21"/>
        <v>27374</v>
      </c>
      <c r="S62" s="361">
        <f t="shared" ca="1" si="22"/>
        <v>273</v>
      </c>
      <c r="U62" s="3056" t="str">
        <f>Sheet1!C41</f>
        <v>8-4</v>
      </c>
      <c r="V62" s="799">
        <f>Sheet1!E41</f>
        <v>99.85</v>
      </c>
      <c r="W62" s="799">
        <f t="shared" si="12"/>
        <v>0</v>
      </c>
    </row>
    <row r="63" spans="1:23">
      <c r="A63" s="3043" t="str">
        <f>Sheet1!C42</f>
        <v>8-5</v>
      </c>
      <c r="B63" s="717">
        <f>Sheet1!E42</f>
        <v>77.83</v>
      </c>
      <c r="C63" s="24">
        <f t="shared" si="13"/>
        <v>1</v>
      </c>
      <c r="D63" s="719"/>
      <c r="E63" s="24">
        <f t="shared" si="14"/>
        <v>1</v>
      </c>
      <c r="F63" s="719"/>
      <c r="G63" s="24">
        <f t="shared" si="15"/>
        <v>1</v>
      </c>
      <c r="H63" s="719"/>
      <c r="I63" s="24">
        <f t="shared" si="16"/>
        <v>1</v>
      </c>
      <c r="J63" s="719"/>
      <c r="K63" s="24">
        <f t="shared" si="17"/>
        <v>1</v>
      </c>
      <c r="L63" s="719"/>
      <c r="M63" s="24">
        <f t="shared" si="18"/>
        <v>1</v>
      </c>
      <c r="N63" s="719"/>
      <c r="O63" s="24">
        <f t="shared" si="19"/>
        <v>1</v>
      </c>
      <c r="P63" s="719" t="s">
        <v>3120</v>
      </c>
      <c r="Q63" s="24">
        <f t="shared" si="20"/>
        <v>1</v>
      </c>
      <c r="R63" s="715">
        <f t="shared" ca="1" si="21"/>
        <v>27374</v>
      </c>
      <c r="S63" s="361">
        <f t="shared" ca="1" si="22"/>
        <v>213</v>
      </c>
      <c r="U63" s="3056" t="str">
        <f>Sheet1!C42</f>
        <v>8-5</v>
      </c>
      <c r="V63" s="799">
        <f>Sheet1!E42</f>
        <v>77.83</v>
      </c>
      <c r="W63" s="799">
        <f t="shared" si="12"/>
        <v>0</v>
      </c>
    </row>
    <row r="64" spans="1:23">
      <c r="A64" s="3043" t="str">
        <f>Sheet1!C43</f>
        <v>9-1</v>
      </c>
      <c r="B64" s="717">
        <f>Sheet1!E43</f>
        <v>104.05</v>
      </c>
      <c r="C64" s="24">
        <f t="shared" si="13"/>
        <v>0.99</v>
      </c>
      <c r="D64" s="719"/>
      <c r="E64" s="24">
        <f t="shared" si="14"/>
        <v>1</v>
      </c>
      <c r="F64" s="719"/>
      <c r="G64" s="24">
        <f t="shared" si="15"/>
        <v>1</v>
      </c>
      <c r="H64" s="719"/>
      <c r="I64" s="24">
        <f t="shared" si="16"/>
        <v>1</v>
      </c>
      <c r="J64" s="719"/>
      <c r="K64" s="24">
        <f t="shared" si="17"/>
        <v>1</v>
      </c>
      <c r="L64" s="719"/>
      <c r="M64" s="24">
        <f t="shared" si="18"/>
        <v>1</v>
      </c>
      <c r="N64" s="719"/>
      <c r="O64" s="24">
        <f t="shared" si="19"/>
        <v>1</v>
      </c>
      <c r="P64" s="719" t="s">
        <v>3120</v>
      </c>
      <c r="Q64" s="24">
        <f t="shared" si="20"/>
        <v>1</v>
      </c>
      <c r="R64" s="715">
        <f t="shared" ca="1" si="21"/>
        <v>27100</v>
      </c>
      <c r="S64" s="361">
        <f t="shared" ca="1" si="22"/>
        <v>282</v>
      </c>
      <c r="U64" s="3056" t="str">
        <f>Sheet1!C43</f>
        <v>9-1</v>
      </c>
      <c r="V64" s="799">
        <f>Sheet1!E43</f>
        <v>104.05</v>
      </c>
      <c r="W64" s="799">
        <f t="shared" si="12"/>
        <v>0</v>
      </c>
    </row>
    <row r="65" spans="1:23">
      <c r="A65" s="3043" t="str">
        <f>Sheet1!C44</f>
        <v>9-2</v>
      </c>
      <c r="B65" s="717">
        <f>Sheet1!E44</f>
        <v>41.62</v>
      </c>
      <c r="C65" s="24">
        <f t="shared" si="13"/>
        <v>1</v>
      </c>
      <c r="D65" s="719"/>
      <c r="E65" s="24">
        <f t="shared" si="14"/>
        <v>1</v>
      </c>
      <c r="F65" s="719"/>
      <c r="G65" s="24">
        <f t="shared" si="15"/>
        <v>1</v>
      </c>
      <c r="H65" s="719"/>
      <c r="I65" s="24">
        <f t="shared" si="16"/>
        <v>1</v>
      </c>
      <c r="J65" s="719"/>
      <c r="K65" s="24">
        <f t="shared" si="17"/>
        <v>1</v>
      </c>
      <c r="L65" s="719"/>
      <c r="M65" s="24">
        <f t="shared" si="18"/>
        <v>1</v>
      </c>
      <c r="N65" s="719"/>
      <c r="O65" s="24">
        <f t="shared" si="19"/>
        <v>1</v>
      </c>
      <c r="P65" s="719" t="s">
        <v>3120</v>
      </c>
      <c r="Q65" s="24">
        <f t="shared" si="20"/>
        <v>1</v>
      </c>
      <c r="R65" s="715">
        <f t="shared" ca="1" si="21"/>
        <v>27374</v>
      </c>
      <c r="S65" s="361">
        <f t="shared" ca="1" si="22"/>
        <v>114</v>
      </c>
      <c r="U65" s="3056" t="str">
        <f>Sheet1!C44</f>
        <v>9-2</v>
      </c>
      <c r="V65" s="799">
        <f>Sheet1!E44</f>
        <v>41.62</v>
      </c>
      <c r="W65" s="799">
        <f t="shared" si="12"/>
        <v>0</v>
      </c>
    </row>
    <row r="66" spans="1:23">
      <c r="A66" s="3043" t="str">
        <f>Sheet1!C45</f>
        <v>9-3</v>
      </c>
      <c r="B66" s="717">
        <f>Sheet1!E45</f>
        <v>41.62</v>
      </c>
      <c r="C66" s="24">
        <f t="shared" si="13"/>
        <v>1</v>
      </c>
      <c r="D66" s="719"/>
      <c r="E66" s="24">
        <f t="shared" si="14"/>
        <v>1</v>
      </c>
      <c r="F66" s="719"/>
      <c r="G66" s="24">
        <f t="shared" si="15"/>
        <v>1</v>
      </c>
      <c r="H66" s="719"/>
      <c r="I66" s="24">
        <f t="shared" si="16"/>
        <v>1</v>
      </c>
      <c r="J66" s="719"/>
      <c r="K66" s="24">
        <f t="shared" si="17"/>
        <v>1</v>
      </c>
      <c r="L66" s="719"/>
      <c r="M66" s="24">
        <f t="shared" si="18"/>
        <v>1</v>
      </c>
      <c r="N66" s="719"/>
      <c r="O66" s="24">
        <f t="shared" si="19"/>
        <v>1</v>
      </c>
      <c r="P66" s="719" t="s">
        <v>3120</v>
      </c>
      <c r="Q66" s="24">
        <f t="shared" si="20"/>
        <v>1</v>
      </c>
      <c r="R66" s="715">
        <f t="shared" ca="1" si="21"/>
        <v>27374</v>
      </c>
      <c r="S66" s="361">
        <f t="shared" ca="1" si="22"/>
        <v>114</v>
      </c>
      <c r="U66" s="3056" t="str">
        <f>Sheet1!C45</f>
        <v>9-3</v>
      </c>
      <c r="V66" s="799">
        <f>Sheet1!E45</f>
        <v>41.62</v>
      </c>
      <c r="W66" s="799">
        <f t="shared" si="12"/>
        <v>0</v>
      </c>
    </row>
    <row r="67" spans="1:23">
      <c r="A67" s="3043" t="str">
        <f>Sheet1!C46</f>
        <v>9-4</v>
      </c>
      <c r="B67" s="717">
        <f>Sheet1!E46</f>
        <v>107.37</v>
      </c>
      <c r="C67" s="24">
        <f t="shared" si="13"/>
        <v>0.99</v>
      </c>
      <c r="D67" s="719"/>
      <c r="E67" s="24">
        <f t="shared" si="14"/>
        <v>1</v>
      </c>
      <c r="F67" s="719"/>
      <c r="G67" s="24">
        <f t="shared" si="15"/>
        <v>1</v>
      </c>
      <c r="H67" s="719"/>
      <c r="I67" s="24">
        <f t="shared" si="16"/>
        <v>1</v>
      </c>
      <c r="J67" s="719"/>
      <c r="K67" s="24">
        <f t="shared" si="17"/>
        <v>1</v>
      </c>
      <c r="L67" s="719"/>
      <c r="M67" s="24">
        <f t="shared" si="18"/>
        <v>1</v>
      </c>
      <c r="N67" s="719"/>
      <c r="O67" s="24">
        <f t="shared" si="19"/>
        <v>1</v>
      </c>
      <c r="P67" s="719" t="s">
        <v>3120</v>
      </c>
      <c r="Q67" s="24">
        <f t="shared" si="20"/>
        <v>1</v>
      </c>
      <c r="R67" s="715">
        <f t="shared" ca="1" si="21"/>
        <v>27100</v>
      </c>
      <c r="S67" s="361">
        <f t="shared" ca="1" si="22"/>
        <v>291</v>
      </c>
      <c r="U67" s="3056" t="str">
        <f>Sheet1!C46</f>
        <v>9-4</v>
      </c>
      <c r="V67" s="799">
        <f>Sheet1!E46</f>
        <v>107.37</v>
      </c>
      <c r="W67" s="799">
        <f t="shared" si="12"/>
        <v>0</v>
      </c>
    </row>
    <row r="68" spans="1:23">
      <c r="A68" s="3043" t="str">
        <f>Sheet1!C47</f>
        <v>9-5</v>
      </c>
      <c r="B68" s="717">
        <f>Sheet1!E47</f>
        <v>56.61</v>
      </c>
      <c r="C68" s="24">
        <f t="shared" si="13"/>
        <v>1</v>
      </c>
      <c r="D68" s="719"/>
      <c r="E68" s="24">
        <f t="shared" si="14"/>
        <v>1</v>
      </c>
      <c r="F68" s="719"/>
      <c r="G68" s="24">
        <f t="shared" si="15"/>
        <v>1</v>
      </c>
      <c r="H68" s="719"/>
      <c r="I68" s="24">
        <f t="shared" si="16"/>
        <v>1</v>
      </c>
      <c r="J68" s="719"/>
      <c r="K68" s="24">
        <f t="shared" si="17"/>
        <v>1</v>
      </c>
      <c r="L68" s="719"/>
      <c r="M68" s="24">
        <f t="shared" si="18"/>
        <v>1</v>
      </c>
      <c r="N68" s="719"/>
      <c r="O68" s="24">
        <f t="shared" si="19"/>
        <v>1</v>
      </c>
      <c r="P68" s="719" t="s">
        <v>3120</v>
      </c>
      <c r="Q68" s="24">
        <f t="shared" si="20"/>
        <v>1</v>
      </c>
      <c r="R68" s="715">
        <f t="shared" ca="1" si="21"/>
        <v>27374</v>
      </c>
      <c r="S68" s="361">
        <f t="shared" ca="1" si="22"/>
        <v>155</v>
      </c>
      <c r="U68" s="3056" t="str">
        <f>Sheet1!C47</f>
        <v>9-5</v>
      </c>
      <c r="V68" s="799">
        <f>Sheet1!E47</f>
        <v>56.61</v>
      </c>
      <c r="W68" s="799">
        <f t="shared" si="12"/>
        <v>0</v>
      </c>
    </row>
    <row r="69" spans="1:23">
      <c r="A69" s="3043" t="str">
        <f>Sheet1!C48</f>
        <v>9-6</v>
      </c>
      <c r="B69" s="717">
        <f>Sheet1!E48</f>
        <v>77.8</v>
      </c>
      <c r="C69" s="24">
        <f t="shared" si="13"/>
        <v>1</v>
      </c>
      <c r="D69" s="719"/>
      <c r="E69" s="24">
        <f t="shared" si="14"/>
        <v>1</v>
      </c>
      <c r="F69" s="719"/>
      <c r="G69" s="24">
        <f t="shared" si="15"/>
        <v>1</v>
      </c>
      <c r="H69" s="719"/>
      <c r="I69" s="24">
        <f t="shared" si="16"/>
        <v>1</v>
      </c>
      <c r="J69" s="719"/>
      <c r="K69" s="24">
        <f t="shared" si="17"/>
        <v>1</v>
      </c>
      <c r="L69" s="719"/>
      <c r="M69" s="24">
        <f t="shared" si="18"/>
        <v>1</v>
      </c>
      <c r="N69" s="719"/>
      <c r="O69" s="24">
        <f t="shared" si="19"/>
        <v>1</v>
      </c>
      <c r="P69" s="719" t="s">
        <v>3120</v>
      </c>
      <c r="Q69" s="24">
        <f t="shared" si="20"/>
        <v>1</v>
      </c>
      <c r="R69" s="715">
        <f t="shared" ca="1" si="21"/>
        <v>27374</v>
      </c>
      <c r="S69" s="361">
        <f t="shared" ca="1" si="22"/>
        <v>213</v>
      </c>
      <c r="U69" s="3056" t="str">
        <f>Sheet1!C48</f>
        <v>9-6</v>
      </c>
      <c r="V69" s="799">
        <f>Sheet1!E48</f>
        <v>77.8</v>
      </c>
      <c r="W69" s="799">
        <f t="shared" si="12"/>
        <v>0</v>
      </c>
    </row>
    <row r="70" spans="1:23">
      <c r="A70" s="3043" t="str">
        <f>Sheet1!C49</f>
        <v>9-7</v>
      </c>
      <c r="B70" s="717">
        <f>Sheet1!E49</f>
        <v>120.88</v>
      </c>
      <c r="C70" s="24">
        <f t="shared" si="13"/>
        <v>0.99</v>
      </c>
      <c r="D70" s="719"/>
      <c r="E70" s="24">
        <f t="shared" si="14"/>
        <v>1</v>
      </c>
      <c r="F70" s="719"/>
      <c r="G70" s="24">
        <f t="shared" si="15"/>
        <v>1</v>
      </c>
      <c r="H70" s="719"/>
      <c r="I70" s="24">
        <f t="shared" si="16"/>
        <v>1</v>
      </c>
      <c r="J70" s="719"/>
      <c r="K70" s="24">
        <f t="shared" si="17"/>
        <v>1</v>
      </c>
      <c r="L70" s="719"/>
      <c r="M70" s="24">
        <f t="shared" si="18"/>
        <v>1</v>
      </c>
      <c r="N70" s="719"/>
      <c r="O70" s="24">
        <f t="shared" si="19"/>
        <v>1</v>
      </c>
      <c r="P70" s="719" t="s">
        <v>3120</v>
      </c>
      <c r="Q70" s="24">
        <f t="shared" si="20"/>
        <v>1</v>
      </c>
      <c r="R70" s="715">
        <f t="shared" ca="1" si="21"/>
        <v>27100</v>
      </c>
      <c r="S70" s="361">
        <f t="shared" ca="1" si="22"/>
        <v>328</v>
      </c>
      <c r="U70" s="3056" t="str">
        <f>Sheet1!C49</f>
        <v>9-7</v>
      </c>
      <c r="V70" s="799">
        <f>Sheet1!E49</f>
        <v>120.88</v>
      </c>
      <c r="W70" s="799">
        <f t="shared" si="12"/>
        <v>0</v>
      </c>
    </row>
    <row r="71" spans="1:23">
      <c r="A71" s="3043" t="str">
        <f>Sheet1!C50</f>
        <v>9-8</v>
      </c>
      <c r="B71" s="717">
        <v>152.69999999999999</v>
      </c>
      <c r="C71" s="24">
        <f t="shared" si="13"/>
        <v>0.99</v>
      </c>
      <c r="D71" s="719"/>
      <c r="E71" s="24">
        <f t="shared" si="14"/>
        <v>1</v>
      </c>
      <c r="F71" s="719"/>
      <c r="G71" s="24">
        <f t="shared" si="15"/>
        <v>1</v>
      </c>
      <c r="H71" s="719"/>
      <c r="I71" s="24">
        <f t="shared" si="16"/>
        <v>1</v>
      </c>
      <c r="J71" s="719"/>
      <c r="K71" s="24">
        <f t="shared" si="17"/>
        <v>1</v>
      </c>
      <c r="L71" s="719"/>
      <c r="M71" s="24">
        <f t="shared" si="18"/>
        <v>1</v>
      </c>
      <c r="N71" s="719"/>
      <c r="O71" s="24">
        <f t="shared" si="19"/>
        <v>1</v>
      </c>
      <c r="P71" s="719" t="s">
        <v>3120</v>
      </c>
      <c r="Q71" s="24">
        <f t="shared" si="20"/>
        <v>1</v>
      </c>
      <c r="R71" s="715">
        <f t="shared" ca="1" si="21"/>
        <v>27100</v>
      </c>
      <c r="S71" s="361">
        <f t="shared" ca="1" si="22"/>
        <v>414</v>
      </c>
      <c r="U71" s="3056" t="str">
        <f>Sheet1!C50</f>
        <v>9-8</v>
      </c>
      <c r="V71" s="799">
        <f>Sheet1!E50</f>
        <v>152.69999999999999</v>
      </c>
      <c r="W71" s="799">
        <f t="shared" si="12"/>
        <v>0</v>
      </c>
    </row>
    <row r="72" spans="1:23">
      <c r="A72" s="3043" t="str">
        <f>Sheet1!C51</f>
        <v>9-9</v>
      </c>
      <c r="B72" s="717">
        <f>Sheet1!E51</f>
        <v>114.69</v>
      </c>
      <c r="C72" s="24">
        <f t="shared" si="13"/>
        <v>0.99</v>
      </c>
      <c r="D72" s="719"/>
      <c r="E72" s="24">
        <f t="shared" si="14"/>
        <v>1</v>
      </c>
      <c r="F72" s="719"/>
      <c r="G72" s="24">
        <f t="shared" si="15"/>
        <v>1</v>
      </c>
      <c r="H72" s="719"/>
      <c r="I72" s="24">
        <f t="shared" si="16"/>
        <v>1</v>
      </c>
      <c r="J72" s="719"/>
      <c r="K72" s="24">
        <f t="shared" si="17"/>
        <v>1</v>
      </c>
      <c r="L72" s="719"/>
      <c r="M72" s="24">
        <f t="shared" si="18"/>
        <v>1</v>
      </c>
      <c r="N72" s="719"/>
      <c r="O72" s="24">
        <f t="shared" si="19"/>
        <v>1</v>
      </c>
      <c r="P72" s="719" t="s">
        <v>3120</v>
      </c>
      <c r="Q72" s="24">
        <f t="shared" si="20"/>
        <v>1</v>
      </c>
      <c r="R72" s="715">
        <f t="shared" ca="1" si="21"/>
        <v>27100</v>
      </c>
      <c r="S72" s="361">
        <f t="shared" ca="1" si="22"/>
        <v>311</v>
      </c>
      <c r="U72" s="3056" t="str">
        <f>Sheet1!C51</f>
        <v>9-9</v>
      </c>
      <c r="V72" s="799">
        <f>Sheet1!E51</f>
        <v>114.69</v>
      </c>
      <c r="W72" s="799">
        <f t="shared" si="12"/>
        <v>0</v>
      </c>
    </row>
    <row r="73" spans="1:23">
      <c r="A73" s="3043" t="str">
        <f>Sheet1!C52</f>
        <v>9-10</v>
      </c>
      <c r="B73" s="717">
        <f>Sheet1!E52</f>
        <v>108.11</v>
      </c>
      <c r="C73" s="24">
        <f t="shared" si="13"/>
        <v>0.99</v>
      </c>
      <c r="D73" s="719"/>
      <c r="E73" s="24">
        <f t="shared" si="14"/>
        <v>1</v>
      </c>
      <c r="F73" s="719"/>
      <c r="G73" s="24">
        <f t="shared" si="15"/>
        <v>1</v>
      </c>
      <c r="H73" s="719"/>
      <c r="I73" s="24">
        <f t="shared" si="16"/>
        <v>1</v>
      </c>
      <c r="J73" s="719"/>
      <c r="K73" s="24">
        <f t="shared" si="17"/>
        <v>1</v>
      </c>
      <c r="L73" s="719"/>
      <c r="M73" s="24">
        <f t="shared" si="18"/>
        <v>1</v>
      </c>
      <c r="N73" s="719"/>
      <c r="O73" s="24">
        <f t="shared" si="19"/>
        <v>1</v>
      </c>
      <c r="P73" s="719" t="s">
        <v>3120</v>
      </c>
      <c r="Q73" s="24">
        <f t="shared" si="20"/>
        <v>1</v>
      </c>
      <c r="R73" s="715">
        <f t="shared" ca="1" si="21"/>
        <v>27100</v>
      </c>
      <c r="S73" s="361">
        <f t="shared" ca="1" si="22"/>
        <v>293</v>
      </c>
      <c r="U73" s="3056" t="str">
        <f>Sheet1!C52</f>
        <v>9-10</v>
      </c>
      <c r="V73" s="799">
        <f>Sheet1!E52</f>
        <v>108.11</v>
      </c>
      <c r="W73" s="799">
        <f t="shared" si="12"/>
        <v>0</v>
      </c>
    </row>
    <row r="74" spans="1:23">
      <c r="A74" s="3043" t="str">
        <f>Sheet1!C53</f>
        <v>9-11</v>
      </c>
      <c r="B74" s="717">
        <f>Sheet1!E53</f>
        <v>152.69999999999999</v>
      </c>
      <c r="C74" s="24">
        <f t="shared" si="13"/>
        <v>0.99</v>
      </c>
      <c r="D74" s="719"/>
      <c r="E74" s="24">
        <f t="shared" si="14"/>
        <v>1</v>
      </c>
      <c r="F74" s="719"/>
      <c r="G74" s="24">
        <f t="shared" si="15"/>
        <v>1</v>
      </c>
      <c r="H74" s="719"/>
      <c r="I74" s="24">
        <f t="shared" si="16"/>
        <v>1</v>
      </c>
      <c r="J74" s="719"/>
      <c r="K74" s="24">
        <f t="shared" si="17"/>
        <v>1</v>
      </c>
      <c r="L74" s="719"/>
      <c r="M74" s="24">
        <f t="shared" si="18"/>
        <v>1</v>
      </c>
      <c r="N74" s="719"/>
      <c r="O74" s="24">
        <f t="shared" si="19"/>
        <v>1</v>
      </c>
      <c r="P74" s="719" t="s">
        <v>3120</v>
      </c>
      <c r="Q74" s="24">
        <f t="shared" si="20"/>
        <v>1</v>
      </c>
      <c r="R74" s="715">
        <f t="shared" ca="1" si="21"/>
        <v>27100</v>
      </c>
      <c r="S74" s="361">
        <f t="shared" ca="1" si="22"/>
        <v>414</v>
      </c>
      <c r="U74" s="3056" t="str">
        <f>Sheet1!C53</f>
        <v>9-11</v>
      </c>
      <c r="V74" s="799">
        <f>Sheet1!E53</f>
        <v>152.69999999999999</v>
      </c>
      <c r="W74" s="799">
        <f t="shared" si="12"/>
        <v>0</v>
      </c>
    </row>
    <row r="75" spans="1:23">
      <c r="A75" s="3043" t="str">
        <f>Sheet1!C54</f>
        <v>9-12</v>
      </c>
      <c r="B75" s="717">
        <f>Sheet1!E54</f>
        <v>152.69999999999999</v>
      </c>
      <c r="C75" s="24">
        <f t="shared" si="13"/>
        <v>0.99</v>
      </c>
      <c r="D75" s="719"/>
      <c r="E75" s="24">
        <f t="shared" si="14"/>
        <v>1</v>
      </c>
      <c r="F75" s="719"/>
      <c r="G75" s="24">
        <f t="shared" si="15"/>
        <v>1</v>
      </c>
      <c r="H75" s="719"/>
      <c r="I75" s="24">
        <f t="shared" si="16"/>
        <v>1</v>
      </c>
      <c r="J75" s="719"/>
      <c r="K75" s="24">
        <f t="shared" si="17"/>
        <v>1</v>
      </c>
      <c r="L75" s="719"/>
      <c r="M75" s="24">
        <f t="shared" si="18"/>
        <v>1</v>
      </c>
      <c r="N75" s="719"/>
      <c r="O75" s="24">
        <f t="shared" si="19"/>
        <v>1</v>
      </c>
      <c r="P75" s="719" t="s">
        <v>3120</v>
      </c>
      <c r="Q75" s="24">
        <f t="shared" si="20"/>
        <v>1</v>
      </c>
      <c r="R75" s="715">
        <f t="shared" ca="1" si="21"/>
        <v>27100</v>
      </c>
      <c r="S75" s="361">
        <f t="shared" ca="1" si="22"/>
        <v>414</v>
      </c>
      <c r="U75" s="3056" t="str">
        <f>Sheet1!C54</f>
        <v>9-12</v>
      </c>
      <c r="V75" s="799">
        <f>Sheet1!E54</f>
        <v>152.69999999999999</v>
      </c>
      <c r="W75" s="799">
        <f t="shared" si="12"/>
        <v>0</v>
      </c>
    </row>
    <row r="76" spans="1:23">
      <c r="A76" s="3043" t="str">
        <f>Sheet1!C55</f>
        <v>9-13</v>
      </c>
      <c r="B76" s="717">
        <f>Sheet1!E55</f>
        <v>127.03</v>
      </c>
      <c r="C76" s="24">
        <f t="shared" si="13"/>
        <v>0.99</v>
      </c>
      <c r="D76" s="719"/>
      <c r="E76" s="24">
        <f t="shared" si="14"/>
        <v>1</v>
      </c>
      <c r="F76" s="719"/>
      <c r="G76" s="24">
        <f t="shared" si="15"/>
        <v>1</v>
      </c>
      <c r="H76" s="719"/>
      <c r="I76" s="24">
        <f t="shared" si="16"/>
        <v>1</v>
      </c>
      <c r="J76" s="719"/>
      <c r="K76" s="24">
        <f t="shared" si="17"/>
        <v>1</v>
      </c>
      <c r="L76" s="719"/>
      <c r="M76" s="24">
        <f t="shared" si="18"/>
        <v>1</v>
      </c>
      <c r="N76" s="719"/>
      <c r="O76" s="24">
        <f t="shared" si="19"/>
        <v>1</v>
      </c>
      <c r="P76" s="719" t="s">
        <v>3120</v>
      </c>
      <c r="Q76" s="24">
        <f t="shared" si="20"/>
        <v>1</v>
      </c>
      <c r="R76" s="715">
        <f t="shared" ca="1" si="21"/>
        <v>27100</v>
      </c>
      <c r="S76" s="361">
        <f t="shared" ca="1" si="22"/>
        <v>344</v>
      </c>
      <c r="U76" s="3056" t="str">
        <f>Sheet1!C55</f>
        <v>9-13</v>
      </c>
      <c r="V76" s="799">
        <f>Sheet1!E55</f>
        <v>127.03</v>
      </c>
      <c r="W76" s="799">
        <f t="shared" si="12"/>
        <v>0</v>
      </c>
    </row>
    <row r="77" spans="1:23">
      <c r="A77" s="3043" t="str">
        <f>Sheet1!C56</f>
        <v>9-16</v>
      </c>
      <c r="B77" s="717">
        <f>Sheet1!E56</f>
        <v>77.989999999999995</v>
      </c>
      <c r="C77" s="24">
        <f t="shared" si="13"/>
        <v>1</v>
      </c>
      <c r="D77" s="719"/>
      <c r="E77" s="24">
        <f t="shared" si="14"/>
        <v>1</v>
      </c>
      <c r="F77" s="719"/>
      <c r="G77" s="24">
        <f t="shared" si="15"/>
        <v>1</v>
      </c>
      <c r="H77" s="719"/>
      <c r="I77" s="24">
        <f t="shared" si="16"/>
        <v>1</v>
      </c>
      <c r="J77" s="719"/>
      <c r="K77" s="24">
        <f t="shared" si="17"/>
        <v>1</v>
      </c>
      <c r="L77" s="719"/>
      <c r="M77" s="24">
        <f t="shared" si="18"/>
        <v>1</v>
      </c>
      <c r="N77" s="719"/>
      <c r="O77" s="24">
        <f t="shared" si="19"/>
        <v>1</v>
      </c>
      <c r="P77" s="719" t="s">
        <v>3120</v>
      </c>
      <c r="Q77" s="24">
        <f t="shared" si="20"/>
        <v>1</v>
      </c>
      <c r="R77" s="715">
        <f t="shared" ca="1" si="21"/>
        <v>27374</v>
      </c>
      <c r="S77" s="361">
        <f t="shared" ca="1" si="22"/>
        <v>213</v>
      </c>
      <c r="U77" s="3056" t="str">
        <f>Sheet1!C56</f>
        <v>9-16</v>
      </c>
      <c r="V77" s="799">
        <f>Sheet1!E56</f>
        <v>77.989999999999995</v>
      </c>
      <c r="W77" s="799">
        <f t="shared" si="12"/>
        <v>0</v>
      </c>
    </row>
    <row r="78" spans="1:23">
      <c r="A78" s="3043" t="str">
        <f>Sheet1!C57</f>
        <v>9-17</v>
      </c>
      <c r="B78" s="717">
        <f>Sheet1!E57</f>
        <v>78.28</v>
      </c>
      <c r="C78" s="24">
        <f t="shared" si="13"/>
        <v>1</v>
      </c>
      <c r="D78" s="719"/>
      <c r="E78" s="24">
        <f t="shared" si="14"/>
        <v>1</v>
      </c>
      <c r="F78" s="719"/>
      <c r="G78" s="24">
        <f t="shared" si="15"/>
        <v>1</v>
      </c>
      <c r="H78" s="719"/>
      <c r="I78" s="24">
        <f t="shared" si="16"/>
        <v>1</v>
      </c>
      <c r="J78" s="719"/>
      <c r="K78" s="24">
        <f t="shared" si="17"/>
        <v>1</v>
      </c>
      <c r="L78" s="719"/>
      <c r="M78" s="24">
        <f t="shared" si="18"/>
        <v>1</v>
      </c>
      <c r="N78" s="719"/>
      <c r="O78" s="24">
        <f t="shared" si="19"/>
        <v>1</v>
      </c>
      <c r="P78" s="719" t="s">
        <v>3120</v>
      </c>
      <c r="Q78" s="24">
        <f t="shared" si="20"/>
        <v>1</v>
      </c>
      <c r="R78" s="715">
        <f t="shared" ca="1" si="21"/>
        <v>27374</v>
      </c>
      <c r="S78" s="361">
        <f t="shared" ref="S78:S122" ca="1" si="23">ROUND(R78*B78/10000,0)</f>
        <v>214</v>
      </c>
      <c r="U78" s="3056" t="str">
        <f>Sheet1!C57</f>
        <v>9-17</v>
      </c>
      <c r="V78" s="799">
        <f>Sheet1!E57</f>
        <v>78.28</v>
      </c>
      <c r="W78" s="799">
        <f t="shared" si="12"/>
        <v>0</v>
      </c>
    </row>
    <row r="79" spans="1:23">
      <c r="A79" s="3043" t="str">
        <f>Sheet1!C58</f>
        <v>9-19</v>
      </c>
      <c r="B79" s="717">
        <f>Sheet1!E58</f>
        <v>73.72</v>
      </c>
      <c r="C79" s="24">
        <f t="shared" si="13"/>
        <v>1</v>
      </c>
      <c r="D79" s="719"/>
      <c r="E79" s="24">
        <f t="shared" si="14"/>
        <v>1</v>
      </c>
      <c r="F79" s="719"/>
      <c r="G79" s="24">
        <f t="shared" si="15"/>
        <v>1</v>
      </c>
      <c r="H79" s="719"/>
      <c r="I79" s="24">
        <f t="shared" si="16"/>
        <v>1</v>
      </c>
      <c r="J79" s="719"/>
      <c r="K79" s="24">
        <f t="shared" si="17"/>
        <v>1</v>
      </c>
      <c r="L79" s="719"/>
      <c r="M79" s="24">
        <f t="shared" si="18"/>
        <v>1</v>
      </c>
      <c r="N79" s="719"/>
      <c r="O79" s="24">
        <f t="shared" si="19"/>
        <v>1</v>
      </c>
      <c r="P79" s="719" t="s">
        <v>3120</v>
      </c>
      <c r="Q79" s="24">
        <f t="shared" si="20"/>
        <v>1</v>
      </c>
      <c r="R79" s="715">
        <f t="shared" ca="1" si="21"/>
        <v>27374</v>
      </c>
      <c r="S79" s="361">
        <f t="shared" ca="1" si="23"/>
        <v>202</v>
      </c>
      <c r="U79" s="3056" t="str">
        <f>Sheet1!C58</f>
        <v>9-19</v>
      </c>
      <c r="V79" s="799">
        <f>Sheet1!E58</f>
        <v>73.72</v>
      </c>
      <c r="W79" s="799">
        <f t="shared" si="12"/>
        <v>0</v>
      </c>
    </row>
    <row r="80" spans="1:23">
      <c r="A80" s="3043" t="str">
        <f>Sheet1!C59</f>
        <v>9-20</v>
      </c>
      <c r="B80" s="717">
        <f>Sheet1!E59</f>
        <v>73.72</v>
      </c>
      <c r="C80" s="24">
        <f t="shared" si="13"/>
        <v>1</v>
      </c>
      <c r="D80" s="719"/>
      <c r="E80" s="24">
        <f t="shared" si="14"/>
        <v>1</v>
      </c>
      <c r="F80" s="719"/>
      <c r="G80" s="24">
        <f t="shared" si="15"/>
        <v>1</v>
      </c>
      <c r="H80" s="719"/>
      <c r="I80" s="24">
        <f t="shared" si="16"/>
        <v>1</v>
      </c>
      <c r="J80" s="719"/>
      <c r="K80" s="24">
        <f t="shared" si="17"/>
        <v>1</v>
      </c>
      <c r="L80" s="719"/>
      <c r="M80" s="24">
        <f t="shared" si="18"/>
        <v>1</v>
      </c>
      <c r="N80" s="719"/>
      <c r="O80" s="24">
        <f t="shared" si="19"/>
        <v>1</v>
      </c>
      <c r="P80" s="719" t="s">
        <v>3120</v>
      </c>
      <c r="Q80" s="24">
        <f t="shared" si="20"/>
        <v>1</v>
      </c>
      <c r="R80" s="715">
        <f t="shared" ca="1" si="21"/>
        <v>27374</v>
      </c>
      <c r="S80" s="361">
        <f t="shared" ca="1" si="23"/>
        <v>202</v>
      </c>
      <c r="U80" s="3056" t="str">
        <f>Sheet1!C59</f>
        <v>9-20</v>
      </c>
      <c r="V80" s="799">
        <f>Sheet1!E59</f>
        <v>73.72</v>
      </c>
      <c r="W80" s="799">
        <f t="shared" si="12"/>
        <v>0</v>
      </c>
    </row>
    <row r="81" spans="1:23">
      <c r="A81" s="3043" t="str">
        <f>Sheet1!C60</f>
        <v>9-21</v>
      </c>
      <c r="B81" s="717">
        <f>Sheet1!E60</f>
        <v>73.72</v>
      </c>
      <c r="C81" s="24">
        <f t="shared" si="13"/>
        <v>1</v>
      </c>
      <c r="D81" s="719"/>
      <c r="E81" s="24">
        <f t="shared" si="14"/>
        <v>1</v>
      </c>
      <c r="F81" s="719"/>
      <c r="G81" s="24">
        <f t="shared" si="15"/>
        <v>1</v>
      </c>
      <c r="H81" s="719"/>
      <c r="I81" s="24">
        <f t="shared" si="16"/>
        <v>1</v>
      </c>
      <c r="J81" s="719"/>
      <c r="K81" s="24">
        <f t="shared" si="17"/>
        <v>1</v>
      </c>
      <c r="L81" s="719"/>
      <c r="M81" s="24">
        <f t="shared" si="18"/>
        <v>1</v>
      </c>
      <c r="N81" s="719"/>
      <c r="O81" s="24">
        <f t="shared" si="19"/>
        <v>1</v>
      </c>
      <c r="P81" s="719" t="s">
        <v>3120</v>
      </c>
      <c r="Q81" s="24">
        <f t="shared" si="20"/>
        <v>1</v>
      </c>
      <c r="R81" s="715">
        <f t="shared" ca="1" si="21"/>
        <v>27374</v>
      </c>
      <c r="S81" s="361">
        <f t="shared" ca="1" si="23"/>
        <v>202</v>
      </c>
      <c r="U81" s="3056" t="str">
        <f>Sheet1!C60</f>
        <v>9-21</v>
      </c>
      <c r="V81" s="799">
        <f>Sheet1!E60</f>
        <v>73.72</v>
      </c>
      <c r="W81" s="799">
        <f t="shared" si="12"/>
        <v>0</v>
      </c>
    </row>
    <row r="82" spans="1:23">
      <c r="A82" s="3043" t="str">
        <f>Sheet1!C61</f>
        <v>9-22</v>
      </c>
      <c r="B82" s="717">
        <f>Sheet1!E61</f>
        <v>73.72</v>
      </c>
      <c r="C82" s="24">
        <f t="shared" si="13"/>
        <v>1</v>
      </c>
      <c r="D82" s="719"/>
      <c r="E82" s="24">
        <f t="shared" si="14"/>
        <v>1</v>
      </c>
      <c r="F82" s="719"/>
      <c r="G82" s="24">
        <f t="shared" si="15"/>
        <v>1</v>
      </c>
      <c r="H82" s="719"/>
      <c r="I82" s="24">
        <f t="shared" si="16"/>
        <v>1</v>
      </c>
      <c r="J82" s="719"/>
      <c r="K82" s="24">
        <f t="shared" si="17"/>
        <v>1</v>
      </c>
      <c r="L82" s="719"/>
      <c r="M82" s="24">
        <f t="shared" si="18"/>
        <v>1</v>
      </c>
      <c r="N82" s="719"/>
      <c r="O82" s="24">
        <f t="shared" si="19"/>
        <v>1</v>
      </c>
      <c r="P82" s="719" t="s">
        <v>3120</v>
      </c>
      <c r="Q82" s="24">
        <f t="shared" si="20"/>
        <v>1</v>
      </c>
      <c r="R82" s="715">
        <f t="shared" ca="1" si="21"/>
        <v>27374</v>
      </c>
      <c r="S82" s="361">
        <f t="shared" ca="1" si="23"/>
        <v>202</v>
      </c>
      <c r="U82" s="3056" t="str">
        <f>Sheet1!C61</f>
        <v>9-22</v>
      </c>
      <c r="V82" s="799">
        <f>Sheet1!E61</f>
        <v>73.72</v>
      </c>
      <c r="W82" s="799">
        <f t="shared" si="12"/>
        <v>0</v>
      </c>
    </row>
    <row r="83" spans="1:23">
      <c r="A83" s="3043" t="str">
        <f>Sheet1!C62</f>
        <v>10-5</v>
      </c>
      <c r="B83" s="717">
        <f>Sheet1!E62</f>
        <v>141.35</v>
      </c>
      <c r="C83" s="24">
        <f t="shared" si="13"/>
        <v>0.99</v>
      </c>
      <c r="D83" s="719"/>
      <c r="E83" s="24">
        <f t="shared" si="14"/>
        <v>1</v>
      </c>
      <c r="F83" s="719"/>
      <c r="G83" s="24">
        <f t="shared" si="15"/>
        <v>1</v>
      </c>
      <c r="H83" s="719"/>
      <c r="I83" s="24">
        <f t="shared" si="16"/>
        <v>1</v>
      </c>
      <c r="J83" s="719"/>
      <c r="K83" s="24">
        <f t="shared" si="17"/>
        <v>1</v>
      </c>
      <c r="L83" s="719"/>
      <c r="M83" s="24">
        <f t="shared" si="18"/>
        <v>1</v>
      </c>
      <c r="N83" s="719"/>
      <c r="O83" s="24">
        <f t="shared" si="19"/>
        <v>1</v>
      </c>
      <c r="P83" s="719" t="s">
        <v>3120</v>
      </c>
      <c r="Q83" s="24">
        <f t="shared" si="20"/>
        <v>1</v>
      </c>
      <c r="R83" s="715">
        <f t="shared" ca="1" si="21"/>
        <v>27100</v>
      </c>
      <c r="S83" s="361">
        <f t="shared" ca="1" si="23"/>
        <v>383</v>
      </c>
      <c r="U83" s="3056" t="str">
        <f>Sheet1!C62</f>
        <v>10-5</v>
      </c>
      <c r="V83" s="799">
        <f>Sheet1!E62</f>
        <v>141.35</v>
      </c>
      <c r="W83" s="799">
        <f t="shared" si="12"/>
        <v>0</v>
      </c>
    </row>
    <row r="84" spans="1:23">
      <c r="A84" s="3043" t="str">
        <f>Sheet1!C63</f>
        <v>10-6</v>
      </c>
      <c r="B84" s="717">
        <f>Sheet1!E63</f>
        <v>57.88</v>
      </c>
      <c r="C84" s="24">
        <f t="shared" si="13"/>
        <v>1</v>
      </c>
      <c r="D84" s="719"/>
      <c r="E84" s="24">
        <f t="shared" si="14"/>
        <v>1</v>
      </c>
      <c r="F84" s="719"/>
      <c r="G84" s="24">
        <f t="shared" si="15"/>
        <v>1</v>
      </c>
      <c r="H84" s="719"/>
      <c r="I84" s="24">
        <f t="shared" si="16"/>
        <v>1</v>
      </c>
      <c r="J84" s="719"/>
      <c r="K84" s="24">
        <f t="shared" si="17"/>
        <v>1</v>
      </c>
      <c r="L84" s="719"/>
      <c r="M84" s="24">
        <f t="shared" si="18"/>
        <v>1</v>
      </c>
      <c r="N84" s="719"/>
      <c r="O84" s="24">
        <f t="shared" si="19"/>
        <v>1</v>
      </c>
      <c r="P84" s="719" t="s">
        <v>3120</v>
      </c>
      <c r="Q84" s="24">
        <f t="shared" si="20"/>
        <v>1</v>
      </c>
      <c r="R84" s="715">
        <f t="shared" ca="1" si="21"/>
        <v>27374</v>
      </c>
      <c r="S84" s="361">
        <f t="shared" ca="1" si="23"/>
        <v>158</v>
      </c>
      <c r="U84" s="3056" t="str">
        <f>Sheet1!C63</f>
        <v>10-6</v>
      </c>
      <c r="V84" s="799">
        <f>Sheet1!E63</f>
        <v>57.88</v>
      </c>
      <c r="W84" s="799">
        <f t="shared" si="12"/>
        <v>0</v>
      </c>
    </row>
    <row r="85" spans="1:23">
      <c r="A85" s="3043" t="str">
        <f>Sheet1!C64</f>
        <v>11-1</v>
      </c>
      <c r="B85" s="717">
        <f>Sheet1!E64</f>
        <v>58.64</v>
      </c>
      <c r="C85" s="24">
        <f t="shared" si="13"/>
        <v>1</v>
      </c>
      <c r="D85" s="719"/>
      <c r="E85" s="24">
        <f t="shared" si="14"/>
        <v>1</v>
      </c>
      <c r="F85" s="719"/>
      <c r="G85" s="24">
        <f t="shared" si="15"/>
        <v>1</v>
      </c>
      <c r="H85" s="719"/>
      <c r="I85" s="24">
        <f t="shared" si="16"/>
        <v>1</v>
      </c>
      <c r="J85" s="719"/>
      <c r="K85" s="24">
        <f t="shared" si="17"/>
        <v>1</v>
      </c>
      <c r="L85" s="719"/>
      <c r="M85" s="24">
        <f t="shared" si="18"/>
        <v>1</v>
      </c>
      <c r="N85" s="719"/>
      <c r="O85" s="24">
        <f t="shared" si="19"/>
        <v>1</v>
      </c>
      <c r="P85" s="719" t="s">
        <v>3120</v>
      </c>
      <c r="Q85" s="24">
        <f t="shared" si="20"/>
        <v>1</v>
      </c>
      <c r="R85" s="715">
        <f t="shared" ca="1" si="21"/>
        <v>27374</v>
      </c>
      <c r="S85" s="361">
        <f t="shared" ca="1" si="23"/>
        <v>161</v>
      </c>
      <c r="U85" s="3056" t="str">
        <f>Sheet1!C64</f>
        <v>11-1</v>
      </c>
      <c r="V85" s="799">
        <f>Sheet1!E64</f>
        <v>58.64</v>
      </c>
      <c r="W85" s="799">
        <f t="shared" si="12"/>
        <v>0</v>
      </c>
    </row>
    <row r="86" spans="1:23">
      <c r="A86" s="3043" t="str">
        <f>Sheet1!C65</f>
        <v>11-2</v>
      </c>
      <c r="B86" s="717">
        <f>Sheet1!E65</f>
        <v>161.24</v>
      </c>
      <c r="C86" s="24">
        <f t="shared" si="13"/>
        <v>0.99</v>
      </c>
      <c r="D86" s="719"/>
      <c r="E86" s="24">
        <f t="shared" si="14"/>
        <v>1</v>
      </c>
      <c r="F86" s="719"/>
      <c r="G86" s="24">
        <f t="shared" si="15"/>
        <v>1</v>
      </c>
      <c r="H86" s="719"/>
      <c r="I86" s="24">
        <f t="shared" si="16"/>
        <v>1</v>
      </c>
      <c r="J86" s="719"/>
      <c r="K86" s="24">
        <f t="shared" si="17"/>
        <v>1</v>
      </c>
      <c r="L86" s="719"/>
      <c r="M86" s="24">
        <f t="shared" si="18"/>
        <v>1</v>
      </c>
      <c r="N86" s="719"/>
      <c r="O86" s="24">
        <f t="shared" si="19"/>
        <v>1</v>
      </c>
      <c r="P86" s="719" t="s">
        <v>3120</v>
      </c>
      <c r="Q86" s="24">
        <f t="shared" si="20"/>
        <v>1</v>
      </c>
      <c r="R86" s="715">
        <f t="shared" ca="1" si="21"/>
        <v>27100</v>
      </c>
      <c r="S86" s="361">
        <f t="shared" ca="1" si="23"/>
        <v>437</v>
      </c>
      <c r="U86" s="3056" t="str">
        <f>Sheet1!C65</f>
        <v>11-2</v>
      </c>
      <c r="V86" s="799">
        <f>Sheet1!E65</f>
        <v>161.24</v>
      </c>
      <c r="W86" s="799">
        <f t="shared" si="12"/>
        <v>0</v>
      </c>
    </row>
    <row r="87" spans="1:23">
      <c r="A87" s="3043" t="str">
        <f>Sheet1!C66</f>
        <v>11-3</v>
      </c>
      <c r="B87" s="717">
        <f>Sheet1!E66</f>
        <v>130.38</v>
      </c>
      <c r="C87" s="24">
        <f t="shared" si="13"/>
        <v>0.99</v>
      </c>
      <c r="D87" s="719"/>
      <c r="E87" s="24">
        <f t="shared" si="14"/>
        <v>1</v>
      </c>
      <c r="F87" s="719"/>
      <c r="G87" s="24">
        <f t="shared" si="15"/>
        <v>1</v>
      </c>
      <c r="H87" s="719"/>
      <c r="I87" s="24">
        <f t="shared" si="16"/>
        <v>1</v>
      </c>
      <c r="J87" s="719"/>
      <c r="K87" s="24">
        <f t="shared" si="17"/>
        <v>1</v>
      </c>
      <c r="L87" s="719"/>
      <c r="M87" s="24">
        <f t="shared" si="18"/>
        <v>1</v>
      </c>
      <c r="N87" s="719"/>
      <c r="O87" s="24">
        <f t="shared" si="19"/>
        <v>1</v>
      </c>
      <c r="P87" s="719" t="s">
        <v>3120</v>
      </c>
      <c r="Q87" s="24">
        <f t="shared" si="20"/>
        <v>1</v>
      </c>
      <c r="R87" s="715">
        <f t="shared" ca="1" si="21"/>
        <v>27100</v>
      </c>
      <c r="S87" s="361">
        <f t="shared" ca="1" si="23"/>
        <v>353</v>
      </c>
      <c r="U87" s="3056" t="str">
        <f>Sheet1!C66</f>
        <v>11-3</v>
      </c>
      <c r="V87" s="799">
        <f>Sheet1!E66</f>
        <v>130.38</v>
      </c>
      <c r="W87" s="799">
        <f t="shared" si="12"/>
        <v>0</v>
      </c>
    </row>
    <row r="88" spans="1:23">
      <c r="A88" s="3043" t="str">
        <f>Sheet1!C67</f>
        <v>11-4</v>
      </c>
      <c r="B88" s="717">
        <f>Sheet1!E67</f>
        <v>120.38</v>
      </c>
      <c r="C88" s="24">
        <f t="shared" si="13"/>
        <v>0.99</v>
      </c>
      <c r="D88" s="719"/>
      <c r="E88" s="24">
        <f t="shared" si="14"/>
        <v>1</v>
      </c>
      <c r="F88" s="719"/>
      <c r="G88" s="24">
        <f t="shared" si="15"/>
        <v>1</v>
      </c>
      <c r="H88" s="719"/>
      <c r="I88" s="24">
        <f t="shared" si="16"/>
        <v>1</v>
      </c>
      <c r="J88" s="719"/>
      <c r="K88" s="24">
        <f t="shared" si="17"/>
        <v>1</v>
      </c>
      <c r="L88" s="719"/>
      <c r="M88" s="24">
        <f t="shared" si="18"/>
        <v>1</v>
      </c>
      <c r="N88" s="719"/>
      <c r="O88" s="24">
        <f t="shared" si="19"/>
        <v>1</v>
      </c>
      <c r="P88" s="719" t="s">
        <v>3120</v>
      </c>
      <c r="Q88" s="24">
        <f t="shared" si="20"/>
        <v>1</v>
      </c>
      <c r="R88" s="715">
        <f t="shared" ca="1" si="21"/>
        <v>27100</v>
      </c>
      <c r="S88" s="361">
        <f t="shared" ca="1" si="23"/>
        <v>326</v>
      </c>
      <c r="U88" s="3056" t="str">
        <f>Sheet1!C67</f>
        <v>11-4</v>
      </c>
      <c r="V88" s="799">
        <f>Sheet1!E67</f>
        <v>120.38</v>
      </c>
      <c r="W88" s="799">
        <f t="shared" si="12"/>
        <v>0</v>
      </c>
    </row>
    <row r="89" spans="1:23">
      <c r="A89" s="3043" t="str">
        <f>Sheet1!C68</f>
        <v>11-5</v>
      </c>
      <c r="B89" s="717">
        <f>Sheet1!E68</f>
        <v>68.81</v>
      </c>
      <c r="C89" s="24">
        <f t="shared" si="13"/>
        <v>1</v>
      </c>
      <c r="D89" s="719"/>
      <c r="E89" s="24">
        <f t="shared" si="14"/>
        <v>1</v>
      </c>
      <c r="F89" s="719"/>
      <c r="G89" s="24">
        <f t="shared" si="15"/>
        <v>1</v>
      </c>
      <c r="H89" s="719"/>
      <c r="I89" s="24">
        <f t="shared" si="16"/>
        <v>1</v>
      </c>
      <c r="J89" s="719"/>
      <c r="K89" s="24">
        <f t="shared" si="17"/>
        <v>1</v>
      </c>
      <c r="L89" s="719"/>
      <c r="M89" s="24">
        <f t="shared" si="18"/>
        <v>1</v>
      </c>
      <c r="N89" s="719"/>
      <c r="O89" s="24">
        <f t="shared" si="19"/>
        <v>1</v>
      </c>
      <c r="P89" s="719" t="s">
        <v>3120</v>
      </c>
      <c r="Q89" s="24">
        <f t="shared" si="20"/>
        <v>1</v>
      </c>
      <c r="R89" s="715">
        <f t="shared" ca="1" si="21"/>
        <v>27374</v>
      </c>
      <c r="S89" s="361">
        <f t="shared" ca="1" si="23"/>
        <v>188</v>
      </c>
      <c r="U89" s="3056" t="str">
        <f>Sheet1!C68</f>
        <v>11-5</v>
      </c>
      <c r="V89" s="799">
        <f>Sheet1!E68</f>
        <v>68.81</v>
      </c>
      <c r="W89" s="799">
        <f t="shared" ref="W89:W152" si="24">B89-V89</f>
        <v>0</v>
      </c>
    </row>
    <row r="90" spans="1:23">
      <c r="A90" s="3043" t="str">
        <f>Sheet1!C69</f>
        <v>11-6</v>
      </c>
      <c r="B90" s="717">
        <f>Sheet1!E69</f>
        <v>68.81</v>
      </c>
      <c r="C90" s="24">
        <f t="shared" ref="C90:C153" si="25">IF(B90="",1,(LOOKUP(B90,$3:$3,$4:$4)-LOOKUP($B$24,$3:$3,$4:$4)+100)/100)</f>
        <v>1</v>
      </c>
      <c r="D90" s="719"/>
      <c r="E90" s="24">
        <f t="shared" ref="E90:E153" si="26">(SUMIF($5:$5,D90,$6:$6)-SUMIF($5:$5,$D$24,$6:$6)+100)/100</f>
        <v>1</v>
      </c>
      <c r="F90" s="719"/>
      <c r="G90" s="24">
        <f t="shared" ref="G90:G153" si="27">(SUMIF($7:$7,F90,$8:$8)-SUMIF($7:$7,$F$24,$8:$8)+100)/100</f>
        <v>1</v>
      </c>
      <c r="H90" s="719"/>
      <c r="I90" s="24">
        <f t="shared" ref="I90:I153" si="28">(SUMIF($9:$9,H90,$10:$10)-SUMIF($9:$9,$H$24,$10:$10)+100)/100</f>
        <v>1</v>
      </c>
      <c r="J90" s="719"/>
      <c r="K90" s="24">
        <f t="shared" ref="K90:K153" si="29">(SUMIF($11:$11,J90,$12:$12)-SUMIF($11:$11,$J$24,$12:$12)+100)/100</f>
        <v>1</v>
      </c>
      <c r="L90" s="719"/>
      <c r="M90" s="24">
        <f t="shared" ref="M90:M153" si="30">(SUMIF($13:$13,L90,$14:$14)-SUMIF($13:$13,$L$24,$14:$14)+100)/100</f>
        <v>1</v>
      </c>
      <c r="N90" s="719"/>
      <c r="O90" s="24">
        <f t="shared" ref="O90:O153" si="31">(SUMIF($15:$15,N90,$16:$16)-SUMIF($15:$15,$N$24,$16:$16)+100)/100</f>
        <v>1</v>
      </c>
      <c r="P90" s="719" t="s">
        <v>3120</v>
      </c>
      <c r="Q90" s="24">
        <f t="shared" ref="Q90:Q153" si="32">(SUMIF($17:$17,P90,$18:$18)-SUMIF($17:$17,$P$24,$18:$18)+100)/100</f>
        <v>1</v>
      </c>
      <c r="R90" s="715">
        <f t="shared" ref="R90:R153" ca="1" si="33">IF(B90="",0,ROUND($R$24*C90*E90*G90*I90*K90*M90*O90*Q90,0))</f>
        <v>27374</v>
      </c>
      <c r="S90" s="361">
        <f t="shared" ca="1" si="23"/>
        <v>188</v>
      </c>
      <c r="U90" s="3056" t="str">
        <f>Sheet1!C69</f>
        <v>11-6</v>
      </c>
      <c r="V90" s="799">
        <f>Sheet1!E69</f>
        <v>68.81</v>
      </c>
      <c r="W90" s="799">
        <f t="shared" si="24"/>
        <v>0</v>
      </c>
    </row>
    <row r="91" spans="1:23">
      <c r="A91" s="3043" t="str">
        <f>Sheet1!C70</f>
        <v>12-1</v>
      </c>
      <c r="B91" s="717">
        <f>Sheet1!E70</f>
        <v>66.349999999999994</v>
      </c>
      <c r="C91" s="24">
        <f t="shared" si="25"/>
        <v>1</v>
      </c>
      <c r="D91" s="719"/>
      <c r="E91" s="24">
        <f t="shared" si="26"/>
        <v>1</v>
      </c>
      <c r="F91" s="719"/>
      <c r="G91" s="24">
        <f t="shared" si="27"/>
        <v>1</v>
      </c>
      <c r="H91" s="719"/>
      <c r="I91" s="24">
        <f t="shared" si="28"/>
        <v>1</v>
      </c>
      <c r="J91" s="719"/>
      <c r="K91" s="24">
        <f t="shared" si="29"/>
        <v>1</v>
      </c>
      <c r="L91" s="719"/>
      <c r="M91" s="24">
        <f t="shared" si="30"/>
        <v>1</v>
      </c>
      <c r="N91" s="719"/>
      <c r="O91" s="24">
        <f t="shared" si="31"/>
        <v>1</v>
      </c>
      <c r="P91" s="719" t="s">
        <v>3120</v>
      </c>
      <c r="Q91" s="24">
        <f t="shared" si="32"/>
        <v>1</v>
      </c>
      <c r="R91" s="715">
        <f t="shared" ca="1" si="33"/>
        <v>27374</v>
      </c>
      <c r="S91" s="361">
        <f t="shared" ca="1" si="23"/>
        <v>182</v>
      </c>
      <c r="U91" s="3056" t="str">
        <f>Sheet1!C70</f>
        <v>12-1</v>
      </c>
      <c r="V91" s="799">
        <f>Sheet1!E70</f>
        <v>66.349999999999994</v>
      </c>
      <c r="W91" s="799">
        <f t="shared" si="24"/>
        <v>0</v>
      </c>
    </row>
    <row r="92" spans="1:23">
      <c r="A92" s="3043" t="str">
        <f>Sheet1!C71</f>
        <v>12-2</v>
      </c>
      <c r="B92" s="717">
        <f>Sheet1!E71</f>
        <v>64.94</v>
      </c>
      <c r="C92" s="24">
        <f t="shared" si="25"/>
        <v>1</v>
      </c>
      <c r="D92" s="719"/>
      <c r="E92" s="24">
        <f t="shared" si="26"/>
        <v>1</v>
      </c>
      <c r="F92" s="719"/>
      <c r="G92" s="24">
        <f t="shared" si="27"/>
        <v>1</v>
      </c>
      <c r="H92" s="719"/>
      <c r="I92" s="24">
        <f t="shared" si="28"/>
        <v>1</v>
      </c>
      <c r="J92" s="719"/>
      <c r="K92" s="24">
        <f t="shared" si="29"/>
        <v>1</v>
      </c>
      <c r="L92" s="719"/>
      <c r="M92" s="24">
        <f t="shared" si="30"/>
        <v>1</v>
      </c>
      <c r="N92" s="719"/>
      <c r="O92" s="24">
        <f t="shared" si="31"/>
        <v>1</v>
      </c>
      <c r="P92" s="719" t="s">
        <v>3120</v>
      </c>
      <c r="Q92" s="24">
        <f t="shared" si="32"/>
        <v>1</v>
      </c>
      <c r="R92" s="715">
        <f t="shared" ca="1" si="33"/>
        <v>27374</v>
      </c>
      <c r="S92" s="361">
        <f t="shared" ca="1" si="23"/>
        <v>178</v>
      </c>
      <c r="U92" s="3056" t="str">
        <f>Sheet1!C71</f>
        <v>12-2</v>
      </c>
      <c r="V92" s="799">
        <f>Sheet1!E71</f>
        <v>64.94</v>
      </c>
      <c r="W92" s="799">
        <f t="shared" si="24"/>
        <v>0</v>
      </c>
    </row>
    <row r="93" spans="1:23">
      <c r="A93" s="3043" t="str">
        <f>Sheet1!C72</f>
        <v>12-3</v>
      </c>
      <c r="B93" s="717">
        <f>Sheet1!E72</f>
        <v>59.29</v>
      </c>
      <c r="C93" s="24">
        <f t="shared" si="25"/>
        <v>1</v>
      </c>
      <c r="D93" s="719"/>
      <c r="E93" s="24">
        <f t="shared" si="26"/>
        <v>1</v>
      </c>
      <c r="F93" s="719"/>
      <c r="G93" s="24">
        <f t="shared" si="27"/>
        <v>1</v>
      </c>
      <c r="H93" s="719"/>
      <c r="I93" s="24">
        <f t="shared" si="28"/>
        <v>1</v>
      </c>
      <c r="J93" s="719"/>
      <c r="K93" s="24">
        <f t="shared" si="29"/>
        <v>1</v>
      </c>
      <c r="L93" s="719"/>
      <c r="M93" s="24">
        <f t="shared" si="30"/>
        <v>1</v>
      </c>
      <c r="N93" s="719"/>
      <c r="O93" s="24">
        <f t="shared" si="31"/>
        <v>1</v>
      </c>
      <c r="P93" s="719" t="s">
        <v>3120</v>
      </c>
      <c r="Q93" s="24">
        <f t="shared" si="32"/>
        <v>1</v>
      </c>
      <c r="R93" s="715">
        <f t="shared" ca="1" si="33"/>
        <v>27374</v>
      </c>
      <c r="S93" s="361">
        <f t="shared" ca="1" si="23"/>
        <v>162</v>
      </c>
      <c r="U93" s="3056" t="str">
        <f>Sheet1!C72</f>
        <v>12-3</v>
      </c>
      <c r="V93" s="799">
        <f>Sheet1!E72</f>
        <v>59.29</v>
      </c>
      <c r="W93" s="799">
        <f t="shared" si="24"/>
        <v>0</v>
      </c>
    </row>
    <row r="94" spans="1:23">
      <c r="A94" s="3043" t="str">
        <f>Sheet1!C73</f>
        <v>12-9</v>
      </c>
      <c r="B94" s="717">
        <f>Sheet1!E73</f>
        <v>115.73</v>
      </c>
      <c r="C94" s="24">
        <f t="shared" si="25"/>
        <v>0.99</v>
      </c>
      <c r="D94" s="719"/>
      <c r="E94" s="24">
        <f t="shared" si="26"/>
        <v>1</v>
      </c>
      <c r="F94" s="719"/>
      <c r="G94" s="24">
        <f t="shared" si="27"/>
        <v>1</v>
      </c>
      <c r="H94" s="719"/>
      <c r="I94" s="24">
        <f t="shared" si="28"/>
        <v>1</v>
      </c>
      <c r="J94" s="719"/>
      <c r="K94" s="24">
        <f t="shared" si="29"/>
        <v>1</v>
      </c>
      <c r="L94" s="719"/>
      <c r="M94" s="24">
        <f t="shared" si="30"/>
        <v>1</v>
      </c>
      <c r="N94" s="719"/>
      <c r="O94" s="24">
        <f t="shared" si="31"/>
        <v>1</v>
      </c>
      <c r="P94" s="719" t="s">
        <v>3120</v>
      </c>
      <c r="Q94" s="24">
        <f t="shared" si="32"/>
        <v>1</v>
      </c>
      <c r="R94" s="715">
        <f t="shared" ca="1" si="33"/>
        <v>27100</v>
      </c>
      <c r="S94" s="361">
        <f t="shared" ca="1" si="23"/>
        <v>314</v>
      </c>
      <c r="U94" s="3056" t="str">
        <f>Sheet1!C73</f>
        <v>12-9</v>
      </c>
      <c r="V94" s="799">
        <f>Sheet1!E73</f>
        <v>115.73</v>
      </c>
      <c r="W94" s="799">
        <f t="shared" si="24"/>
        <v>0</v>
      </c>
    </row>
    <row r="95" spans="1:23">
      <c r="A95" s="3043" t="str">
        <f>Sheet1!C74</f>
        <v>12-10</v>
      </c>
      <c r="B95" s="717">
        <f>Sheet1!E74</f>
        <v>103.75</v>
      </c>
      <c r="C95" s="24">
        <f t="shared" si="25"/>
        <v>0.99</v>
      </c>
      <c r="D95" s="719"/>
      <c r="E95" s="24">
        <f t="shared" si="26"/>
        <v>1</v>
      </c>
      <c r="F95" s="719"/>
      <c r="G95" s="24">
        <f t="shared" si="27"/>
        <v>1</v>
      </c>
      <c r="H95" s="719"/>
      <c r="I95" s="24">
        <f t="shared" si="28"/>
        <v>1</v>
      </c>
      <c r="J95" s="719"/>
      <c r="K95" s="24">
        <f t="shared" si="29"/>
        <v>1</v>
      </c>
      <c r="L95" s="719"/>
      <c r="M95" s="24">
        <f t="shared" si="30"/>
        <v>1</v>
      </c>
      <c r="N95" s="719"/>
      <c r="O95" s="24">
        <f t="shared" si="31"/>
        <v>1</v>
      </c>
      <c r="P95" s="719" t="s">
        <v>3120</v>
      </c>
      <c r="Q95" s="24">
        <f t="shared" si="32"/>
        <v>1</v>
      </c>
      <c r="R95" s="715">
        <f t="shared" ca="1" si="33"/>
        <v>27100</v>
      </c>
      <c r="S95" s="361">
        <f t="shared" ca="1" si="23"/>
        <v>281</v>
      </c>
      <c r="U95" s="3056" t="str">
        <f>Sheet1!C74</f>
        <v>12-10</v>
      </c>
      <c r="V95" s="799">
        <f>Sheet1!E74</f>
        <v>103.75</v>
      </c>
      <c r="W95" s="799">
        <f t="shared" si="24"/>
        <v>0</v>
      </c>
    </row>
    <row r="96" spans="1:23">
      <c r="A96" s="3043" t="str">
        <f>Sheet1!C75</f>
        <v>12-11</v>
      </c>
      <c r="B96" s="717">
        <f>Sheet1!E75</f>
        <v>109.06</v>
      </c>
      <c r="C96" s="24">
        <f t="shared" si="25"/>
        <v>0.99</v>
      </c>
      <c r="D96" s="719"/>
      <c r="E96" s="24">
        <f t="shared" si="26"/>
        <v>1</v>
      </c>
      <c r="F96" s="719"/>
      <c r="G96" s="24">
        <f t="shared" si="27"/>
        <v>1</v>
      </c>
      <c r="H96" s="719"/>
      <c r="I96" s="24">
        <f t="shared" si="28"/>
        <v>1</v>
      </c>
      <c r="J96" s="719"/>
      <c r="K96" s="24">
        <f t="shared" si="29"/>
        <v>1</v>
      </c>
      <c r="L96" s="719"/>
      <c r="M96" s="24">
        <f t="shared" si="30"/>
        <v>1</v>
      </c>
      <c r="N96" s="719"/>
      <c r="O96" s="24">
        <f t="shared" si="31"/>
        <v>1</v>
      </c>
      <c r="P96" s="719" t="s">
        <v>3120</v>
      </c>
      <c r="Q96" s="24">
        <f t="shared" si="32"/>
        <v>1</v>
      </c>
      <c r="R96" s="715">
        <f t="shared" ca="1" si="33"/>
        <v>27100</v>
      </c>
      <c r="S96" s="361">
        <f t="shared" ca="1" si="23"/>
        <v>296</v>
      </c>
      <c r="U96" s="3056" t="str">
        <f>Sheet1!C75</f>
        <v>12-11</v>
      </c>
      <c r="V96" s="799">
        <f>Sheet1!E75</f>
        <v>109.06</v>
      </c>
      <c r="W96" s="799">
        <f t="shared" si="24"/>
        <v>0</v>
      </c>
    </row>
    <row r="97" spans="1:23">
      <c r="A97" s="3043" t="str">
        <f>Sheet1!C76</f>
        <v>12-12</v>
      </c>
      <c r="B97" s="717">
        <f>Sheet1!E76</f>
        <v>73.349999999999994</v>
      </c>
      <c r="C97" s="24">
        <f t="shared" si="25"/>
        <v>1</v>
      </c>
      <c r="D97" s="719"/>
      <c r="E97" s="24">
        <f t="shared" si="26"/>
        <v>1</v>
      </c>
      <c r="F97" s="719"/>
      <c r="G97" s="24">
        <f t="shared" si="27"/>
        <v>1</v>
      </c>
      <c r="H97" s="719"/>
      <c r="I97" s="24">
        <f t="shared" si="28"/>
        <v>1</v>
      </c>
      <c r="J97" s="719"/>
      <c r="K97" s="24">
        <f t="shared" si="29"/>
        <v>1</v>
      </c>
      <c r="L97" s="719"/>
      <c r="M97" s="24">
        <f t="shared" si="30"/>
        <v>1</v>
      </c>
      <c r="N97" s="719"/>
      <c r="O97" s="24">
        <f t="shared" si="31"/>
        <v>1</v>
      </c>
      <c r="P97" s="719" t="s">
        <v>3120</v>
      </c>
      <c r="Q97" s="24">
        <f t="shared" si="32"/>
        <v>1</v>
      </c>
      <c r="R97" s="715">
        <f t="shared" ca="1" si="33"/>
        <v>27374</v>
      </c>
      <c r="S97" s="361">
        <f t="shared" ca="1" si="23"/>
        <v>201</v>
      </c>
      <c r="U97" s="3056" t="str">
        <f>Sheet1!C76</f>
        <v>12-12</v>
      </c>
      <c r="V97" s="799">
        <f>Sheet1!E76</f>
        <v>73.349999999999994</v>
      </c>
      <c r="W97" s="799">
        <f t="shared" si="24"/>
        <v>0</v>
      </c>
    </row>
    <row r="98" spans="1:23">
      <c r="A98" s="3043" t="str">
        <f>Sheet1!C77</f>
        <v>12-13</v>
      </c>
      <c r="B98" s="717">
        <f>Sheet1!E77</f>
        <v>94.83</v>
      </c>
      <c r="C98" s="24">
        <f t="shared" si="25"/>
        <v>1</v>
      </c>
      <c r="D98" s="719"/>
      <c r="E98" s="24">
        <f t="shared" si="26"/>
        <v>1</v>
      </c>
      <c r="F98" s="719"/>
      <c r="G98" s="24">
        <f t="shared" si="27"/>
        <v>1</v>
      </c>
      <c r="H98" s="719"/>
      <c r="I98" s="24">
        <f t="shared" si="28"/>
        <v>1</v>
      </c>
      <c r="J98" s="719"/>
      <c r="K98" s="24">
        <f t="shared" si="29"/>
        <v>1</v>
      </c>
      <c r="L98" s="719"/>
      <c r="M98" s="24">
        <f t="shared" si="30"/>
        <v>1</v>
      </c>
      <c r="N98" s="719"/>
      <c r="O98" s="24">
        <f t="shared" si="31"/>
        <v>1</v>
      </c>
      <c r="P98" s="719" t="s">
        <v>3120</v>
      </c>
      <c r="Q98" s="24">
        <f t="shared" si="32"/>
        <v>1</v>
      </c>
      <c r="R98" s="715">
        <f t="shared" ca="1" si="33"/>
        <v>27374</v>
      </c>
      <c r="S98" s="361">
        <f t="shared" ca="1" si="23"/>
        <v>260</v>
      </c>
      <c r="U98" s="3056" t="str">
        <f>Sheet1!C77</f>
        <v>12-13</v>
      </c>
      <c r="V98" s="799">
        <f>Sheet1!E77</f>
        <v>94.83</v>
      </c>
      <c r="W98" s="799">
        <f t="shared" si="24"/>
        <v>0</v>
      </c>
    </row>
    <row r="99" spans="1:23">
      <c r="A99" s="3043" t="str">
        <f>Sheet1!C78</f>
        <v>13-7</v>
      </c>
      <c r="B99" s="717">
        <f>Sheet1!E78</f>
        <v>148.53</v>
      </c>
      <c r="C99" s="24">
        <f t="shared" si="25"/>
        <v>0.99</v>
      </c>
      <c r="D99" s="719"/>
      <c r="E99" s="24">
        <f t="shared" si="26"/>
        <v>1</v>
      </c>
      <c r="F99" s="719"/>
      <c r="G99" s="24">
        <f t="shared" si="27"/>
        <v>1</v>
      </c>
      <c r="H99" s="719"/>
      <c r="I99" s="24">
        <f t="shared" si="28"/>
        <v>1</v>
      </c>
      <c r="J99" s="719"/>
      <c r="K99" s="24">
        <f t="shared" si="29"/>
        <v>1</v>
      </c>
      <c r="L99" s="719"/>
      <c r="M99" s="24">
        <f t="shared" si="30"/>
        <v>1</v>
      </c>
      <c r="N99" s="719"/>
      <c r="O99" s="24">
        <f t="shared" si="31"/>
        <v>1</v>
      </c>
      <c r="P99" s="719" t="s">
        <v>3120</v>
      </c>
      <c r="Q99" s="24">
        <f t="shared" si="32"/>
        <v>1</v>
      </c>
      <c r="R99" s="715">
        <f t="shared" ca="1" si="33"/>
        <v>27100</v>
      </c>
      <c r="S99" s="361">
        <f t="shared" ca="1" si="23"/>
        <v>403</v>
      </c>
      <c r="U99" s="3056" t="str">
        <f>Sheet1!C78</f>
        <v>13-7</v>
      </c>
      <c r="V99" s="799">
        <f>Sheet1!E78</f>
        <v>148.53</v>
      </c>
      <c r="W99" s="799">
        <f t="shared" si="24"/>
        <v>0</v>
      </c>
    </row>
    <row r="100" spans="1:23">
      <c r="A100" s="3043" t="str">
        <f>Sheet1!C79</f>
        <v>13-8</v>
      </c>
      <c r="B100" s="717">
        <f>Sheet1!E79</f>
        <v>76.3</v>
      </c>
      <c r="C100" s="24">
        <f t="shared" si="25"/>
        <v>1</v>
      </c>
      <c r="D100" s="719"/>
      <c r="E100" s="24">
        <f t="shared" si="26"/>
        <v>1</v>
      </c>
      <c r="F100" s="719"/>
      <c r="G100" s="24">
        <f t="shared" si="27"/>
        <v>1</v>
      </c>
      <c r="H100" s="719"/>
      <c r="I100" s="24">
        <f t="shared" si="28"/>
        <v>1</v>
      </c>
      <c r="J100" s="719"/>
      <c r="K100" s="24">
        <f t="shared" si="29"/>
        <v>1</v>
      </c>
      <c r="L100" s="719"/>
      <c r="M100" s="24">
        <f t="shared" si="30"/>
        <v>1</v>
      </c>
      <c r="N100" s="719"/>
      <c r="O100" s="24">
        <f t="shared" si="31"/>
        <v>1</v>
      </c>
      <c r="P100" s="719" t="s">
        <v>3120</v>
      </c>
      <c r="Q100" s="24">
        <f t="shared" si="32"/>
        <v>1</v>
      </c>
      <c r="R100" s="715">
        <f t="shared" ca="1" si="33"/>
        <v>27374</v>
      </c>
      <c r="S100" s="361">
        <f t="shared" ca="1" si="23"/>
        <v>209</v>
      </c>
      <c r="U100" s="3056" t="str">
        <f>Sheet1!C79</f>
        <v>13-8</v>
      </c>
      <c r="V100" s="799">
        <f>Sheet1!E79</f>
        <v>76.3</v>
      </c>
      <c r="W100" s="799">
        <f t="shared" si="24"/>
        <v>0</v>
      </c>
    </row>
    <row r="101" spans="1:23">
      <c r="A101" s="3043" t="str">
        <f>Sheet1!C80</f>
        <v>13-9</v>
      </c>
      <c r="B101" s="717">
        <f>Sheet1!E80</f>
        <v>81.760000000000005</v>
      </c>
      <c r="C101" s="24">
        <f t="shared" si="25"/>
        <v>1</v>
      </c>
      <c r="D101" s="719"/>
      <c r="E101" s="24">
        <f t="shared" si="26"/>
        <v>1</v>
      </c>
      <c r="F101" s="719"/>
      <c r="G101" s="24">
        <f t="shared" si="27"/>
        <v>1</v>
      </c>
      <c r="H101" s="719"/>
      <c r="I101" s="24">
        <f t="shared" si="28"/>
        <v>1</v>
      </c>
      <c r="J101" s="719"/>
      <c r="K101" s="24">
        <f t="shared" si="29"/>
        <v>1</v>
      </c>
      <c r="L101" s="719"/>
      <c r="M101" s="24">
        <f t="shared" si="30"/>
        <v>1</v>
      </c>
      <c r="N101" s="719"/>
      <c r="O101" s="24">
        <f t="shared" si="31"/>
        <v>1</v>
      </c>
      <c r="P101" s="719" t="s">
        <v>3120</v>
      </c>
      <c r="Q101" s="24">
        <f t="shared" si="32"/>
        <v>1</v>
      </c>
      <c r="R101" s="715">
        <f t="shared" ca="1" si="33"/>
        <v>27374</v>
      </c>
      <c r="S101" s="361">
        <f t="shared" ca="1" si="23"/>
        <v>224</v>
      </c>
      <c r="U101" s="3056" t="str">
        <f>Sheet1!C80</f>
        <v>13-9</v>
      </c>
      <c r="V101" s="799">
        <f>Sheet1!E80</f>
        <v>81.760000000000005</v>
      </c>
      <c r="W101" s="799">
        <f t="shared" si="24"/>
        <v>0</v>
      </c>
    </row>
    <row r="102" spans="1:23">
      <c r="A102" s="3043" t="str">
        <f>Sheet1!C81</f>
        <v>13-10</v>
      </c>
      <c r="B102" s="717">
        <f>Sheet1!E81</f>
        <v>75.099999999999994</v>
      </c>
      <c r="C102" s="24">
        <f t="shared" si="25"/>
        <v>1</v>
      </c>
      <c r="D102" s="719"/>
      <c r="E102" s="24">
        <f t="shared" si="26"/>
        <v>1</v>
      </c>
      <c r="F102" s="719"/>
      <c r="G102" s="24">
        <f t="shared" si="27"/>
        <v>1</v>
      </c>
      <c r="H102" s="719"/>
      <c r="I102" s="24">
        <f t="shared" si="28"/>
        <v>1</v>
      </c>
      <c r="J102" s="719"/>
      <c r="K102" s="24">
        <f t="shared" si="29"/>
        <v>1</v>
      </c>
      <c r="L102" s="719"/>
      <c r="M102" s="24">
        <f t="shared" si="30"/>
        <v>1</v>
      </c>
      <c r="N102" s="719"/>
      <c r="O102" s="24">
        <f t="shared" si="31"/>
        <v>1</v>
      </c>
      <c r="P102" s="719" t="s">
        <v>3120</v>
      </c>
      <c r="Q102" s="24">
        <f t="shared" si="32"/>
        <v>1</v>
      </c>
      <c r="R102" s="715">
        <f t="shared" ca="1" si="33"/>
        <v>27374</v>
      </c>
      <c r="S102" s="361">
        <f t="shared" ca="1" si="23"/>
        <v>206</v>
      </c>
      <c r="U102" s="3056" t="str">
        <f>Sheet1!C81</f>
        <v>13-10</v>
      </c>
      <c r="V102" s="799">
        <f>Sheet1!E81</f>
        <v>75.099999999999994</v>
      </c>
      <c r="W102" s="799">
        <f t="shared" si="24"/>
        <v>0</v>
      </c>
    </row>
    <row r="103" spans="1:23">
      <c r="A103" s="3043" t="str">
        <f>Sheet1!C82</f>
        <v>13-11</v>
      </c>
      <c r="B103" s="717">
        <f>Sheet1!E82</f>
        <v>75.099999999999994</v>
      </c>
      <c r="C103" s="24">
        <f t="shared" si="25"/>
        <v>1</v>
      </c>
      <c r="D103" s="719"/>
      <c r="E103" s="24">
        <f t="shared" si="26"/>
        <v>1</v>
      </c>
      <c r="F103" s="719"/>
      <c r="G103" s="24">
        <f t="shared" si="27"/>
        <v>1</v>
      </c>
      <c r="H103" s="719"/>
      <c r="I103" s="24">
        <f t="shared" si="28"/>
        <v>1</v>
      </c>
      <c r="J103" s="719"/>
      <c r="K103" s="24">
        <f t="shared" si="29"/>
        <v>1</v>
      </c>
      <c r="L103" s="719"/>
      <c r="M103" s="24">
        <f t="shared" si="30"/>
        <v>1</v>
      </c>
      <c r="N103" s="719"/>
      <c r="O103" s="24">
        <f t="shared" si="31"/>
        <v>1</v>
      </c>
      <c r="P103" s="719" t="s">
        <v>3120</v>
      </c>
      <c r="Q103" s="24">
        <f t="shared" si="32"/>
        <v>1</v>
      </c>
      <c r="R103" s="715">
        <f t="shared" ca="1" si="33"/>
        <v>27374</v>
      </c>
      <c r="S103" s="361">
        <f t="shared" ca="1" si="23"/>
        <v>206</v>
      </c>
      <c r="U103" s="3056" t="str">
        <f>Sheet1!C82</f>
        <v>13-11</v>
      </c>
      <c r="V103" s="799">
        <f>Sheet1!E82</f>
        <v>75.099999999999994</v>
      </c>
      <c r="W103" s="799">
        <f t="shared" si="24"/>
        <v>0</v>
      </c>
    </row>
    <row r="104" spans="1:23">
      <c r="A104" s="3043" t="str">
        <f>Sheet1!C83</f>
        <v>13-12</v>
      </c>
      <c r="B104" s="717">
        <f>Sheet1!E83</f>
        <v>94.57</v>
      </c>
      <c r="C104" s="24">
        <f t="shared" si="25"/>
        <v>1</v>
      </c>
      <c r="D104" s="719"/>
      <c r="E104" s="24">
        <f t="shared" si="26"/>
        <v>1</v>
      </c>
      <c r="F104" s="719"/>
      <c r="G104" s="24">
        <f t="shared" si="27"/>
        <v>1</v>
      </c>
      <c r="H104" s="719"/>
      <c r="I104" s="24">
        <f t="shared" si="28"/>
        <v>1</v>
      </c>
      <c r="J104" s="719"/>
      <c r="K104" s="24">
        <f t="shared" si="29"/>
        <v>1</v>
      </c>
      <c r="L104" s="719"/>
      <c r="M104" s="24">
        <f t="shared" si="30"/>
        <v>1</v>
      </c>
      <c r="N104" s="719"/>
      <c r="O104" s="24">
        <f t="shared" si="31"/>
        <v>1</v>
      </c>
      <c r="P104" s="719" t="s">
        <v>3120</v>
      </c>
      <c r="Q104" s="24">
        <f t="shared" si="32"/>
        <v>1</v>
      </c>
      <c r="R104" s="715">
        <f t="shared" ca="1" si="33"/>
        <v>27374</v>
      </c>
      <c r="S104" s="361">
        <f t="shared" ca="1" si="23"/>
        <v>259</v>
      </c>
      <c r="U104" s="3056" t="str">
        <f>Sheet1!C83</f>
        <v>13-12</v>
      </c>
      <c r="V104" s="799">
        <f>Sheet1!E83</f>
        <v>94.57</v>
      </c>
      <c r="W104" s="799">
        <f t="shared" si="24"/>
        <v>0</v>
      </c>
    </row>
    <row r="105" spans="1:23">
      <c r="A105" s="3043" t="str">
        <f>Sheet1!C84</f>
        <v>13-13</v>
      </c>
      <c r="B105" s="717">
        <f>Sheet1!E84</f>
        <v>75.099999999999994</v>
      </c>
      <c r="C105" s="24">
        <f t="shared" si="25"/>
        <v>1</v>
      </c>
      <c r="D105" s="719"/>
      <c r="E105" s="24">
        <f t="shared" si="26"/>
        <v>1</v>
      </c>
      <c r="F105" s="719"/>
      <c r="G105" s="24">
        <f t="shared" si="27"/>
        <v>1</v>
      </c>
      <c r="H105" s="719"/>
      <c r="I105" s="24">
        <f t="shared" si="28"/>
        <v>1</v>
      </c>
      <c r="J105" s="719"/>
      <c r="K105" s="24">
        <f t="shared" si="29"/>
        <v>1</v>
      </c>
      <c r="L105" s="719"/>
      <c r="M105" s="24">
        <f t="shared" si="30"/>
        <v>1</v>
      </c>
      <c r="N105" s="719"/>
      <c r="O105" s="24">
        <f t="shared" si="31"/>
        <v>1</v>
      </c>
      <c r="P105" s="719" t="s">
        <v>3120</v>
      </c>
      <c r="Q105" s="24">
        <f t="shared" si="32"/>
        <v>1</v>
      </c>
      <c r="R105" s="715">
        <f t="shared" ca="1" si="33"/>
        <v>27374</v>
      </c>
      <c r="S105" s="361">
        <f t="shared" ca="1" si="23"/>
        <v>206</v>
      </c>
      <c r="U105" s="3056" t="str">
        <f>Sheet1!C84</f>
        <v>13-13</v>
      </c>
      <c r="V105" s="799">
        <f>Sheet1!E84</f>
        <v>75.099999999999994</v>
      </c>
      <c r="W105" s="799">
        <f t="shared" si="24"/>
        <v>0</v>
      </c>
    </row>
    <row r="106" spans="1:23">
      <c r="A106" s="3043" t="str">
        <f>Sheet1!C85</f>
        <v>13-14</v>
      </c>
      <c r="B106" s="717">
        <f>Sheet1!E85</f>
        <v>75.099999999999994</v>
      </c>
      <c r="C106" s="24">
        <f t="shared" si="25"/>
        <v>1</v>
      </c>
      <c r="D106" s="719"/>
      <c r="E106" s="24">
        <f t="shared" si="26"/>
        <v>1</v>
      </c>
      <c r="F106" s="719"/>
      <c r="G106" s="24">
        <f t="shared" si="27"/>
        <v>1</v>
      </c>
      <c r="H106" s="719"/>
      <c r="I106" s="24">
        <f t="shared" si="28"/>
        <v>1</v>
      </c>
      <c r="J106" s="719"/>
      <c r="K106" s="24">
        <f t="shared" si="29"/>
        <v>1</v>
      </c>
      <c r="L106" s="719"/>
      <c r="M106" s="24">
        <f t="shared" si="30"/>
        <v>1</v>
      </c>
      <c r="N106" s="719"/>
      <c r="O106" s="24">
        <f t="shared" si="31"/>
        <v>1</v>
      </c>
      <c r="P106" s="719" t="s">
        <v>3120</v>
      </c>
      <c r="Q106" s="24">
        <f t="shared" si="32"/>
        <v>1</v>
      </c>
      <c r="R106" s="715">
        <f t="shared" ca="1" si="33"/>
        <v>27374</v>
      </c>
      <c r="S106" s="361">
        <f t="shared" ca="1" si="23"/>
        <v>206</v>
      </c>
      <c r="U106" s="3056" t="str">
        <f>Sheet1!C85</f>
        <v>13-14</v>
      </c>
      <c r="V106" s="799">
        <f>Sheet1!E85</f>
        <v>75.099999999999994</v>
      </c>
      <c r="W106" s="799">
        <f t="shared" si="24"/>
        <v>0</v>
      </c>
    </row>
    <row r="107" spans="1:23">
      <c r="A107" s="3043" t="str">
        <f>Sheet1!C86</f>
        <v>13-15</v>
      </c>
      <c r="B107" s="717">
        <f>Sheet1!E86</f>
        <v>77.38</v>
      </c>
      <c r="C107" s="24">
        <f t="shared" si="25"/>
        <v>1</v>
      </c>
      <c r="D107" s="719"/>
      <c r="E107" s="24">
        <f t="shared" si="26"/>
        <v>1</v>
      </c>
      <c r="F107" s="719"/>
      <c r="G107" s="24">
        <f t="shared" si="27"/>
        <v>1</v>
      </c>
      <c r="H107" s="719"/>
      <c r="I107" s="24">
        <f t="shared" si="28"/>
        <v>1</v>
      </c>
      <c r="J107" s="719"/>
      <c r="K107" s="24">
        <f t="shared" si="29"/>
        <v>1</v>
      </c>
      <c r="L107" s="719"/>
      <c r="M107" s="24">
        <f t="shared" si="30"/>
        <v>1</v>
      </c>
      <c r="N107" s="719"/>
      <c r="O107" s="24">
        <f t="shared" si="31"/>
        <v>1</v>
      </c>
      <c r="P107" s="719" t="s">
        <v>3120</v>
      </c>
      <c r="Q107" s="24">
        <f t="shared" si="32"/>
        <v>1</v>
      </c>
      <c r="R107" s="715">
        <f t="shared" ca="1" si="33"/>
        <v>27374</v>
      </c>
      <c r="S107" s="361">
        <f t="shared" ca="1" si="23"/>
        <v>212</v>
      </c>
      <c r="U107" s="3056" t="str">
        <f>Sheet1!C86</f>
        <v>13-15</v>
      </c>
      <c r="V107" s="799">
        <f>Sheet1!E86</f>
        <v>77.38</v>
      </c>
      <c r="W107" s="799">
        <f t="shared" si="24"/>
        <v>0</v>
      </c>
    </row>
    <row r="108" spans="1:23">
      <c r="A108" s="3043" t="str">
        <f>Sheet1!C87</f>
        <v>16-1</v>
      </c>
      <c r="B108" s="717">
        <f>Sheet1!E87</f>
        <v>142.69999999999999</v>
      </c>
      <c r="C108" s="24">
        <f t="shared" si="25"/>
        <v>0.99</v>
      </c>
      <c r="D108" s="719"/>
      <c r="E108" s="24">
        <f t="shared" si="26"/>
        <v>1</v>
      </c>
      <c r="F108" s="719"/>
      <c r="G108" s="24">
        <f t="shared" si="27"/>
        <v>1</v>
      </c>
      <c r="H108" s="719"/>
      <c r="I108" s="24">
        <f t="shared" si="28"/>
        <v>1</v>
      </c>
      <c r="J108" s="719"/>
      <c r="K108" s="24">
        <f t="shared" si="29"/>
        <v>1</v>
      </c>
      <c r="L108" s="719"/>
      <c r="M108" s="24">
        <f t="shared" si="30"/>
        <v>1</v>
      </c>
      <c r="N108" s="719"/>
      <c r="O108" s="24">
        <f t="shared" si="31"/>
        <v>1</v>
      </c>
      <c r="P108" s="719" t="s">
        <v>3120</v>
      </c>
      <c r="Q108" s="24">
        <f t="shared" si="32"/>
        <v>1</v>
      </c>
      <c r="R108" s="715">
        <f t="shared" ca="1" si="33"/>
        <v>27100</v>
      </c>
      <c r="S108" s="361">
        <f t="shared" ca="1" si="23"/>
        <v>387</v>
      </c>
      <c r="U108" s="3056" t="str">
        <f>Sheet1!C87</f>
        <v>16-1</v>
      </c>
      <c r="V108" s="799">
        <f>Sheet1!E87</f>
        <v>142.69999999999999</v>
      </c>
      <c r="W108" s="799">
        <f t="shared" si="24"/>
        <v>0</v>
      </c>
    </row>
    <row r="109" spans="1:23">
      <c r="A109" s="3043" t="str">
        <f>Sheet1!C88</f>
        <v>16-2</v>
      </c>
      <c r="B109" s="717">
        <f>Sheet1!E88</f>
        <v>151.05000000000001</v>
      </c>
      <c r="C109" s="24">
        <f t="shared" si="25"/>
        <v>0.99</v>
      </c>
      <c r="D109" s="719"/>
      <c r="E109" s="24">
        <f t="shared" si="26"/>
        <v>1</v>
      </c>
      <c r="F109" s="719"/>
      <c r="G109" s="24">
        <f t="shared" si="27"/>
        <v>1</v>
      </c>
      <c r="H109" s="719"/>
      <c r="I109" s="24">
        <f t="shared" si="28"/>
        <v>1</v>
      </c>
      <c r="J109" s="719"/>
      <c r="K109" s="24">
        <f t="shared" si="29"/>
        <v>1</v>
      </c>
      <c r="L109" s="719"/>
      <c r="M109" s="24">
        <f t="shared" si="30"/>
        <v>1</v>
      </c>
      <c r="N109" s="719"/>
      <c r="O109" s="24">
        <f t="shared" si="31"/>
        <v>1</v>
      </c>
      <c r="P109" s="719" t="s">
        <v>3120</v>
      </c>
      <c r="Q109" s="24">
        <f t="shared" si="32"/>
        <v>1</v>
      </c>
      <c r="R109" s="715">
        <f t="shared" ca="1" si="33"/>
        <v>27100</v>
      </c>
      <c r="S109" s="361">
        <f t="shared" ca="1" si="23"/>
        <v>409</v>
      </c>
      <c r="U109" s="3056" t="str">
        <f>Sheet1!C88</f>
        <v>16-2</v>
      </c>
      <c r="V109" s="799">
        <f>Sheet1!E88</f>
        <v>151.05000000000001</v>
      </c>
      <c r="W109" s="799">
        <f t="shared" si="24"/>
        <v>0</v>
      </c>
    </row>
    <row r="110" spans="1:23">
      <c r="A110" s="3043" t="str">
        <f>Sheet1!C89</f>
        <v>16-3</v>
      </c>
      <c r="B110" s="717">
        <f>Sheet1!E89</f>
        <v>130.16</v>
      </c>
      <c r="C110" s="24">
        <f t="shared" si="25"/>
        <v>0.99</v>
      </c>
      <c r="D110" s="719"/>
      <c r="E110" s="24">
        <f t="shared" si="26"/>
        <v>1</v>
      </c>
      <c r="F110" s="719"/>
      <c r="G110" s="24">
        <f t="shared" si="27"/>
        <v>1</v>
      </c>
      <c r="H110" s="719"/>
      <c r="I110" s="24">
        <f t="shared" si="28"/>
        <v>1</v>
      </c>
      <c r="J110" s="719"/>
      <c r="K110" s="24">
        <f t="shared" si="29"/>
        <v>1</v>
      </c>
      <c r="L110" s="719"/>
      <c r="M110" s="24">
        <f t="shared" si="30"/>
        <v>1</v>
      </c>
      <c r="N110" s="719"/>
      <c r="O110" s="24">
        <f t="shared" si="31"/>
        <v>1</v>
      </c>
      <c r="P110" s="719" t="s">
        <v>3120</v>
      </c>
      <c r="Q110" s="24">
        <f t="shared" si="32"/>
        <v>1</v>
      </c>
      <c r="R110" s="715">
        <f t="shared" ca="1" si="33"/>
        <v>27100</v>
      </c>
      <c r="S110" s="361">
        <f t="shared" ca="1" si="23"/>
        <v>353</v>
      </c>
      <c r="U110" s="3056" t="str">
        <f>Sheet1!C89</f>
        <v>16-3</v>
      </c>
      <c r="V110" s="799">
        <f>Sheet1!E89</f>
        <v>130.16</v>
      </c>
      <c r="W110" s="799">
        <f t="shared" si="24"/>
        <v>0</v>
      </c>
    </row>
    <row r="111" spans="1:23">
      <c r="A111" s="3043" t="str">
        <f>Sheet1!C90</f>
        <v>16-4</v>
      </c>
      <c r="B111" s="717">
        <f>Sheet1!E90</f>
        <v>104.04</v>
      </c>
      <c r="C111" s="24">
        <f t="shared" si="25"/>
        <v>0.99</v>
      </c>
      <c r="D111" s="719"/>
      <c r="E111" s="24">
        <f t="shared" si="26"/>
        <v>1</v>
      </c>
      <c r="F111" s="719"/>
      <c r="G111" s="24">
        <f t="shared" si="27"/>
        <v>1</v>
      </c>
      <c r="H111" s="719"/>
      <c r="I111" s="24">
        <f t="shared" si="28"/>
        <v>1</v>
      </c>
      <c r="J111" s="719"/>
      <c r="K111" s="24">
        <f t="shared" si="29"/>
        <v>1</v>
      </c>
      <c r="L111" s="719"/>
      <c r="M111" s="24">
        <f t="shared" si="30"/>
        <v>1</v>
      </c>
      <c r="N111" s="719"/>
      <c r="O111" s="24">
        <f t="shared" si="31"/>
        <v>1</v>
      </c>
      <c r="P111" s="719" t="s">
        <v>3120</v>
      </c>
      <c r="Q111" s="24">
        <f t="shared" si="32"/>
        <v>1</v>
      </c>
      <c r="R111" s="715">
        <f t="shared" ca="1" si="33"/>
        <v>27100</v>
      </c>
      <c r="S111" s="361">
        <f t="shared" ca="1" si="23"/>
        <v>282</v>
      </c>
      <c r="U111" s="3056" t="str">
        <f>Sheet1!C90</f>
        <v>16-4</v>
      </c>
      <c r="V111" s="799">
        <f>Sheet1!E90</f>
        <v>104.04</v>
      </c>
      <c r="W111" s="799">
        <f t="shared" si="24"/>
        <v>0</v>
      </c>
    </row>
    <row r="112" spans="1:23">
      <c r="A112" s="3043" t="str">
        <f>Sheet1!C91</f>
        <v>17-1</v>
      </c>
      <c r="B112" s="717">
        <f>Sheet1!E91</f>
        <v>35.89</v>
      </c>
      <c r="C112" s="24">
        <f t="shared" si="25"/>
        <v>1</v>
      </c>
      <c r="D112" s="719"/>
      <c r="E112" s="24">
        <f t="shared" si="26"/>
        <v>1</v>
      </c>
      <c r="F112" s="719"/>
      <c r="G112" s="24">
        <f t="shared" si="27"/>
        <v>1</v>
      </c>
      <c r="H112" s="719"/>
      <c r="I112" s="24">
        <f t="shared" si="28"/>
        <v>1</v>
      </c>
      <c r="J112" s="719"/>
      <c r="K112" s="24">
        <f t="shared" si="29"/>
        <v>1</v>
      </c>
      <c r="L112" s="719"/>
      <c r="M112" s="24">
        <f t="shared" si="30"/>
        <v>1</v>
      </c>
      <c r="N112" s="719"/>
      <c r="O112" s="24">
        <f t="shared" si="31"/>
        <v>1</v>
      </c>
      <c r="P112" s="719" t="s">
        <v>3120</v>
      </c>
      <c r="Q112" s="24">
        <f t="shared" si="32"/>
        <v>1</v>
      </c>
      <c r="R112" s="715">
        <f t="shared" ca="1" si="33"/>
        <v>27374</v>
      </c>
      <c r="S112" s="361">
        <f t="shared" ca="1" si="23"/>
        <v>98</v>
      </c>
      <c r="U112" s="3056" t="str">
        <f>Sheet1!C91</f>
        <v>17-1</v>
      </c>
      <c r="V112" s="799">
        <f>Sheet1!E91</f>
        <v>35.89</v>
      </c>
      <c r="W112" s="799">
        <f t="shared" si="24"/>
        <v>0</v>
      </c>
    </row>
    <row r="113" spans="1:23">
      <c r="A113" s="3043" t="str">
        <f>Sheet1!C92</f>
        <v>17-2</v>
      </c>
      <c r="B113" s="717">
        <f>Sheet1!E92</f>
        <v>38.89</v>
      </c>
      <c r="C113" s="24">
        <f t="shared" si="25"/>
        <v>1</v>
      </c>
      <c r="D113" s="719"/>
      <c r="E113" s="24">
        <f t="shared" si="26"/>
        <v>1</v>
      </c>
      <c r="F113" s="719"/>
      <c r="G113" s="24">
        <f t="shared" si="27"/>
        <v>1</v>
      </c>
      <c r="H113" s="719"/>
      <c r="I113" s="24">
        <f t="shared" si="28"/>
        <v>1</v>
      </c>
      <c r="J113" s="719"/>
      <c r="K113" s="24">
        <f t="shared" si="29"/>
        <v>1</v>
      </c>
      <c r="L113" s="719"/>
      <c r="M113" s="24">
        <f t="shared" si="30"/>
        <v>1</v>
      </c>
      <c r="N113" s="719"/>
      <c r="O113" s="24">
        <f t="shared" si="31"/>
        <v>1</v>
      </c>
      <c r="P113" s="719" t="s">
        <v>3120</v>
      </c>
      <c r="Q113" s="24">
        <f t="shared" si="32"/>
        <v>1</v>
      </c>
      <c r="R113" s="715">
        <f t="shared" ca="1" si="33"/>
        <v>27374</v>
      </c>
      <c r="S113" s="361">
        <f t="shared" ca="1" si="23"/>
        <v>106</v>
      </c>
      <c r="U113" s="3056" t="str">
        <f>Sheet1!C92</f>
        <v>17-2</v>
      </c>
      <c r="V113" s="799">
        <f>Sheet1!E92</f>
        <v>38.89</v>
      </c>
      <c r="W113" s="799">
        <f t="shared" si="24"/>
        <v>0</v>
      </c>
    </row>
    <row r="114" spans="1:23">
      <c r="A114" s="3043" t="str">
        <f>Sheet1!C93</f>
        <v>17-3</v>
      </c>
      <c r="B114" s="717">
        <f>Sheet1!E93</f>
        <v>75.819999999999993</v>
      </c>
      <c r="C114" s="24">
        <f t="shared" si="25"/>
        <v>1</v>
      </c>
      <c r="D114" s="719"/>
      <c r="E114" s="24">
        <f t="shared" si="26"/>
        <v>1</v>
      </c>
      <c r="F114" s="719"/>
      <c r="G114" s="24">
        <f t="shared" si="27"/>
        <v>1</v>
      </c>
      <c r="H114" s="719"/>
      <c r="I114" s="24">
        <f t="shared" si="28"/>
        <v>1</v>
      </c>
      <c r="J114" s="719"/>
      <c r="K114" s="24">
        <f t="shared" si="29"/>
        <v>1</v>
      </c>
      <c r="L114" s="719"/>
      <c r="M114" s="24">
        <f t="shared" si="30"/>
        <v>1</v>
      </c>
      <c r="N114" s="719"/>
      <c r="O114" s="24">
        <f t="shared" si="31"/>
        <v>1</v>
      </c>
      <c r="P114" s="719" t="s">
        <v>3120</v>
      </c>
      <c r="Q114" s="24">
        <f t="shared" si="32"/>
        <v>1</v>
      </c>
      <c r="R114" s="715">
        <f t="shared" ca="1" si="33"/>
        <v>27374</v>
      </c>
      <c r="S114" s="361">
        <f t="shared" ca="1" si="23"/>
        <v>208</v>
      </c>
      <c r="U114" s="3056" t="str">
        <f>Sheet1!C93</f>
        <v>17-3</v>
      </c>
      <c r="V114" s="799">
        <f>Sheet1!E93</f>
        <v>75.819999999999993</v>
      </c>
      <c r="W114" s="799">
        <f t="shared" si="24"/>
        <v>0</v>
      </c>
    </row>
    <row r="115" spans="1:23">
      <c r="A115" s="3043" t="str">
        <f>Sheet1!C94</f>
        <v>17-4</v>
      </c>
      <c r="B115" s="717">
        <f>Sheet1!E94</f>
        <v>52.5</v>
      </c>
      <c r="C115" s="24">
        <f t="shared" si="25"/>
        <v>1</v>
      </c>
      <c r="D115" s="719"/>
      <c r="E115" s="24">
        <f t="shared" si="26"/>
        <v>1</v>
      </c>
      <c r="F115" s="719"/>
      <c r="G115" s="24">
        <f t="shared" si="27"/>
        <v>1</v>
      </c>
      <c r="H115" s="719"/>
      <c r="I115" s="24">
        <f t="shared" si="28"/>
        <v>1</v>
      </c>
      <c r="J115" s="719"/>
      <c r="K115" s="24">
        <f t="shared" si="29"/>
        <v>1</v>
      </c>
      <c r="L115" s="719"/>
      <c r="M115" s="24">
        <f t="shared" si="30"/>
        <v>1</v>
      </c>
      <c r="N115" s="719"/>
      <c r="O115" s="24">
        <f t="shared" si="31"/>
        <v>1</v>
      </c>
      <c r="P115" s="719" t="s">
        <v>3120</v>
      </c>
      <c r="Q115" s="24">
        <f t="shared" si="32"/>
        <v>1</v>
      </c>
      <c r="R115" s="715">
        <f t="shared" ca="1" si="33"/>
        <v>27374</v>
      </c>
      <c r="S115" s="361">
        <f t="shared" ca="1" si="23"/>
        <v>144</v>
      </c>
      <c r="U115" s="3056" t="str">
        <f>Sheet1!C94</f>
        <v>17-4</v>
      </c>
      <c r="V115" s="799">
        <f>Sheet1!E94</f>
        <v>52.5</v>
      </c>
      <c r="W115" s="799">
        <f t="shared" si="24"/>
        <v>0</v>
      </c>
    </row>
    <row r="116" spans="1:23">
      <c r="A116" s="3043" t="str">
        <f>Sheet1!C95</f>
        <v>17-5</v>
      </c>
      <c r="B116" s="717">
        <f>Sheet1!E95</f>
        <v>57.91</v>
      </c>
      <c r="C116" s="24">
        <f t="shared" si="25"/>
        <v>1</v>
      </c>
      <c r="D116" s="719"/>
      <c r="E116" s="24">
        <f t="shared" si="26"/>
        <v>1</v>
      </c>
      <c r="F116" s="719"/>
      <c r="G116" s="24">
        <f t="shared" si="27"/>
        <v>1</v>
      </c>
      <c r="H116" s="719"/>
      <c r="I116" s="24">
        <f t="shared" si="28"/>
        <v>1</v>
      </c>
      <c r="J116" s="719"/>
      <c r="K116" s="24">
        <f t="shared" si="29"/>
        <v>1</v>
      </c>
      <c r="L116" s="719"/>
      <c r="M116" s="24">
        <f t="shared" si="30"/>
        <v>1</v>
      </c>
      <c r="N116" s="719"/>
      <c r="O116" s="24">
        <f t="shared" si="31"/>
        <v>1</v>
      </c>
      <c r="P116" s="719" t="s">
        <v>3120</v>
      </c>
      <c r="Q116" s="24">
        <f t="shared" si="32"/>
        <v>1</v>
      </c>
      <c r="R116" s="715">
        <f t="shared" ca="1" si="33"/>
        <v>27374</v>
      </c>
      <c r="S116" s="361">
        <f t="shared" ca="1" si="23"/>
        <v>159</v>
      </c>
      <c r="U116" s="3056" t="str">
        <f>Sheet1!C95</f>
        <v>17-5</v>
      </c>
      <c r="V116" s="799">
        <f>Sheet1!E95</f>
        <v>57.91</v>
      </c>
      <c r="W116" s="799">
        <f t="shared" si="24"/>
        <v>0</v>
      </c>
    </row>
    <row r="117" spans="1:23">
      <c r="A117" s="3043" t="str">
        <f>Sheet1!C96</f>
        <v>17-6</v>
      </c>
      <c r="B117" s="717">
        <f>Sheet1!E96</f>
        <v>75.819999999999993</v>
      </c>
      <c r="C117" s="24">
        <f t="shared" si="25"/>
        <v>1</v>
      </c>
      <c r="D117" s="719"/>
      <c r="E117" s="24">
        <f t="shared" si="26"/>
        <v>1</v>
      </c>
      <c r="F117" s="719"/>
      <c r="G117" s="24">
        <f t="shared" si="27"/>
        <v>1</v>
      </c>
      <c r="H117" s="719"/>
      <c r="I117" s="24">
        <f t="shared" si="28"/>
        <v>1</v>
      </c>
      <c r="J117" s="719"/>
      <c r="K117" s="24">
        <f t="shared" si="29"/>
        <v>1</v>
      </c>
      <c r="L117" s="719"/>
      <c r="M117" s="24">
        <f t="shared" si="30"/>
        <v>1</v>
      </c>
      <c r="N117" s="719"/>
      <c r="O117" s="24">
        <f t="shared" si="31"/>
        <v>1</v>
      </c>
      <c r="P117" s="719" t="s">
        <v>3120</v>
      </c>
      <c r="Q117" s="24">
        <f t="shared" si="32"/>
        <v>1</v>
      </c>
      <c r="R117" s="715">
        <f t="shared" ca="1" si="33"/>
        <v>27374</v>
      </c>
      <c r="S117" s="361">
        <f t="shared" ca="1" si="23"/>
        <v>208</v>
      </c>
      <c r="U117" s="3056" t="str">
        <f>Sheet1!C96</f>
        <v>17-6</v>
      </c>
      <c r="V117" s="799">
        <f>Sheet1!E96</f>
        <v>75.819999999999993</v>
      </c>
      <c r="W117" s="799">
        <f t="shared" si="24"/>
        <v>0</v>
      </c>
    </row>
    <row r="118" spans="1:23">
      <c r="A118" s="3043" t="str">
        <f>Sheet1!C97</f>
        <v>17-7</v>
      </c>
      <c r="B118" s="717">
        <f>Sheet1!E97</f>
        <v>80.03</v>
      </c>
      <c r="C118" s="24">
        <f t="shared" si="25"/>
        <v>1</v>
      </c>
      <c r="D118" s="719"/>
      <c r="E118" s="24">
        <f t="shared" si="26"/>
        <v>1</v>
      </c>
      <c r="F118" s="719"/>
      <c r="G118" s="24">
        <f t="shared" si="27"/>
        <v>1</v>
      </c>
      <c r="H118" s="719"/>
      <c r="I118" s="24">
        <f t="shared" si="28"/>
        <v>1</v>
      </c>
      <c r="J118" s="719"/>
      <c r="K118" s="24">
        <f t="shared" si="29"/>
        <v>1</v>
      </c>
      <c r="L118" s="719"/>
      <c r="M118" s="24">
        <f t="shared" si="30"/>
        <v>1</v>
      </c>
      <c r="N118" s="719"/>
      <c r="O118" s="24">
        <f t="shared" si="31"/>
        <v>1</v>
      </c>
      <c r="P118" s="719" t="s">
        <v>3120</v>
      </c>
      <c r="Q118" s="24">
        <f t="shared" si="32"/>
        <v>1</v>
      </c>
      <c r="R118" s="715">
        <f t="shared" ca="1" si="33"/>
        <v>27374</v>
      </c>
      <c r="S118" s="361">
        <f t="shared" ca="1" si="23"/>
        <v>219</v>
      </c>
      <c r="U118" s="3056" t="str">
        <f>Sheet1!C97</f>
        <v>17-7</v>
      </c>
      <c r="V118" s="799">
        <f>Sheet1!E97</f>
        <v>80.03</v>
      </c>
      <c r="W118" s="799">
        <f t="shared" si="24"/>
        <v>0</v>
      </c>
    </row>
    <row r="119" spans="1:23">
      <c r="A119" s="3043" t="str">
        <f>Sheet1!C98</f>
        <v>17-8</v>
      </c>
      <c r="B119" s="717">
        <f>Sheet1!E98</f>
        <v>66.25</v>
      </c>
      <c r="C119" s="24">
        <f t="shared" si="25"/>
        <v>1</v>
      </c>
      <c r="D119" s="719"/>
      <c r="E119" s="24">
        <f t="shared" si="26"/>
        <v>1</v>
      </c>
      <c r="F119" s="719"/>
      <c r="G119" s="24">
        <f t="shared" si="27"/>
        <v>1</v>
      </c>
      <c r="H119" s="719"/>
      <c r="I119" s="24">
        <f t="shared" si="28"/>
        <v>1</v>
      </c>
      <c r="J119" s="719"/>
      <c r="K119" s="24">
        <f t="shared" si="29"/>
        <v>1</v>
      </c>
      <c r="L119" s="719"/>
      <c r="M119" s="24">
        <f t="shared" si="30"/>
        <v>1</v>
      </c>
      <c r="N119" s="719"/>
      <c r="O119" s="24">
        <f t="shared" si="31"/>
        <v>1</v>
      </c>
      <c r="P119" s="719" t="s">
        <v>3120</v>
      </c>
      <c r="Q119" s="24">
        <f t="shared" si="32"/>
        <v>1</v>
      </c>
      <c r="R119" s="715">
        <f t="shared" ca="1" si="33"/>
        <v>27374</v>
      </c>
      <c r="S119" s="361">
        <f t="shared" ca="1" si="23"/>
        <v>181</v>
      </c>
      <c r="U119" s="3056" t="str">
        <f>Sheet1!C98</f>
        <v>17-8</v>
      </c>
      <c r="V119" s="799">
        <f>Sheet1!E98</f>
        <v>66.25</v>
      </c>
      <c r="W119" s="799">
        <f t="shared" si="24"/>
        <v>0</v>
      </c>
    </row>
    <row r="120" spans="1:23">
      <c r="A120" s="3043" t="str">
        <f>Sheet1!C99</f>
        <v>17-9</v>
      </c>
      <c r="B120" s="717">
        <f>Sheet1!E99</f>
        <v>47.86</v>
      </c>
      <c r="C120" s="24">
        <f t="shared" si="25"/>
        <v>1</v>
      </c>
      <c r="D120" s="719"/>
      <c r="E120" s="24">
        <f t="shared" si="26"/>
        <v>1</v>
      </c>
      <c r="F120" s="719"/>
      <c r="G120" s="24">
        <f t="shared" si="27"/>
        <v>1</v>
      </c>
      <c r="H120" s="719"/>
      <c r="I120" s="24">
        <f t="shared" si="28"/>
        <v>1</v>
      </c>
      <c r="J120" s="719"/>
      <c r="K120" s="24">
        <f t="shared" si="29"/>
        <v>1</v>
      </c>
      <c r="L120" s="719"/>
      <c r="M120" s="24">
        <f t="shared" si="30"/>
        <v>1</v>
      </c>
      <c r="N120" s="719"/>
      <c r="O120" s="24">
        <f t="shared" si="31"/>
        <v>1</v>
      </c>
      <c r="P120" s="719" t="s">
        <v>3120</v>
      </c>
      <c r="Q120" s="24">
        <f t="shared" si="32"/>
        <v>1</v>
      </c>
      <c r="R120" s="715">
        <f t="shared" ca="1" si="33"/>
        <v>27374</v>
      </c>
      <c r="S120" s="361">
        <f t="shared" ca="1" si="23"/>
        <v>131</v>
      </c>
      <c r="U120" s="3056" t="str">
        <f>Sheet1!C99</f>
        <v>17-9</v>
      </c>
      <c r="V120" s="799">
        <f>Sheet1!E99</f>
        <v>47.86</v>
      </c>
      <c r="W120" s="799">
        <f t="shared" si="24"/>
        <v>0</v>
      </c>
    </row>
    <row r="121" spans="1:23">
      <c r="A121" s="3043" t="str">
        <f>Sheet1!C100</f>
        <v>17-10</v>
      </c>
      <c r="B121" s="717">
        <f>Sheet1!E100</f>
        <v>47.86</v>
      </c>
      <c r="C121" s="24">
        <f t="shared" si="25"/>
        <v>1</v>
      </c>
      <c r="D121" s="719"/>
      <c r="E121" s="24">
        <f t="shared" si="26"/>
        <v>1</v>
      </c>
      <c r="F121" s="719"/>
      <c r="G121" s="24">
        <f t="shared" si="27"/>
        <v>1</v>
      </c>
      <c r="H121" s="719"/>
      <c r="I121" s="24">
        <f t="shared" si="28"/>
        <v>1</v>
      </c>
      <c r="J121" s="719"/>
      <c r="K121" s="24">
        <f t="shared" si="29"/>
        <v>1</v>
      </c>
      <c r="L121" s="719"/>
      <c r="M121" s="24">
        <f t="shared" si="30"/>
        <v>1</v>
      </c>
      <c r="N121" s="719"/>
      <c r="O121" s="24">
        <f t="shared" si="31"/>
        <v>1</v>
      </c>
      <c r="P121" s="719" t="s">
        <v>3120</v>
      </c>
      <c r="Q121" s="24">
        <f t="shared" si="32"/>
        <v>1</v>
      </c>
      <c r="R121" s="715">
        <f t="shared" ca="1" si="33"/>
        <v>27374</v>
      </c>
      <c r="S121" s="361">
        <f t="shared" ca="1" si="23"/>
        <v>131</v>
      </c>
      <c r="U121" s="3056" t="str">
        <f>Sheet1!C100</f>
        <v>17-10</v>
      </c>
      <c r="V121" s="799">
        <f>Sheet1!E100</f>
        <v>47.86</v>
      </c>
      <c r="W121" s="799">
        <f t="shared" si="24"/>
        <v>0</v>
      </c>
    </row>
    <row r="122" spans="1:23">
      <c r="A122" s="3043" t="str">
        <f>Sheet1!C101</f>
        <v>17-11</v>
      </c>
      <c r="B122" s="717">
        <f>Sheet1!E101</f>
        <v>47.86</v>
      </c>
      <c r="C122" s="24">
        <f t="shared" si="25"/>
        <v>1</v>
      </c>
      <c r="D122" s="719"/>
      <c r="E122" s="24">
        <f t="shared" si="26"/>
        <v>1</v>
      </c>
      <c r="F122" s="719"/>
      <c r="G122" s="24">
        <f t="shared" si="27"/>
        <v>1</v>
      </c>
      <c r="H122" s="719"/>
      <c r="I122" s="24">
        <f t="shared" si="28"/>
        <v>1</v>
      </c>
      <c r="J122" s="719"/>
      <c r="K122" s="24">
        <f t="shared" si="29"/>
        <v>1</v>
      </c>
      <c r="L122" s="719"/>
      <c r="M122" s="24">
        <f t="shared" si="30"/>
        <v>1</v>
      </c>
      <c r="N122" s="719"/>
      <c r="O122" s="24">
        <f t="shared" si="31"/>
        <v>1</v>
      </c>
      <c r="P122" s="719" t="s">
        <v>3120</v>
      </c>
      <c r="Q122" s="24">
        <f t="shared" si="32"/>
        <v>1</v>
      </c>
      <c r="R122" s="715">
        <f t="shared" ca="1" si="33"/>
        <v>27374</v>
      </c>
      <c r="S122" s="361">
        <f t="shared" ca="1" si="23"/>
        <v>131</v>
      </c>
      <c r="U122" s="3056" t="str">
        <f>Sheet1!C101</f>
        <v>17-11</v>
      </c>
      <c r="V122" s="799">
        <f>Sheet1!E101</f>
        <v>47.86</v>
      </c>
      <c r="W122" s="799">
        <f t="shared" si="24"/>
        <v>0</v>
      </c>
    </row>
    <row r="123" spans="1:23">
      <c r="A123" s="3043" t="str">
        <f>Sheet1!C102</f>
        <v>17-12</v>
      </c>
      <c r="B123" s="717">
        <f>Sheet1!E102</f>
        <v>69.900000000000006</v>
      </c>
      <c r="C123" s="24">
        <f t="shared" si="25"/>
        <v>1</v>
      </c>
      <c r="D123" s="719"/>
      <c r="E123" s="24">
        <f t="shared" si="26"/>
        <v>1</v>
      </c>
      <c r="F123" s="719"/>
      <c r="G123" s="24">
        <f t="shared" si="27"/>
        <v>1</v>
      </c>
      <c r="H123" s="719"/>
      <c r="I123" s="24">
        <f t="shared" si="28"/>
        <v>1</v>
      </c>
      <c r="J123" s="719"/>
      <c r="K123" s="24">
        <f t="shared" si="29"/>
        <v>1</v>
      </c>
      <c r="L123" s="719"/>
      <c r="M123" s="24">
        <f t="shared" si="30"/>
        <v>1</v>
      </c>
      <c r="N123" s="719"/>
      <c r="O123" s="24">
        <f t="shared" si="31"/>
        <v>1</v>
      </c>
      <c r="P123" s="719" t="s">
        <v>3120</v>
      </c>
      <c r="Q123" s="24">
        <f t="shared" si="32"/>
        <v>1</v>
      </c>
      <c r="R123" s="715">
        <f t="shared" ca="1" si="33"/>
        <v>27374</v>
      </c>
      <c r="S123" s="361">
        <f t="shared" ref="S123:S186" ca="1" si="34">ROUND(R123*B123/10000,0)</f>
        <v>191</v>
      </c>
      <c r="U123" s="3056" t="str">
        <f>Sheet1!C102</f>
        <v>17-12</v>
      </c>
      <c r="V123" s="799">
        <f>Sheet1!E102</f>
        <v>69.900000000000006</v>
      </c>
      <c r="W123" s="799">
        <f t="shared" si="24"/>
        <v>0</v>
      </c>
    </row>
    <row r="124" spans="1:23">
      <c r="A124" s="3043" t="str">
        <f>Sheet1!C103</f>
        <v>17-13</v>
      </c>
      <c r="B124" s="717">
        <f>Sheet1!E103</f>
        <v>104.85</v>
      </c>
      <c r="C124" s="24">
        <f t="shared" si="25"/>
        <v>0.99</v>
      </c>
      <c r="D124" s="719"/>
      <c r="E124" s="24">
        <f t="shared" si="26"/>
        <v>1</v>
      </c>
      <c r="F124" s="719"/>
      <c r="G124" s="24">
        <f t="shared" si="27"/>
        <v>1</v>
      </c>
      <c r="H124" s="719"/>
      <c r="I124" s="24">
        <f t="shared" si="28"/>
        <v>1</v>
      </c>
      <c r="J124" s="719"/>
      <c r="K124" s="24">
        <f t="shared" si="29"/>
        <v>1</v>
      </c>
      <c r="L124" s="719"/>
      <c r="M124" s="24">
        <f t="shared" si="30"/>
        <v>1</v>
      </c>
      <c r="N124" s="719"/>
      <c r="O124" s="24">
        <f t="shared" si="31"/>
        <v>1</v>
      </c>
      <c r="P124" s="719" t="s">
        <v>3120</v>
      </c>
      <c r="Q124" s="24">
        <f t="shared" si="32"/>
        <v>1</v>
      </c>
      <c r="R124" s="715">
        <f t="shared" ca="1" si="33"/>
        <v>27100</v>
      </c>
      <c r="S124" s="361">
        <f t="shared" ca="1" si="34"/>
        <v>284</v>
      </c>
      <c r="U124" s="3056" t="str">
        <f>Sheet1!C103</f>
        <v>17-13</v>
      </c>
      <c r="V124" s="799">
        <f>Sheet1!E103</f>
        <v>104.85</v>
      </c>
      <c r="W124" s="799">
        <f t="shared" si="24"/>
        <v>0</v>
      </c>
    </row>
    <row r="125" spans="1:23">
      <c r="A125" s="3043" t="str">
        <f>Sheet1!C104</f>
        <v>17-14</v>
      </c>
      <c r="B125" s="717">
        <f>Sheet1!E104</f>
        <v>69.900000000000006</v>
      </c>
      <c r="C125" s="24">
        <f t="shared" si="25"/>
        <v>1</v>
      </c>
      <c r="D125" s="719"/>
      <c r="E125" s="24">
        <f t="shared" si="26"/>
        <v>1</v>
      </c>
      <c r="F125" s="719"/>
      <c r="G125" s="24">
        <f t="shared" si="27"/>
        <v>1</v>
      </c>
      <c r="H125" s="719"/>
      <c r="I125" s="24">
        <f t="shared" si="28"/>
        <v>1</v>
      </c>
      <c r="J125" s="719"/>
      <c r="K125" s="24">
        <f t="shared" si="29"/>
        <v>1</v>
      </c>
      <c r="L125" s="719"/>
      <c r="M125" s="24">
        <f t="shared" si="30"/>
        <v>1</v>
      </c>
      <c r="N125" s="719"/>
      <c r="O125" s="24">
        <f t="shared" si="31"/>
        <v>1</v>
      </c>
      <c r="P125" s="719" t="s">
        <v>3120</v>
      </c>
      <c r="Q125" s="24">
        <f t="shared" si="32"/>
        <v>1</v>
      </c>
      <c r="R125" s="715">
        <f t="shared" ca="1" si="33"/>
        <v>27374</v>
      </c>
      <c r="S125" s="361">
        <f t="shared" ca="1" si="34"/>
        <v>191</v>
      </c>
      <c r="U125" s="3056" t="str">
        <f>Sheet1!C104</f>
        <v>17-14</v>
      </c>
      <c r="V125" s="799">
        <f>Sheet1!E104</f>
        <v>69.900000000000006</v>
      </c>
      <c r="W125" s="799">
        <f t="shared" si="24"/>
        <v>0</v>
      </c>
    </row>
    <row r="126" spans="1:23">
      <c r="A126" s="3043" t="str">
        <f>Sheet1!C105</f>
        <v>18-1</v>
      </c>
      <c r="B126" s="717">
        <f>Sheet1!E105</f>
        <v>69.569999999999993</v>
      </c>
      <c r="C126" s="24">
        <f t="shared" si="25"/>
        <v>1</v>
      </c>
      <c r="D126" s="719"/>
      <c r="E126" s="24">
        <f t="shared" si="26"/>
        <v>1</v>
      </c>
      <c r="F126" s="719"/>
      <c r="G126" s="24">
        <f t="shared" si="27"/>
        <v>1</v>
      </c>
      <c r="H126" s="719"/>
      <c r="I126" s="24">
        <f t="shared" si="28"/>
        <v>1</v>
      </c>
      <c r="J126" s="719"/>
      <c r="K126" s="24">
        <f t="shared" si="29"/>
        <v>1</v>
      </c>
      <c r="L126" s="719"/>
      <c r="M126" s="24">
        <f t="shared" si="30"/>
        <v>1</v>
      </c>
      <c r="N126" s="719"/>
      <c r="O126" s="24">
        <f t="shared" si="31"/>
        <v>1</v>
      </c>
      <c r="P126" s="719" t="s">
        <v>3120</v>
      </c>
      <c r="Q126" s="24">
        <f t="shared" si="32"/>
        <v>1</v>
      </c>
      <c r="R126" s="715">
        <f t="shared" ca="1" si="33"/>
        <v>27374</v>
      </c>
      <c r="S126" s="361">
        <f t="shared" ca="1" si="34"/>
        <v>190</v>
      </c>
      <c r="U126" s="3056" t="str">
        <f>Sheet1!C105</f>
        <v>18-1</v>
      </c>
      <c r="V126" s="799">
        <f>Sheet1!E105</f>
        <v>69.569999999999993</v>
      </c>
      <c r="W126" s="799">
        <f t="shared" si="24"/>
        <v>0</v>
      </c>
    </row>
    <row r="127" spans="1:23">
      <c r="A127" s="3043" t="str">
        <f>Sheet1!C106</f>
        <v>18-2</v>
      </c>
      <c r="B127" s="717">
        <f>Sheet1!E106</f>
        <v>57.98</v>
      </c>
      <c r="C127" s="24">
        <f t="shared" si="25"/>
        <v>1</v>
      </c>
      <c r="D127" s="719"/>
      <c r="E127" s="24">
        <f t="shared" si="26"/>
        <v>1</v>
      </c>
      <c r="F127" s="719"/>
      <c r="G127" s="24">
        <f t="shared" si="27"/>
        <v>1</v>
      </c>
      <c r="H127" s="719"/>
      <c r="I127" s="24">
        <f t="shared" si="28"/>
        <v>1</v>
      </c>
      <c r="J127" s="719"/>
      <c r="K127" s="24">
        <f t="shared" si="29"/>
        <v>1</v>
      </c>
      <c r="L127" s="719"/>
      <c r="M127" s="24">
        <f t="shared" si="30"/>
        <v>1</v>
      </c>
      <c r="N127" s="719"/>
      <c r="O127" s="24">
        <f t="shared" si="31"/>
        <v>1</v>
      </c>
      <c r="P127" s="719" t="s">
        <v>3120</v>
      </c>
      <c r="Q127" s="24">
        <f t="shared" si="32"/>
        <v>1</v>
      </c>
      <c r="R127" s="715">
        <f t="shared" ca="1" si="33"/>
        <v>27374</v>
      </c>
      <c r="S127" s="361">
        <f t="shared" ca="1" si="34"/>
        <v>159</v>
      </c>
      <c r="U127" s="3056" t="str">
        <f>Sheet1!C106</f>
        <v>18-2</v>
      </c>
      <c r="V127" s="799">
        <f>Sheet1!E106</f>
        <v>57.98</v>
      </c>
      <c r="W127" s="799">
        <f t="shared" si="24"/>
        <v>0</v>
      </c>
    </row>
    <row r="128" spans="1:23">
      <c r="A128" s="3043" t="str">
        <f>Sheet1!C107</f>
        <v>18-3</v>
      </c>
      <c r="B128" s="717">
        <f>Sheet1!E107</f>
        <v>57.98</v>
      </c>
      <c r="C128" s="24">
        <f t="shared" si="25"/>
        <v>1</v>
      </c>
      <c r="D128" s="719"/>
      <c r="E128" s="24">
        <f t="shared" si="26"/>
        <v>1</v>
      </c>
      <c r="F128" s="719"/>
      <c r="G128" s="24">
        <f t="shared" si="27"/>
        <v>1</v>
      </c>
      <c r="H128" s="719"/>
      <c r="I128" s="24">
        <f t="shared" si="28"/>
        <v>1</v>
      </c>
      <c r="J128" s="719"/>
      <c r="K128" s="24">
        <f t="shared" si="29"/>
        <v>1</v>
      </c>
      <c r="L128" s="719"/>
      <c r="M128" s="24">
        <f t="shared" si="30"/>
        <v>1</v>
      </c>
      <c r="N128" s="719"/>
      <c r="O128" s="24">
        <f t="shared" si="31"/>
        <v>1</v>
      </c>
      <c r="P128" s="719" t="s">
        <v>3120</v>
      </c>
      <c r="Q128" s="24">
        <f t="shared" si="32"/>
        <v>1</v>
      </c>
      <c r="R128" s="715">
        <f t="shared" ca="1" si="33"/>
        <v>27374</v>
      </c>
      <c r="S128" s="361">
        <f t="shared" ca="1" si="34"/>
        <v>159</v>
      </c>
      <c r="U128" s="3056" t="str">
        <f>Sheet1!C107</f>
        <v>18-3</v>
      </c>
      <c r="V128" s="799">
        <f>Sheet1!E107</f>
        <v>57.98</v>
      </c>
      <c r="W128" s="799">
        <f t="shared" si="24"/>
        <v>0</v>
      </c>
    </row>
    <row r="129" spans="1:23">
      <c r="A129" s="3043" t="str">
        <f>Sheet1!C108</f>
        <v>18-4</v>
      </c>
      <c r="B129" s="717">
        <f>Sheet1!E108</f>
        <v>104.36</v>
      </c>
      <c r="C129" s="24">
        <f t="shared" si="25"/>
        <v>0.99</v>
      </c>
      <c r="D129" s="719"/>
      <c r="E129" s="24">
        <f t="shared" si="26"/>
        <v>1</v>
      </c>
      <c r="F129" s="719"/>
      <c r="G129" s="24">
        <f t="shared" si="27"/>
        <v>1</v>
      </c>
      <c r="H129" s="719"/>
      <c r="I129" s="24">
        <f t="shared" si="28"/>
        <v>1</v>
      </c>
      <c r="J129" s="719"/>
      <c r="K129" s="24">
        <f t="shared" si="29"/>
        <v>1</v>
      </c>
      <c r="L129" s="719"/>
      <c r="M129" s="24">
        <f t="shared" si="30"/>
        <v>1</v>
      </c>
      <c r="N129" s="719"/>
      <c r="O129" s="24">
        <f t="shared" si="31"/>
        <v>1</v>
      </c>
      <c r="P129" s="719" t="s">
        <v>3120</v>
      </c>
      <c r="Q129" s="24">
        <f t="shared" si="32"/>
        <v>1</v>
      </c>
      <c r="R129" s="715">
        <f t="shared" ca="1" si="33"/>
        <v>27100</v>
      </c>
      <c r="S129" s="361">
        <f t="shared" ca="1" si="34"/>
        <v>283</v>
      </c>
      <c r="U129" s="3056" t="str">
        <f>Sheet1!C108</f>
        <v>18-4</v>
      </c>
      <c r="V129" s="799">
        <f>Sheet1!E108</f>
        <v>104.36</v>
      </c>
      <c r="W129" s="799">
        <f t="shared" si="24"/>
        <v>0</v>
      </c>
    </row>
    <row r="130" spans="1:23">
      <c r="A130" s="3043" t="str">
        <f>Sheet1!C109</f>
        <v>18-5</v>
      </c>
      <c r="B130" s="717">
        <f>Sheet1!E109</f>
        <v>47.64</v>
      </c>
      <c r="C130" s="24">
        <f t="shared" si="25"/>
        <v>1</v>
      </c>
      <c r="D130" s="719"/>
      <c r="E130" s="24">
        <f t="shared" si="26"/>
        <v>1</v>
      </c>
      <c r="F130" s="719"/>
      <c r="G130" s="24">
        <f t="shared" si="27"/>
        <v>1</v>
      </c>
      <c r="H130" s="719"/>
      <c r="I130" s="24">
        <f t="shared" si="28"/>
        <v>1</v>
      </c>
      <c r="J130" s="719"/>
      <c r="K130" s="24">
        <f t="shared" si="29"/>
        <v>1</v>
      </c>
      <c r="L130" s="719"/>
      <c r="M130" s="24">
        <f t="shared" si="30"/>
        <v>1</v>
      </c>
      <c r="N130" s="719"/>
      <c r="O130" s="24">
        <f t="shared" si="31"/>
        <v>1</v>
      </c>
      <c r="P130" s="719" t="s">
        <v>3120</v>
      </c>
      <c r="Q130" s="24">
        <f t="shared" si="32"/>
        <v>1</v>
      </c>
      <c r="R130" s="715">
        <f t="shared" ca="1" si="33"/>
        <v>27374</v>
      </c>
      <c r="S130" s="361">
        <f t="shared" ca="1" si="34"/>
        <v>130</v>
      </c>
      <c r="U130" s="3056" t="str">
        <f>Sheet1!C109</f>
        <v>18-5</v>
      </c>
      <c r="V130" s="799">
        <f>Sheet1!E109</f>
        <v>47.64</v>
      </c>
      <c r="W130" s="799">
        <f t="shared" si="24"/>
        <v>0</v>
      </c>
    </row>
    <row r="131" spans="1:23">
      <c r="A131" s="3043" t="str">
        <f>Sheet1!C110</f>
        <v>18-6</v>
      </c>
      <c r="B131" s="717">
        <f>Sheet1!E110</f>
        <v>47.64</v>
      </c>
      <c r="C131" s="24">
        <f t="shared" si="25"/>
        <v>1</v>
      </c>
      <c r="D131" s="719"/>
      <c r="E131" s="24">
        <f t="shared" si="26"/>
        <v>1</v>
      </c>
      <c r="F131" s="719"/>
      <c r="G131" s="24">
        <f t="shared" si="27"/>
        <v>1</v>
      </c>
      <c r="H131" s="719"/>
      <c r="I131" s="24">
        <f t="shared" si="28"/>
        <v>1</v>
      </c>
      <c r="J131" s="719"/>
      <c r="K131" s="24">
        <f t="shared" si="29"/>
        <v>1</v>
      </c>
      <c r="L131" s="719"/>
      <c r="M131" s="24">
        <f t="shared" si="30"/>
        <v>1</v>
      </c>
      <c r="N131" s="719"/>
      <c r="O131" s="24">
        <f t="shared" si="31"/>
        <v>1</v>
      </c>
      <c r="P131" s="719" t="s">
        <v>3120</v>
      </c>
      <c r="Q131" s="24">
        <f t="shared" si="32"/>
        <v>1</v>
      </c>
      <c r="R131" s="715">
        <f t="shared" ca="1" si="33"/>
        <v>27374</v>
      </c>
      <c r="S131" s="361">
        <f t="shared" ca="1" si="34"/>
        <v>130</v>
      </c>
      <c r="U131" s="3056" t="str">
        <f>Sheet1!C110</f>
        <v>18-6</v>
      </c>
      <c r="V131" s="799">
        <f>Sheet1!E110</f>
        <v>47.64</v>
      </c>
      <c r="W131" s="799">
        <f t="shared" si="24"/>
        <v>0</v>
      </c>
    </row>
    <row r="132" spans="1:23">
      <c r="A132" s="3043" t="str">
        <f>Sheet1!C111</f>
        <v>18-7</v>
      </c>
      <c r="B132" s="717">
        <f>Sheet1!E111</f>
        <v>47.64</v>
      </c>
      <c r="C132" s="24">
        <f t="shared" si="25"/>
        <v>1</v>
      </c>
      <c r="D132" s="719"/>
      <c r="E132" s="24">
        <f t="shared" si="26"/>
        <v>1</v>
      </c>
      <c r="F132" s="719"/>
      <c r="G132" s="24">
        <f t="shared" si="27"/>
        <v>1</v>
      </c>
      <c r="H132" s="719"/>
      <c r="I132" s="24">
        <f t="shared" si="28"/>
        <v>1</v>
      </c>
      <c r="J132" s="719"/>
      <c r="K132" s="24">
        <f t="shared" si="29"/>
        <v>1</v>
      </c>
      <c r="L132" s="719"/>
      <c r="M132" s="24">
        <f t="shared" si="30"/>
        <v>1</v>
      </c>
      <c r="N132" s="719"/>
      <c r="O132" s="24">
        <f t="shared" si="31"/>
        <v>1</v>
      </c>
      <c r="P132" s="719" t="s">
        <v>3120</v>
      </c>
      <c r="Q132" s="24">
        <f t="shared" si="32"/>
        <v>1</v>
      </c>
      <c r="R132" s="715">
        <f t="shared" ca="1" si="33"/>
        <v>27374</v>
      </c>
      <c r="S132" s="361">
        <f t="shared" ca="1" si="34"/>
        <v>130</v>
      </c>
      <c r="U132" s="3056" t="str">
        <f>Sheet1!C111</f>
        <v>18-7</v>
      </c>
      <c r="V132" s="799">
        <f>Sheet1!E111</f>
        <v>47.64</v>
      </c>
      <c r="W132" s="799">
        <f t="shared" si="24"/>
        <v>0</v>
      </c>
    </row>
    <row r="133" spans="1:23">
      <c r="A133" s="3043" t="str">
        <f>Sheet1!C112</f>
        <v>18-8</v>
      </c>
      <c r="B133" s="717">
        <f>Sheet1!E112</f>
        <v>65.06</v>
      </c>
      <c r="C133" s="24">
        <f t="shared" si="25"/>
        <v>1</v>
      </c>
      <c r="D133" s="719"/>
      <c r="E133" s="24">
        <f t="shared" si="26"/>
        <v>1</v>
      </c>
      <c r="F133" s="719"/>
      <c r="G133" s="24">
        <f t="shared" si="27"/>
        <v>1</v>
      </c>
      <c r="H133" s="719"/>
      <c r="I133" s="24">
        <f t="shared" si="28"/>
        <v>1</v>
      </c>
      <c r="J133" s="719"/>
      <c r="K133" s="24">
        <f t="shared" si="29"/>
        <v>1</v>
      </c>
      <c r="L133" s="719"/>
      <c r="M133" s="24">
        <f t="shared" si="30"/>
        <v>1</v>
      </c>
      <c r="N133" s="719"/>
      <c r="O133" s="24">
        <f t="shared" si="31"/>
        <v>1</v>
      </c>
      <c r="P133" s="719" t="s">
        <v>3120</v>
      </c>
      <c r="Q133" s="24">
        <f t="shared" si="32"/>
        <v>1</v>
      </c>
      <c r="R133" s="715">
        <f t="shared" ca="1" si="33"/>
        <v>27374</v>
      </c>
      <c r="S133" s="361">
        <f t="shared" ca="1" si="34"/>
        <v>178</v>
      </c>
      <c r="U133" s="3056" t="str">
        <f>Sheet1!C112</f>
        <v>18-8</v>
      </c>
      <c r="V133" s="799">
        <f>Sheet1!E112</f>
        <v>65.06</v>
      </c>
      <c r="W133" s="799">
        <f t="shared" si="24"/>
        <v>0</v>
      </c>
    </row>
    <row r="134" spans="1:23">
      <c r="A134" s="3043" t="str">
        <f>Sheet1!C113</f>
        <v>18-9</v>
      </c>
      <c r="B134" s="717">
        <f>Sheet1!E113</f>
        <v>80.86</v>
      </c>
      <c r="C134" s="24">
        <f t="shared" si="25"/>
        <v>1</v>
      </c>
      <c r="D134" s="719"/>
      <c r="E134" s="24">
        <f t="shared" si="26"/>
        <v>1</v>
      </c>
      <c r="F134" s="719"/>
      <c r="G134" s="24">
        <f t="shared" si="27"/>
        <v>1</v>
      </c>
      <c r="H134" s="719"/>
      <c r="I134" s="24">
        <f t="shared" si="28"/>
        <v>1</v>
      </c>
      <c r="J134" s="719"/>
      <c r="K134" s="24">
        <f t="shared" si="29"/>
        <v>1</v>
      </c>
      <c r="L134" s="719"/>
      <c r="M134" s="24">
        <f t="shared" si="30"/>
        <v>1</v>
      </c>
      <c r="N134" s="719"/>
      <c r="O134" s="24">
        <f t="shared" si="31"/>
        <v>1</v>
      </c>
      <c r="P134" s="719" t="s">
        <v>3120</v>
      </c>
      <c r="Q134" s="24">
        <f t="shared" si="32"/>
        <v>1</v>
      </c>
      <c r="R134" s="715">
        <f t="shared" ca="1" si="33"/>
        <v>27374</v>
      </c>
      <c r="S134" s="361">
        <f t="shared" ca="1" si="34"/>
        <v>221</v>
      </c>
      <c r="U134" s="3056" t="str">
        <f>Sheet1!C113</f>
        <v>18-9</v>
      </c>
      <c r="V134" s="799">
        <f>Sheet1!E113</f>
        <v>80.86</v>
      </c>
      <c r="W134" s="799">
        <f t="shared" si="24"/>
        <v>0</v>
      </c>
    </row>
    <row r="135" spans="1:23">
      <c r="A135" s="3043" t="str">
        <f>Sheet1!C114</f>
        <v>18-10</v>
      </c>
      <c r="B135" s="717">
        <f>Sheet1!E114</f>
        <v>80.2</v>
      </c>
      <c r="C135" s="24">
        <f t="shared" si="25"/>
        <v>1</v>
      </c>
      <c r="D135" s="719"/>
      <c r="E135" s="24">
        <f t="shared" si="26"/>
        <v>1</v>
      </c>
      <c r="F135" s="719"/>
      <c r="G135" s="24">
        <f t="shared" si="27"/>
        <v>1</v>
      </c>
      <c r="H135" s="719"/>
      <c r="I135" s="24">
        <f t="shared" si="28"/>
        <v>1</v>
      </c>
      <c r="J135" s="719"/>
      <c r="K135" s="24">
        <f t="shared" si="29"/>
        <v>1</v>
      </c>
      <c r="L135" s="719"/>
      <c r="M135" s="24">
        <f t="shared" si="30"/>
        <v>1</v>
      </c>
      <c r="N135" s="719"/>
      <c r="O135" s="24">
        <f t="shared" si="31"/>
        <v>1</v>
      </c>
      <c r="P135" s="719" t="s">
        <v>3120</v>
      </c>
      <c r="Q135" s="24">
        <f t="shared" si="32"/>
        <v>1</v>
      </c>
      <c r="R135" s="715">
        <f t="shared" ca="1" si="33"/>
        <v>27374</v>
      </c>
      <c r="S135" s="361">
        <f t="shared" ca="1" si="34"/>
        <v>220</v>
      </c>
      <c r="U135" s="3056" t="str">
        <f>Sheet1!C114</f>
        <v>18-10</v>
      </c>
      <c r="V135" s="799">
        <f>Sheet1!E114</f>
        <v>80.2</v>
      </c>
      <c r="W135" s="799">
        <f t="shared" si="24"/>
        <v>0</v>
      </c>
    </row>
    <row r="136" spans="1:23">
      <c r="A136" s="3043" t="str">
        <f>Sheet1!C115</f>
        <v>18-11</v>
      </c>
      <c r="B136" s="717">
        <f>Sheet1!E115</f>
        <v>70.11</v>
      </c>
      <c r="C136" s="24">
        <f t="shared" si="25"/>
        <v>1</v>
      </c>
      <c r="D136" s="719"/>
      <c r="E136" s="24">
        <f t="shared" si="26"/>
        <v>1</v>
      </c>
      <c r="F136" s="719"/>
      <c r="G136" s="24">
        <f t="shared" si="27"/>
        <v>1</v>
      </c>
      <c r="H136" s="719"/>
      <c r="I136" s="24">
        <f t="shared" si="28"/>
        <v>1</v>
      </c>
      <c r="J136" s="719"/>
      <c r="K136" s="24">
        <f t="shared" si="29"/>
        <v>1</v>
      </c>
      <c r="L136" s="719"/>
      <c r="M136" s="24">
        <f t="shared" si="30"/>
        <v>1</v>
      </c>
      <c r="N136" s="719"/>
      <c r="O136" s="24">
        <f t="shared" si="31"/>
        <v>1</v>
      </c>
      <c r="P136" s="719" t="s">
        <v>3120</v>
      </c>
      <c r="Q136" s="24">
        <f t="shared" si="32"/>
        <v>1</v>
      </c>
      <c r="R136" s="715">
        <f t="shared" ca="1" si="33"/>
        <v>27374</v>
      </c>
      <c r="S136" s="361">
        <f t="shared" ca="1" si="34"/>
        <v>192</v>
      </c>
      <c r="U136" s="3056" t="str">
        <f>Sheet1!C115</f>
        <v>18-11</v>
      </c>
      <c r="V136" s="799">
        <f>Sheet1!E115</f>
        <v>70.11</v>
      </c>
      <c r="W136" s="799">
        <f t="shared" si="24"/>
        <v>0</v>
      </c>
    </row>
    <row r="137" spans="1:23">
      <c r="A137" s="3043" t="str">
        <f>Sheet1!C116</f>
        <v>18-12</v>
      </c>
      <c r="B137" s="717">
        <f>Sheet1!E116</f>
        <v>62.68</v>
      </c>
      <c r="C137" s="24">
        <f t="shared" si="25"/>
        <v>1</v>
      </c>
      <c r="D137" s="719"/>
      <c r="E137" s="24">
        <f t="shared" si="26"/>
        <v>1</v>
      </c>
      <c r="F137" s="719"/>
      <c r="G137" s="24">
        <f t="shared" si="27"/>
        <v>1</v>
      </c>
      <c r="H137" s="719"/>
      <c r="I137" s="24">
        <f t="shared" si="28"/>
        <v>1</v>
      </c>
      <c r="J137" s="719"/>
      <c r="K137" s="24">
        <f t="shared" si="29"/>
        <v>1</v>
      </c>
      <c r="L137" s="719"/>
      <c r="M137" s="24">
        <f t="shared" si="30"/>
        <v>1</v>
      </c>
      <c r="N137" s="719"/>
      <c r="O137" s="24">
        <f t="shared" si="31"/>
        <v>1</v>
      </c>
      <c r="P137" s="719" t="s">
        <v>3120</v>
      </c>
      <c r="Q137" s="24">
        <f t="shared" si="32"/>
        <v>1</v>
      </c>
      <c r="R137" s="715">
        <f t="shared" ca="1" si="33"/>
        <v>27374</v>
      </c>
      <c r="S137" s="361">
        <f t="shared" ca="1" si="34"/>
        <v>172</v>
      </c>
      <c r="U137" s="3056" t="str">
        <f>Sheet1!C116</f>
        <v>18-12</v>
      </c>
      <c r="V137" s="799">
        <f>Sheet1!E116</f>
        <v>62.68</v>
      </c>
      <c r="W137" s="799">
        <f t="shared" si="24"/>
        <v>0</v>
      </c>
    </row>
    <row r="138" spans="1:23">
      <c r="A138" s="3043" t="str">
        <f>Sheet1!C117</f>
        <v>18-13</v>
      </c>
      <c r="B138" s="717">
        <f>Sheet1!E117</f>
        <v>70.11</v>
      </c>
      <c r="C138" s="24">
        <f t="shared" si="25"/>
        <v>1</v>
      </c>
      <c r="D138" s="719"/>
      <c r="E138" s="24">
        <f t="shared" si="26"/>
        <v>1</v>
      </c>
      <c r="F138" s="719"/>
      <c r="G138" s="24">
        <f t="shared" si="27"/>
        <v>1</v>
      </c>
      <c r="H138" s="719"/>
      <c r="I138" s="24">
        <f t="shared" si="28"/>
        <v>1</v>
      </c>
      <c r="J138" s="719"/>
      <c r="K138" s="24">
        <f t="shared" si="29"/>
        <v>1</v>
      </c>
      <c r="L138" s="719"/>
      <c r="M138" s="24">
        <f t="shared" si="30"/>
        <v>1</v>
      </c>
      <c r="N138" s="719"/>
      <c r="O138" s="24">
        <f t="shared" si="31"/>
        <v>1</v>
      </c>
      <c r="P138" s="719" t="s">
        <v>3120</v>
      </c>
      <c r="Q138" s="24">
        <f t="shared" si="32"/>
        <v>1</v>
      </c>
      <c r="R138" s="715">
        <f t="shared" ca="1" si="33"/>
        <v>27374</v>
      </c>
      <c r="S138" s="361">
        <f t="shared" ca="1" si="34"/>
        <v>192</v>
      </c>
      <c r="U138" s="3056" t="str">
        <f>Sheet1!C117</f>
        <v>18-13</v>
      </c>
      <c r="V138" s="799">
        <f>Sheet1!E117</f>
        <v>70.11</v>
      </c>
      <c r="W138" s="799">
        <f t="shared" si="24"/>
        <v>0</v>
      </c>
    </row>
    <row r="139" spans="1:23">
      <c r="A139" s="3043" t="str">
        <f>Sheet1!C118</f>
        <v>18-14</v>
      </c>
      <c r="B139" s="717">
        <f>Sheet1!E118</f>
        <v>80.2</v>
      </c>
      <c r="C139" s="24">
        <f t="shared" si="25"/>
        <v>1</v>
      </c>
      <c r="D139" s="719"/>
      <c r="E139" s="24">
        <f t="shared" si="26"/>
        <v>1</v>
      </c>
      <c r="F139" s="719"/>
      <c r="G139" s="24">
        <f t="shared" si="27"/>
        <v>1</v>
      </c>
      <c r="H139" s="719"/>
      <c r="I139" s="24">
        <f t="shared" si="28"/>
        <v>1</v>
      </c>
      <c r="J139" s="719"/>
      <c r="K139" s="24">
        <f t="shared" si="29"/>
        <v>1</v>
      </c>
      <c r="L139" s="719"/>
      <c r="M139" s="24">
        <f t="shared" si="30"/>
        <v>1</v>
      </c>
      <c r="N139" s="719"/>
      <c r="O139" s="24">
        <f t="shared" si="31"/>
        <v>1</v>
      </c>
      <c r="P139" s="719" t="s">
        <v>3120</v>
      </c>
      <c r="Q139" s="24">
        <f t="shared" si="32"/>
        <v>1</v>
      </c>
      <c r="R139" s="715">
        <f t="shared" ca="1" si="33"/>
        <v>27374</v>
      </c>
      <c r="S139" s="361">
        <f t="shared" ca="1" si="34"/>
        <v>220</v>
      </c>
      <c r="U139" s="3056" t="str">
        <f>Sheet1!C118</f>
        <v>18-14</v>
      </c>
      <c r="V139" s="799">
        <f>Sheet1!E118</f>
        <v>80.2</v>
      </c>
      <c r="W139" s="799">
        <f t="shared" si="24"/>
        <v>0</v>
      </c>
    </row>
    <row r="140" spans="1:23">
      <c r="A140" s="3043" t="str">
        <f>Sheet1!C119</f>
        <v>19-1</v>
      </c>
      <c r="B140" s="717">
        <f>Sheet1!E119</f>
        <v>71.81</v>
      </c>
      <c r="C140" s="24">
        <f t="shared" si="25"/>
        <v>1</v>
      </c>
      <c r="D140" s="719"/>
      <c r="E140" s="24">
        <f t="shared" si="26"/>
        <v>1</v>
      </c>
      <c r="F140" s="719"/>
      <c r="G140" s="24">
        <f t="shared" si="27"/>
        <v>1</v>
      </c>
      <c r="H140" s="719"/>
      <c r="I140" s="24">
        <f t="shared" si="28"/>
        <v>1</v>
      </c>
      <c r="J140" s="719"/>
      <c r="K140" s="24">
        <f t="shared" si="29"/>
        <v>1</v>
      </c>
      <c r="L140" s="719"/>
      <c r="M140" s="24">
        <f t="shared" si="30"/>
        <v>1</v>
      </c>
      <c r="N140" s="719"/>
      <c r="O140" s="24">
        <f t="shared" si="31"/>
        <v>1</v>
      </c>
      <c r="P140" s="719" t="s">
        <v>3120</v>
      </c>
      <c r="Q140" s="24">
        <f t="shared" si="32"/>
        <v>1</v>
      </c>
      <c r="R140" s="715">
        <f t="shared" ca="1" si="33"/>
        <v>27374</v>
      </c>
      <c r="S140" s="361">
        <f t="shared" ca="1" si="34"/>
        <v>197</v>
      </c>
      <c r="U140" s="3056" t="str">
        <f>Sheet1!C119</f>
        <v>19-1</v>
      </c>
      <c r="V140" s="799">
        <f>Sheet1!E119</f>
        <v>71.81</v>
      </c>
      <c r="W140" s="799">
        <f t="shared" si="24"/>
        <v>0</v>
      </c>
    </row>
    <row r="141" spans="1:23">
      <c r="A141" s="3043" t="str">
        <f>Sheet1!C120</f>
        <v>19-2</v>
      </c>
      <c r="B141" s="717">
        <f>Sheet1!E120</f>
        <v>80.87</v>
      </c>
      <c r="C141" s="24">
        <f t="shared" si="25"/>
        <v>1</v>
      </c>
      <c r="D141" s="719"/>
      <c r="E141" s="24">
        <f t="shared" si="26"/>
        <v>1</v>
      </c>
      <c r="F141" s="719"/>
      <c r="G141" s="24">
        <f t="shared" si="27"/>
        <v>1</v>
      </c>
      <c r="H141" s="719"/>
      <c r="I141" s="24">
        <f t="shared" si="28"/>
        <v>1</v>
      </c>
      <c r="J141" s="719"/>
      <c r="K141" s="24">
        <f t="shared" si="29"/>
        <v>1</v>
      </c>
      <c r="L141" s="719"/>
      <c r="M141" s="24">
        <f t="shared" si="30"/>
        <v>1</v>
      </c>
      <c r="N141" s="719"/>
      <c r="O141" s="24">
        <f t="shared" si="31"/>
        <v>1</v>
      </c>
      <c r="P141" s="719" t="s">
        <v>3120</v>
      </c>
      <c r="Q141" s="24">
        <f t="shared" si="32"/>
        <v>1</v>
      </c>
      <c r="R141" s="715">
        <f t="shared" ca="1" si="33"/>
        <v>27374</v>
      </c>
      <c r="S141" s="361">
        <f t="shared" ca="1" si="34"/>
        <v>221</v>
      </c>
      <c r="U141" s="3056" t="str">
        <f>Sheet1!C120</f>
        <v>19-2</v>
      </c>
      <c r="V141" s="799">
        <f>Sheet1!E120</f>
        <v>80.87</v>
      </c>
      <c r="W141" s="799">
        <f t="shared" si="24"/>
        <v>0</v>
      </c>
    </row>
    <row r="142" spans="1:23">
      <c r="A142" s="3043" t="str">
        <f>Sheet1!C121</f>
        <v>19-3</v>
      </c>
      <c r="B142" s="717">
        <f>Sheet1!E121</f>
        <v>67.930000000000007</v>
      </c>
      <c r="C142" s="24">
        <f t="shared" si="25"/>
        <v>1</v>
      </c>
      <c r="D142" s="719"/>
      <c r="E142" s="24">
        <f t="shared" si="26"/>
        <v>1</v>
      </c>
      <c r="F142" s="719"/>
      <c r="G142" s="24">
        <f t="shared" si="27"/>
        <v>1</v>
      </c>
      <c r="H142" s="719"/>
      <c r="I142" s="24">
        <f t="shared" si="28"/>
        <v>1</v>
      </c>
      <c r="J142" s="719"/>
      <c r="K142" s="24">
        <f t="shared" si="29"/>
        <v>1</v>
      </c>
      <c r="L142" s="719"/>
      <c r="M142" s="24">
        <f t="shared" si="30"/>
        <v>1</v>
      </c>
      <c r="N142" s="719"/>
      <c r="O142" s="24">
        <f t="shared" si="31"/>
        <v>1</v>
      </c>
      <c r="P142" s="719" t="s">
        <v>3120</v>
      </c>
      <c r="Q142" s="24">
        <f t="shared" si="32"/>
        <v>1</v>
      </c>
      <c r="R142" s="715">
        <f t="shared" ca="1" si="33"/>
        <v>27374</v>
      </c>
      <c r="S142" s="361">
        <f t="shared" ca="1" si="34"/>
        <v>186</v>
      </c>
      <c r="U142" s="3056" t="str">
        <f>Sheet1!C121</f>
        <v>19-3</v>
      </c>
      <c r="V142" s="799">
        <f>Sheet1!E121</f>
        <v>67.930000000000007</v>
      </c>
      <c r="W142" s="799">
        <f t="shared" si="24"/>
        <v>0</v>
      </c>
    </row>
    <row r="143" spans="1:23">
      <c r="A143" s="3043" t="str">
        <f>Sheet1!C122</f>
        <v>19-4</v>
      </c>
      <c r="B143" s="717">
        <f>Sheet1!E122</f>
        <v>95.97</v>
      </c>
      <c r="C143" s="24">
        <f t="shared" si="25"/>
        <v>1</v>
      </c>
      <c r="D143" s="719"/>
      <c r="E143" s="24">
        <f t="shared" si="26"/>
        <v>1</v>
      </c>
      <c r="F143" s="719"/>
      <c r="G143" s="24">
        <f t="shared" si="27"/>
        <v>1</v>
      </c>
      <c r="H143" s="719"/>
      <c r="I143" s="24">
        <f t="shared" si="28"/>
        <v>1</v>
      </c>
      <c r="J143" s="719"/>
      <c r="K143" s="24">
        <f t="shared" si="29"/>
        <v>1</v>
      </c>
      <c r="L143" s="719"/>
      <c r="M143" s="24">
        <f t="shared" si="30"/>
        <v>1</v>
      </c>
      <c r="N143" s="719"/>
      <c r="O143" s="24">
        <f t="shared" si="31"/>
        <v>1</v>
      </c>
      <c r="P143" s="719" t="s">
        <v>3120</v>
      </c>
      <c r="Q143" s="24">
        <f t="shared" si="32"/>
        <v>1</v>
      </c>
      <c r="R143" s="715">
        <f t="shared" ca="1" si="33"/>
        <v>27374</v>
      </c>
      <c r="S143" s="361">
        <f t="shared" ca="1" si="34"/>
        <v>263</v>
      </c>
      <c r="U143" s="3056" t="str">
        <f>Sheet1!C122</f>
        <v>19-4</v>
      </c>
      <c r="V143" s="799">
        <f>Sheet1!E122</f>
        <v>95.97</v>
      </c>
      <c r="W143" s="799">
        <f t="shared" si="24"/>
        <v>0</v>
      </c>
    </row>
    <row r="144" spans="1:23">
      <c r="A144" s="3043" t="str">
        <f>Sheet1!C123</f>
        <v>19-5</v>
      </c>
      <c r="B144" s="717">
        <f>Sheet1!E123</f>
        <v>79.23</v>
      </c>
      <c r="C144" s="24">
        <f t="shared" si="25"/>
        <v>1</v>
      </c>
      <c r="D144" s="719"/>
      <c r="E144" s="24">
        <f t="shared" si="26"/>
        <v>1</v>
      </c>
      <c r="F144" s="719"/>
      <c r="G144" s="24">
        <f t="shared" si="27"/>
        <v>1</v>
      </c>
      <c r="H144" s="719"/>
      <c r="I144" s="24">
        <f t="shared" si="28"/>
        <v>1</v>
      </c>
      <c r="J144" s="719"/>
      <c r="K144" s="24">
        <f t="shared" si="29"/>
        <v>1</v>
      </c>
      <c r="L144" s="719"/>
      <c r="M144" s="24">
        <f t="shared" si="30"/>
        <v>1</v>
      </c>
      <c r="N144" s="719"/>
      <c r="O144" s="24">
        <f t="shared" si="31"/>
        <v>1</v>
      </c>
      <c r="P144" s="719" t="s">
        <v>3120</v>
      </c>
      <c r="Q144" s="24">
        <f t="shared" si="32"/>
        <v>1</v>
      </c>
      <c r="R144" s="715">
        <f t="shared" ca="1" si="33"/>
        <v>27374</v>
      </c>
      <c r="S144" s="361">
        <f t="shared" ca="1" si="34"/>
        <v>217</v>
      </c>
      <c r="U144" s="3056" t="str">
        <f>Sheet1!C123</f>
        <v>19-5</v>
      </c>
      <c r="V144" s="799">
        <f>Sheet1!E123</f>
        <v>79.23</v>
      </c>
      <c r="W144" s="799">
        <f t="shared" si="24"/>
        <v>0</v>
      </c>
    </row>
    <row r="145" spans="1:23">
      <c r="A145" s="3043" t="str">
        <f>Sheet1!C124</f>
        <v>19-6</v>
      </c>
      <c r="B145" s="717">
        <f>Sheet1!E124</f>
        <v>49.68</v>
      </c>
      <c r="C145" s="24">
        <f t="shared" si="25"/>
        <v>1</v>
      </c>
      <c r="D145" s="719"/>
      <c r="E145" s="24">
        <f t="shared" si="26"/>
        <v>1</v>
      </c>
      <c r="F145" s="719"/>
      <c r="G145" s="24">
        <f t="shared" si="27"/>
        <v>1</v>
      </c>
      <c r="H145" s="719"/>
      <c r="I145" s="24">
        <f t="shared" si="28"/>
        <v>1</v>
      </c>
      <c r="J145" s="719"/>
      <c r="K145" s="24">
        <f t="shared" si="29"/>
        <v>1</v>
      </c>
      <c r="L145" s="719"/>
      <c r="M145" s="24">
        <f t="shared" si="30"/>
        <v>1</v>
      </c>
      <c r="N145" s="719"/>
      <c r="O145" s="24">
        <f t="shared" si="31"/>
        <v>1</v>
      </c>
      <c r="P145" s="719" t="s">
        <v>3120</v>
      </c>
      <c r="Q145" s="24">
        <f t="shared" si="32"/>
        <v>1</v>
      </c>
      <c r="R145" s="715">
        <f t="shared" ca="1" si="33"/>
        <v>27374</v>
      </c>
      <c r="S145" s="361">
        <f t="shared" ca="1" si="34"/>
        <v>136</v>
      </c>
      <c r="U145" s="3056" t="str">
        <f>Sheet1!C124</f>
        <v>19-6</v>
      </c>
      <c r="V145" s="799">
        <f>Sheet1!E124</f>
        <v>49.68</v>
      </c>
      <c r="W145" s="799">
        <f t="shared" si="24"/>
        <v>0</v>
      </c>
    </row>
    <row r="146" spans="1:23">
      <c r="A146" s="3043" t="str">
        <f>Sheet1!C125</f>
        <v>19-7</v>
      </c>
      <c r="B146" s="717">
        <f>Sheet1!E125</f>
        <v>70.83</v>
      </c>
      <c r="C146" s="24">
        <f t="shared" si="25"/>
        <v>1</v>
      </c>
      <c r="D146" s="719"/>
      <c r="E146" s="24">
        <f t="shared" si="26"/>
        <v>1</v>
      </c>
      <c r="F146" s="719"/>
      <c r="G146" s="24">
        <f t="shared" si="27"/>
        <v>1</v>
      </c>
      <c r="H146" s="719"/>
      <c r="I146" s="24">
        <f t="shared" si="28"/>
        <v>1</v>
      </c>
      <c r="J146" s="719"/>
      <c r="K146" s="24">
        <f t="shared" si="29"/>
        <v>1</v>
      </c>
      <c r="L146" s="719"/>
      <c r="M146" s="24">
        <f t="shared" si="30"/>
        <v>1</v>
      </c>
      <c r="N146" s="719"/>
      <c r="O146" s="24">
        <f t="shared" si="31"/>
        <v>1</v>
      </c>
      <c r="P146" s="719" t="s">
        <v>3120</v>
      </c>
      <c r="Q146" s="24">
        <f t="shared" si="32"/>
        <v>1</v>
      </c>
      <c r="R146" s="715">
        <f t="shared" ca="1" si="33"/>
        <v>27374</v>
      </c>
      <c r="S146" s="361">
        <f t="shared" ca="1" si="34"/>
        <v>194</v>
      </c>
      <c r="U146" s="3056" t="str">
        <f>Sheet1!C125</f>
        <v>19-7</v>
      </c>
      <c r="V146" s="799">
        <f>Sheet1!E125</f>
        <v>70.83</v>
      </c>
      <c r="W146" s="799">
        <f t="shared" si="24"/>
        <v>0</v>
      </c>
    </row>
    <row r="147" spans="1:23">
      <c r="A147" s="3043" t="str">
        <f>Sheet1!C126</f>
        <v>19-8</v>
      </c>
      <c r="B147" s="717">
        <f>Sheet1!E126</f>
        <v>40.51</v>
      </c>
      <c r="C147" s="24">
        <f t="shared" si="25"/>
        <v>1</v>
      </c>
      <c r="D147" s="719"/>
      <c r="E147" s="24">
        <f t="shared" si="26"/>
        <v>1</v>
      </c>
      <c r="F147" s="719"/>
      <c r="G147" s="24">
        <f t="shared" si="27"/>
        <v>1</v>
      </c>
      <c r="H147" s="719"/>
      <c r="I147" s="24">
        <f t="shared" si="28"/>
        <v>1</v>
      </c>
      <c r="J147" s="719"/>
      <c r="K147" s="24">
        <f t="shared" si="29"/>
        <v>1</v>
      </c>
      <c r="L147" s="719"/>
      <c r="M147" s="24">
        <f t="shared" si="30"/>
        <v>1</v>
      </c>
      <c r="N147" s="719"/>
      <c r="O147" s="24">
        <f t="shared" si="31"/>
        <v>1</v>
      </c>
      <c r="P147" s="719" t="s">
        <v>3120</v>
      </c>
      <c r="Q147" s="24">
        <f t="shared" si="32"/>
        <v>1</v>
      </c>
      <c r="R147" s="715">
        <f t="shared" ca="1" si="33"/>
        <v>27374</v>
      </c>
      <c r="S147" s="361">
        <f t="shared" ca="1" si="34"/>
        <v>111</v>
      </c>
      <c r="U147" s="3056" t="str">
        <f>Sheet1!C126</f>
        <v>19-8</v>
      </c>
      <c r="V147" s="799">
        <f>Sheet1!E126</f>
        <v>40.51</v>
      </c>
      <c r="W147" s="799">
        <f t="shared" si="24"/>
        <v>0</v>
      </c>
    </row>
    <row r="148" spans="1:23">
      <c r="A148" s="3043" t="str">
        <f>Sheet1!C127</f>
        <v>19-9</v>
      </c>
      <c r="B148" s="717">
        <f>Sheet1!E127</f>
        <v>75.38</v>
      </c>
      <c r="C148" s="24">
        <f t="shared" si="25"/>
        <v>1</v>
      </c>
      <c r="D148" s="719"/>
      <c r="E148" s="24">
        <f t="shared" si="26"/>
        <v>1</v>
      </c>
      <c r="F148" s="719"/>
      <c r="G148" s="24">
        <f t="shared" si="27"/>
        <v>1</v>
      </c>
      <c r="H148" s="719"/>
      <c r="I148" s="24">
        <f t="shared" si="28"/>
        <v>1</v>
      </c>
      <c r="J148" s="719"/>
      <c r="K148" s="24">
        <f t="shared" si="29"/>
        <v>1</v>
      </c>
      <c r="L148" s="719"/>
      <c r="M148" s="24">
        <f t="shared" si="30"/>
        <v>1</v>
      </c>
      <c r="N148" s="719"/>
      <c r="O148" s="24">
        <f t="shared" si="31"/>
        <v>1</v>
      </c>
      <c r="P148" s="719" t="s">
        <v>3120</v>
      </c>
      <c r="Q148" s="24">
        <f t="shared" si="32"/>
        <v>1</v>
      </c>
      <c r="R148" s="715">
        <f t="shared" ca="1" si="33"/>
        <v>27374</v>
      </c>
      <c r="S148" s="361">
        <f t="shared" ca="1" si="34"/>
        <v>206</v>
      </c>
      <c r="U148" s="3056" t="str">
        <f>Sheet1!C127</f>
        <v>19-9</v>
      </c>
      <c r="V148" s="799">
        <f>Sheet1!E127</f>
        <v>75.38</v>
      </c>
      <c r="W148" s="799">
        <f t="shared" si="24"/>
        <v>0</v>
      </c>
    </row>
    <row r="149" spans="1:23">
      <c r="A149" s="3043" t="str">
        <f>Sheet1!C128</f>
        <v>19-10</v>
      </c>
      <c r="B149" s="717">
        <f>Sheet1!E128</f>
        <v>75.38</v>
      </c>
      <c r="C149" s="24">
        <f t="shared" si="25"/>
        <v>1</v>
      </c>
      <c r="D149" s="719"/>
      <c r="E149" s="24">
        <f t="shared" si="26"/>
        <v>1</v>
      </c>
      <c r="F149" s="719"/>
      <c r="G149" s="24">
        <f t="shared" si="27"/>
        <v>1</v>
      </c>
      <c r="H149" s="719"/>
      <c r="I149" s="24">
        <f t="shared" si="28"/>
        <v>1</v>
      </c>
      <c r="J149" s="719"/>
      <c r="K149" s="24">
        <f t="shared" si="29"/>
        <v>1</v>
      </c>
      <c r="L149" s="719"/>
      <c r="M149" s="24">
        <f t="shared" si="30"/>
        <v>1</v>
      </c>
      <c r="N149" s="719"/>
      <c r="O149" s="24">
        <f t="shared" si="31"/>
        <v>1</v>
      </c>
      <c r="P149" s="719" t="s">
        <v>3120</v>
      </c>
      <c r="Q149" s="24">
        <f t="shared" si="32"/>
        <v>1</v>
      </c>
      <c r="R149" s="715">
        <f t="shared" ca="1" si="33"/>
        <v>27374</v>
      </c>
      <c r="S149" s="361">
        <f t="shared" ca="1" si="34"/>
        <v>206</v>
      </c>
      <c r="U149" s="3056" t="str">
        <f>Sheet1!C128</f>
        <v>19-10</v>
      </c>
      <c r="V149" s="799">
        <f>Sheet1!E128</f>
        <v>75.38</v>
      </c>
      <c r="W149" s="799">
        <f t="shared" si="24"/>
        <v>0</v>
      </c>
    </row>
    <row r="150" spans="1:23">
      <c r="A150" s="3043" t="str">
        <f>Sheet1!C129</f>
        <v>19-11</v>
      </c>
      <c r="B150" s="717">
        <f>Sheet1!E129</f>
        <v>52.86</v>
      </c>
      <c r="C150" s="24">
        <f t="shared" si="25"/>
        <v>1</v>
      </c>
      <c r="D150" s="719"/>
      <c r="E150" s="24">
        <f t="shared" si="26"/>
        <v>1</v>
      </c>
      <c r="F150" s="719"/>
      <c r="G150" s="24">
        <f t="shared" si="27"/>
        <v>1</v>
      </c>
      <c r="H150" s="719"/>
      <c r="I150" s="24">
        <f t="shared" si="28"/>
        <v>1</v>
      </c>
      <c r="J150" s="719"/>
      <c r="K150" s="24">
        <f t="shared" si="29"/>
        <v>1</v>
      </c>
      <c r="L150" s="719"/>
      <c r="M150" s="24">
        <f t="shared" si="30"/>
        <v>1</v>
      </c>
      <c r="N150" s="719"/>
      <c r="O150" s="24">
        <f t="shared" si="31"/>
        <v>1</v>
      </c>
      <c r="P150" s="719" t="s">
        <v>3120</v>
      </c>
      <c r="Q150" s="24">
        <f t="shared" si="32"/>
        <v>1</v>
      </c>
      <c r="R150" s="715">
        <f t="shared" ca="1" si="33"/>
        <v>27374</v>
      </c>
      <c r="S150" s="361">
        <f t="shared" ca="1" si="34"/>
        <v>145</v>
      </c>
      <c r="U150" s="3056" t="str">
        <f>Sheet1!C129</f>
        <v>19-11</v>
      </c>
      <c r="V150" s="799">
        <f>Sheet1!E129</f>
        <v>52.86</v>
      </c>
      <c r="W150" s="799">
        <f t="shared" si="24"/>
        <v>0</v>
      </c>
    </row>
    <row r="151" spans="1:23">
      <c r="A151" s="3043" t="str">
        <f>Sheet1!C130</f>
        <v>19-12</v>
      </c>
      <c r="B151" s="717">
        <f>Sheet1!E130</f>
        <v>57.58</v>
      </c>
      <c r="C151" s="24">
        <f t="shared" si="25"/>
        <v>1</v>
      </c>
      <c r="D151" s="719"/>
      <c r="E151" s="24">
        <f t="shared" si="26"/>
        <v>1</v>
      </c>
      <c r="F151" s="719"/>
      <c r="G151" s="24">
        <f t="shared" si="27"/>
        <v>1</v>
      </c>
      <c r="H151" s="719"/>
      <c r="I151" s="24">
        <f t="shared" si="28"/>
        <v>1</v>
      </c>
      <c r="J151" s="719"/>
      <c r="K151" s="24">
        <f t="shared" si="29"/>
        <v>1</v>
      </c>
      <c r="L151" s="719"/>
      <c r="M151" s="24">
        <f t="shared" si="30"/>
        <v>1</v>
      </c>
      <c r="N151" s="719"/>
      <c r="O151" s="24">
        <f t="shared" si="31"/>
        <v>1</v>
      </c>
      <c r="P151" s="719" t="s">
        <v>3120</v>
      </c>
      <c r="Q151" s="24">
        <f t="shared" si="32"/>
        <v>1</v>
      </c>
      <c r="R151" s="715">
        <f t="shared" ca="1" si="33"/>
        <v>27374</v>
      </c>
      <c r="S151" s="361">
        <f t="shared" ca="1" si="34"/>
        <v>158</v>
      </c>
      <c r="U151" s="3056" t="str">
        <f>Sheet1!C130</f>
        <v>19-12</v>
      </c>
      <c r="V151" s="799">
        <f>Sheet1!E130</f>
        <v>57.58</v>
      </c>
      <c r="W151" s="799">
        <f t="shared" si="24"/>
        <v>0</v>
      </c>
    </row>
    <row r="152" spans="1:23">
      <c r="A152" s="3043" t="str">
        <f>Sheet1!C131</f>
        <v>19-13</v>
      </c>
      <c r="B152" s="717">
        <f>Sheet1!E131</f>
        <v>75.38</v>
      </c>
      <c r="C152" s="24">
        <f t="shared" si="25"/>
        <v>1</v>
      </c>
      <c r="D152" s="719"/>
      <c r="E152" s="24">
        <f t="shared" si="26"/>
        <v>1</v>
      </c>
      <c r="F152" s="719"/>
      <c r="G152" s="24">
        <f t="shared" si="27"/>
        <v>1</v>
      </c>
      <c r="H152" s="719"/>
      <c r="I152" s="24">
        <f t="shared" si="28"/>
        <v>1</v>
      </c>
      <c r="J152" s="719"/>
      <c r="K152" s="24">
        <f t="shared" si="29"/>
        <v>1</v>
      </c>
      <c r="L152" s="719"/>
      <c r="M152" s="24">
        <f t="shared" si="30"/>
        <v>1</v>
      </c>
      <c r="N152" s="719"/>
      <c r="O152" s="24">
        <f t="shared" si="31"/>
        <v>1</v>
      </c>
      <c r="P152" s="719" t="s">
        <v>3120</v>
      </c>
      <c r="Q152" s="24">
        <f t="shared" si="32"/>
        <v>1</v>
      </c>
      <c r="R152" s="715">
        <f t="shared" ca="1" si="33"/>
        <v>27374</v>
      </c>
      <c r="S152" s="361">
        <f t="shared" ca="1" si="34"/>
        <v>206</v>
      </c>
      <c r="U152" s="3056" t="str">
        <f>Sheet1!C131</f>
        <v>19-13</v>
      </c>
      <c r="V152" s="799">
        <f>Sheet1!E131</f>
        <v>75.38</v>
      </c>
      <c r="W152" s="799">
        <f t="shared" si="24"/>
        <v>0</v>
      </c>
    </row>
    <row r="153" spans="1:23">
      <c r="A153" s="3043" t="str">
        <f>Sheet1!C132</f>
        <v>20-1</v>
      </c>
      <c r="B153" s="717">
        <f>Sheet1!E132</f>
        <v>48.56</v>
      </c>
      <c r="C153" s="24">
        <f t="shared" si="25"/>
        <v>1</v>
      </c>
      <c r="D153" s="719"/>
      <c r="E153" s="24">
        <f t="shared" si="26"/>
        <v>1</v>
      </c>
      <c r="F153" s="719"/>
      <c r="G153" s="24">
        <f t="shared" si="27"/>
        <v>1</v>
      </c>
      <c r="H153" s="719"/>
      <c r="I153" s="24">
        <f t="shared" si="28"/>
        <v>1</v>
      </c>
      <c r="J153" s="719"/>
      <c r="K153" s="24">
        <f t="shared" si="29"/>
        <v>1</v>
      </c>
      <c r="L153" s="719"/>
      <c r="M153" s="24">
        <f t="shared" si="30"/>
        <v>1</v>
      </c>
      <c r="N153" s="719"/>
      <c r="O153" s="24">
        <f t="shared" si="31"/>
        <v>1</v>
      </c>
      <c r="P153" s="719" t="s">
        <v>3120</v>
      </c>
      <c r="Q153" s="24">
        <f t="shared" si="32"/>
        <v>1</v>
      </c>
      <c r="R153" s="715">
        <f t="shared" ca="1" si="33"/>
        <v>27374</v>
      </c>
      <c r="S153" s="361">
        <f t="shared" ca="1" si="34"/>
        <v>133</v>
      </c>
      <c r="U153" s="3056" t="str">
        <f>Sheet1!C132</f>
        <v>20-1</v>
      </c>
      <c r="V153" s="799">
        <f>Sheet1!E132</f>
        <v>48.56</v>
      </c>
      <c r="W153" s="799">
        <f t="shared" ref="W153:W216" si="35">B153-V153</f>
        <v>0</v>
      </c>
    </row>
    <row r="154" spans="1:23">
      <c r="A154" s="3043" t="str">
        <f>Sheet1!C133</f>
        <v>20-2</v>
      </c>
      <c r="B154" s="717">
        <f>Sheet1!E133</f>
        <v>88.35</v>
      </c>
      <c r="C154" s="24">
        <f t="shared" ref="C154:C217" si="36">IF(B154="",1,(LOOKUP(B154,$3:$3,$4:$4)-LOOKUP($B$24,$3:$3,$4:$4)+100)/100)</f>
        <v>1</v>
      </c>
      <c r="D154" s="719"/>
      <c r="E154" s="24">
        <f t="shared" ref="E154:E217" si="37">(SUMIF($5:$5,D154,$6:$6)-SUMIF($5:$5,$D$24,$6:$6)+100)/100</f>
        <v>1</v>
      </c>
      <c r="F154" s="719"/>
      <c r="G154" s="24">
        <f t="shared" ref="G154:G217" si="38">(SUMIF($7:$7,F154,$8:$8)-SUMIF($7:$7,$F$24,$8:$8)+100)/100</f>
        <v>1</v>
      </c>
      <c r="H154" s="719"/>
      <c r="I154" s="24">
        <f t="shared" ref="I154:I217" si="39">(SUMIF($9:$9,H154,$10:$10)-SUMIF($9:$9,$H$24,$10:$10)+100)/100</f>
        <v>1</v>
      </c>
      <c r="J154" s="719"/>
      <c r="K154" s="24">
        <f t="shared" ref="K154:K217" si="40">(SUMIF($11:$11,J154,$12:$12)-SUMIF($11:$11,$J$24,$12:$12)+100)/100</f>
        <v>1</v>
      </c>
      <c r="L154" s="719"/>
      <c r="M154" s="24">
        <f t="shared" ref="M154:M217" si="41">(SUMIF($13:$13,L154,$14:$14)-SUMIF($13:$13,$L$24,$14:$14)+100)/100</f>
        <v>1</v>
      </c>
      <c r="N154" s="719"/>
      <c r="O154" s="24">
        <f t="shared" ref="O154:O217" si="42">(SUMIF($15:$15,N154,$16:$16)-SUMIF($15:$15,$N$24,$16:$16)+100)/100</f>
        <v>1</v>
      </c>
      <c r="P154" s="719" t="s">
        <v>3120</v>
      </c>
      <c r="Q154" s="24">
        <f t="shared" ref="Q154:Q217" si="43">(SUMIF($17:$17,P154,$18:$18)-SUMIF($17:$17,$P$24,$18:$18)+100)/100</f>
        <v>1</v>
      </c>
      <c r="R154" s="715">
        <f t="shared" ref="R154:R217" ca="1" si="44">IF(B154="",0,ROUND($R$24*C154*E154*G154*I154*K154*M154*O154*Q154,0))</f>
        <v>27374</v>
      </c>
      <c r="S154" s="361">
        <f t="shared" ca="1" si="34"/>
        <v>242</v>
      </c>
      <c r="U154" s="3056" t="str">
        <f>Sheet1!C133</f>
        <v>20-2</v>
      </c>
      <c r="V154" s="799">
        <f>Sheet1!E133</f>
        <v>88.35</v>
      </c>
      <c r="W154" s="799">
        <f t="shared" si="35"/>
        <v>0</v>
      </c>
    </row>
    <row r="155" spans="1:23">
      <c r="A155" s="3043" t="str">
        <f>Sheet1!C134</f>
        <v>20-3</v>
      </c>
      <c r="B155" s="717">
        <f>Sheet1!E134</f>
        <v>101.67</v>
      </c>
      <c r="C155" s="24">
        <f t="shared" si="36"/>
        <v>0.99</v>
      </c>
      <c r="D155" s="719"/>
      <c r="E155" s="24">
        <f t="shared" si="37"/>
        <v>1</v>
      </c>
      <c r="F155" s="719"/>
      <c r="G155" s="24">
        <f t="shared" si="38"/>
        <v>1</v>
      </c>
      <c r="H155" s="719"/>
      <c r="I155" s="24">
        <f t="shared" si="39"/>
        <v>1</v>
      </c>
      <c r="J155" s="719"/>
      <c r="K155" s="24">
        <f t="shared" si="40"/>
        <v>1</v>
      </c>
      <c r="L155" s="719"/>
      <c r="M155" s="24">
        <f t="shared" si="41"/>
        <v>1</v>
      </c>
      <c r="N155" s="719"/>
      <c r="O155" s="24">
        <f t="shared" si="42"/>
        <v>1</v>
      </c>
      <c r="P155" s="719" t="s">
        <v>3120</v>
      </c>
      <c r="Q155" s="24">
        <f t="shared" si="43"/>
        <v>1</v>
      </c>
      <c r="R155" s="715">
        <f t="shared" ca="1" si="44"/>
        <v>27100</v>
      </c>
      <c r="S155" s="361">
        <f t="shared" ca="1" si="34"/>
        <v>276</v>
      </c>
      <c r="U155" s="3056" t="str">
        <f>Sheet1!C134</f>
        <v>20-3</v>
      </c>
      <c r="V155" s="799">
        <f>Sheet1!E134</f>
        <v>101.67</v>
      </c>
      <c r="W155" s="799">
        <f t="shared" si="35"/>
        <v>0</v>
      </c>
    </row>
    <row r="156" spans="1:23">
      <c r="A156" s="3043" t="str">
        <f>Sheet1!C135</f>
        <v>20-4</v>
      </c>
      <c r="B156" s="717">
        <f>Sheet1!E135</f>
        <v>82.86</v>
      </c>
      <c r="C156" s="24">
        <f t="shared" si="36"/>
        <v>1</v>
      </c>
      <c r="D156" s="719"/>
      <c r="E156" s="24">
        <f t="shared" si="37"/>
        <v>1</v>
      </c>
      <c r="F156" s="719"/>
      <c r="G156" s="24">
        <f t="shared" si="38"/>
        <v>1</v>
      </c>
      <c r="H156" s="719"/>
      <c r="I156" s="24">
        <f t="shared" si="39"/>
        <v>1</v>
      </c>
      <c r="J156" s="719"/>
      <c r="K156" s="24">
        <f t="shared" si="40"/>
        <v>1</v>
      </c>
      <c r="L156" s="719"/>
      <c r="M156" s="24">
        <f t="shared" si="41"/>
        <v>1</v>
      </c>
      <c r="N156" s="719"/>
      <c r="O156" s="24">
        <f t="shared" si="42"/>
        <v>1</v>
      </c>
      <c r="P156" s="719" t="s">
        <v>3120</v>
      </c>
      <c r="Q156" s="24">
        <f t="shared" si="43"/>
        <v>1</v>
      </c>
      <c r="R156" s="715">
        <f t="shared" ca="1" si="44"/>
        <v>27374</v>
      </c>
      <c r="S156" s="361">
        <f t="shared" ca="1" si="34"/>
        <v>227</v>
      </c>
      <c r="U156" s="3056" t="str">
        <f>Sheet1!C135</f>
        <v>20-4</v>
      </c>
      <c r="V156" s="799">
        <f>Sheet1!E135</f>
        <v>82.86</v>
      </c>
      <c r="W156" s="799">
        <f t="shared" si="35"/>
        <v>0</v>
      </c>
    </row>
    <row r="157" spans="1:23">
      <c r="A157" s="3043" t="str">
        <f>Sheet1!C136</f>
        <v>20-5</v>
      </c>
      <c r="B157" s="717">
        <f>Sheet1!E136</f>
        <v>80.459999999999994</v>
      </c>
      <c r="C157" s="24">
        <f t="shared" si="36"/>
        <v>1</v>
      </c>
      <c r="D157" s="719"/>
      <c r="E157" s="24">
        <f t="shared" si="37"/>
        <v>1</v>
      </c>
      <c r="F157" s="719"/>
      <c r="G157" s="24">
        <f t="shared" si="38"/>
        <v>1</v>
      </c>
      <c r="H157" s="719"/>
      <c r="I157" s="24">
        <f t="shared" si="39"/>
        <v>1</v>
      </c>
      <c r="J157" s="719"/>
      <c r="K157" s="24">
        <f t="shared" si="40"/>
        <v>1</v>
      </c>
      <c r="L157" s="719"/>
      <c r="M157" s="24">
        <f t="shared" si="41"/>
        <v>1</v>
      </c>
      <c r="N157" s="719"/>
      <c r="O157" s="24">
        <f t="shared" si="42"/>
        <v>1</v>
      </c>
      <c r="P157" s="719" t="s">
        <v>3120</v>
      </c>
      <c r="Q157" s="24">
        <f t="shared" si="43"/>
        <v>1</v>
      </c>
      <c r="R157" s="715">
        <f t="shared" ca="1" si="44"/>
        <v>27374</v>
      </c>
      <c r="S157" s="361">
        <f t="shared" ca="1" si="34"/>
        <v>220</v>
      </c>
      <c r="U157" s="3056" t="str">
        <f>Sheet1!C136</f>
        <v>20-5</v>
      </c>
      <c r="V157" s="799">
        <f>Sheet1!E136</f>
        <v>80.459999999999994</v>
      </c>
      <c r="W157" s="799">
        <f t="shared" si="35"/>
        <v>0</v>
      </c>
    </row>
    <row r="158" spans="1:23">
      <c r="A158" s="3043" t="str">
        <f>Sheet1!C137</f>
        <v>20-6</v>
      </c>
      <c r="B158" s="717">
        <f>Sheet1!E137</f>
        <v>80.459999999999994</v>
      </c>
      <c r="C158" s="24">
        <f t="shared" si="36"/>
        <v>1</v>
      </c>
      <c r="D158" s="719"/>
      <c r="E158" s="24">
        <f t="shared" si="37"/>
        <v>1</v>
      </c>
      <c r="F158" s="719"/>
      <c r="G158" s="24">
        <f t="shared" si="38"/>
        <v>1</v>
      </c>
      <c r="H158" s="719"/>
      <c r="I158" s="24">
        <f t="shared" si="39"/>
        <v>1</v>
      </c>
      <c r="J158" s="719"/>
      <c r="K158" s="24">
        <f t="shared" si="40"/>
        <v>1</v>
      </c>
      <c r="L158" s="719"/>
      <c r="M158" s="24">
        <f t="shared" si="41"/>
        <v>1</v>
      </c>
      <c r="N158" s="719"/>
      <c r="O158" s="24">
        <f t="shared" si="42"/>
        <v>1</v>
      </c>
      <c r="P158" s="719" t="s">
        <v>3120</v>
      </c>
      <c r="Q158" s="24">
        <f t="shared" si="43"/>
        <v>1</v>
      </c>
      <c r="R158" s="715">
        <f t="shared" ca="1" si="44"/>
        <v>27374</v>
      </c>
      <c r="S158" s="361">
        <f t="shared" ca="1" si="34"/>
        <v>220</v>
      </c>
      <c r="U158" s="3056" t="str">
        <f>Sheet1!C137</f>
        <v>20-6</v>
      </c>
      <c r="V158" s="799">
        <f>Sheet1!E137</f>
        <v>80.459999999999994</v>
      </c>
      <c r="W158" s="799">
        <f t="shared" si="35"/>
        <v>0</v>
      </c>
    </row>
    <row r="159" spans="1:23">
      <c r="A159" s="3043" t="str">
        <f>Sheet1!C138</f>
        <v>21-1</v>
      </c>
      <c r="B159" s="717">
        <f>Sheet1!E138</f>
        <v>96.27</v>
      </c>
      <c r="C159" s="24">
        <f t="shared" si="36"/>
        <v>1</v>
      </c>
      <c r="D159" s="719"/>
      <c r="E159" s="24">
        <f t="shared" si="37"/>
        <v>1</v>
      </c>
      <c r="F159" s="719"/>
      <c r="G159" s="24">
        <f t="shared" si="38"/>
        <v>1</v>
      </c>
      <c r="H159" s="719"/>
      <c r="I159" s="24">
        <f t="shared" si="39"/>
        <v>1</v>
      </c>
      <c r="J159" s="719"/>
      <c r="K159" s="24">
        <f t="shared" si="40"/>
        <v>1</v>
      </c>
      <c r="L159" s="719"/>
      <c r="M159" s="24">
        <f t="shared" si="41"/>
        <v>1</v>
      </c>
      <c r="N159" s="719"/>
      <c r="O159" s="24">
        <f t="shared" si="42"/>
        <v>1</v>
      </c>
      <c r="P159" s="719" t="s">
        <v>3120</v>
      </c>
      <c r="Q159" s="24">
        <f t="shared" si="43"/>
        <v>1</v>
      </c>
      <c r="R159" s="715">
        <f t="shared" ca="1" si="44"/>
        <v>27374</v>
      </c>
      <c r="S159" s="361">
        <f t="shared" ca="1" si="34"/>
        <v>264</v>
      </c>
      <c r="U159" s="3056" t="str">
        <f>Sheet1!C138</f>
        <v>21-1</v>
      </c>
      <c r="V159" s="799">
        <f>Sheet1!E138</f>
        <v>96.27</v>
      </c>
      <c r="W159" s="799">
        <f t="shared" si="35"/>
        <v>0</v>
      </c>
    </row>
    <row r="160" spans="1:23">
      <c r="A160" s="3043" t="str">
        <f>Sheet1!C139</f>
        <v>21-2</v>
      </c>
      <c r="B160" s="717">
        <f>Sheet1!E139</f>
        <v>93.49</v>
      </c>
      <c r="C160" s="24">
        <f t="shared" si="36"/>
        <v>1</v>
      </c>
      <c r="D160" s="719"/>
      <c r="E160" s="24">
        <f t="shared" si="37"/>
        <v>1</v>
      </c>
      <c r="F160" s="719"/>
      <c r="G160" s="24">
        <f t="shared" si="38"/>
        <v>1</v>
      </c>
      <c r="H160" s="719"/>
      <c r="I160" s="24">
        <f t="shared" si="39"/>
        <v>1</v>
      </c>
      <c r="J160" s="719"/>
      <c r="K160" s="24">
        <f t="shared" si="40"/>
        <v>1</v>
      </c>
      <c r="L160" s="719"/>
      <c r="M160" s="24">
        <f t="shared" si="41"/>
        <v>1</v>
      </c>
      <c r="N160" s="719"/>
      <c r="O160" s="24">
        <f t="shared" si="42"/>
        <v>1</v>
      </c>
      <c r="P160" s="719" t="s">
        <v>3120</v>
      </c>
      <c r="Q160" s="24">
        <f t="shared" si="43"/>
        <v>1</v>
      </c>
      <c r="R160" s="715">
        <f t="shared" ca="1" si="44"/>
        <v>27374</v>
      </c>
      <c r="S160" s="361">
        <f t="shared" ca="1" si="34"/>
        <v>256</v>
      </c>
      <c r="U160" s="3056" t="str">
        <f>Sheet1!C139</f>
        <v>21-2</v>
      </c>
      <c r="V160" s="799">
        <f>Sheet1!E139</f>
        <v>93.49</v>
      </c>
      <c r="W160" s="799">
        <f t="shared" si="35"/>
        <v>0</v>
      </c>
    </row>
    <row r="161" spans="1:23">
      <c r="A161" s="3043" t="str">
        <f>Sheet1!C140</f>
        <v>21-3</v>
      </c>
      <c r="B161" s="717">
        <f>Sheet1!E140</f>
        <v>59.54</v>
      </c>
      <c r="C161" s="24">
        <f t="shared" si="36"/>
        <v>1</v>
      </c>
      <c r="D161" s="719"/>
      <c r="E161" s="24">
        <f t="shared" si="37"/>
        <v>1</v>
      </c>
      <c r="F161" s="719"/>
      <c r="G161" s="24">
        <f t="shared" si="38"/>
        <v>1</v>
      </c>
      <c r="H161" s="719"/>
      <c r="I161" s="24">
        <f t="shared" si="39"/>
        <v>1</v>
      </c>
      <c r="J161" s="719"/>
      <c r="K161" s="24">
        <f t="shared" si="40"/>
        <v>1</v>
      </c>
      <c r="L161" s="719"/>
      <c r="M161" s="24">
        <f t="shared" si="41"/>
        <v>1</v>
      </c>
      <c r="N161" s="719"/>
      <c r="O161" s="24">
        <f t="shared" si="42"/>
        <v>1</v>
      </c>
      <c r="P161" s="719" t="s">
        <v>3120</v>
      </c>
      <c r="Q161" s="24">
        <f t="shared" si="43"/>
        <v>1</v>
      </c>
      <c r="R161" s="715">
        <f t="shared" ca="1" si="44"/>
        <v>27374</v>
      </c>
      <c r="S161" s="361">
        <f t="shared" ca="1" si="34"/>
        <v>163</v>
      </c>
      <c r="U161" s="3056" t="str">
        <f>Sheet1!C140</f>
        <v>21-3</v>
      </c>
      <c r="V161" s="799">
        <f>Sheet1!E140</f>
        <v>59.54</v>
      </c>
      <c r="W161" s="799">
        <f t="shared" si="35"/>
        <v>0</v>
      </c>
    </row>
    <row r="162" spans="1:23">
      <c r="A162" s="3043" t="str">
        <f>Sheet1!C141</f>
        <v>21-4</v>
      </c>
      <c r="B162" s="717">
        <f>Sheet1!E141</f>
        <v>93.49</v>
      </c>
      <c r="C162" s="24">
        <f t="shared" si="36"/>
        <v>1</v>
      </c>
      <c r="D162" s="719"/>
      <c r="E162" s="24">
        <f t="shared" si="37"/>
        <v>1</v>
      </c>
      <c r="F162" s="719"/>
      <c r="G162" s="24">
        <f t="shared" si="38"/>
        <v>1</v>
      </c>
      <c r="H162" s="719"/>
      <c r="I162" s="24">
        <f t="shared" si="39"/>
        <v>1</v>
      </c>
      <c r="J162" s="719"/>
      <c r="K162" s="24">
        <f t="shared" si="40"/>
        <v>1</v>
      </c>
      <c r="L162" s="719"/>
      <c r="M162" s="24">
        <f t="shared" si="41"/>
        <v>1</v>
      </c>
      <c r="N162" s="719"/>
      <c r="O162" s="24">
        <f t="shared" si="42"/>
        <v>1</v>
      </c>
      <c r="P162" s="719" t="s">
        <v>3120</v>
      </c>
      <c r="Q162" s="24">
        <f t="shared" si="43"/>
        <v>1</v>
      </c>
      <c r="R162" s="715">
        <f t="shared" ca="1" si="44"/>
        <v>27374</v>
      </c>
      <c r="S162" s="361">
        <f t="shared" ca="1" si="34"/>
        <v>256</v>
      </c>
      <c r="U162" s="3056" t="str">
        <f>Sheet1!C141</f>
        <v>21-4</v>
      </c>
      <c r="V162" s="799">
        <f>Sheet1!E141</f>
        <v>93.49</v>
      </c>
      <c r="W162" s="799">
        <f t="shared" si="35"/>
        <v>0</v>
      </c>
    </row>
    <row r="163" spans="1:23">
      <c r="A163" s="3043" t="str">
        <f>Sheet1!C142</f>
        <v>21-5</v>
      </c>
      <c r="B163" s="717">
        <f>Sheet1!E142</f>
        <v>120.02</v>
      </c>
      <c r="C163" s="24">
        <f t="shared" si="36"/>
        <v>0.99</v>
      </c>
      <c r="D163" s="719"/>
      <c r="E163" s="24">
        <f t="shared" si="37"/>
        <v>1</v>
      </c>
      <c r="F163" s="719"/>
      <c r="G163" s="24">
        <f t="shared" si="38"/>
        <v>1</v>
      </c>
      <c r="H163" s="719"/>
      <c r="I163" s="24">
        <f t="shared" si="39"/>
        <v>1</v>
      </c>
      <c r="J163" s="719"/>
      <c r="K163" s="24">
        <f t="shared" si="40"/>
        <v>1</v>
      </c>
      <c r="L163" s="719"/>
      <c r="M163" s="24">
        <f t="shared" si="41"/>
        <v>1</v>
      </c>
      <c r="N163" s="719"/>
      <c r="O163" s="24">
        <f t="shared" si="42"/>
        <v>1</v>
      </c>
      <c r="P163" s="719" t="s">
        <v>3120</v>
      </c>
      <c r="Q163" s="24">
        <f t="shared" si="43"/>
        <v>1</v>
      </c>
      <c r="R163" s="715">
        <f t="shared" ca="1" si="44"/>
        <v>27100</v>
      </c>
      <c r="S163" s="361">
        <f t="shared" ca="1" si="34"/>
        <v>325</v>
      </c>
      <c r="U163" s="3056" t="str">
        <f>Sheet1!C142</f>
        <v>21-5</v>
      </c>
      <c r="V163" s="799">
        <f>Sheet1!E142</f>
        <v>120.02</v>
      </c>
      <c r="W163" s="799">
        <f t="shared" si="35"/>
        <v>0</v>
      </c>
    </row>
    <row r="164" spans="1:23">
      <c r="A164" s="3043" t="str">
        <f>Sheet1!C143</f>
        <v>21-6</v>
      </c>
      <c r="B164" s="717">
        <f>Sheet1!E143</f>
        <v>120.02</v>
      </c>
      <c r="C164" s="24">
        <f t="shared" si="36"/>
        <v>0.99</v>
      </c>
      <c r="D164" s="719"/>
      <c r="E164" s="24">
        <f t="shared" si="37"/>
        <v>1</v>
      </c>
      <c r="F164" s="719"/>
      <c r="G164" s="24">
        <f t="shared" si="38"/>
        <v>1</v>
      </c>
      <c r="H164" s="719"/>
      <c r="I164" s="24">
        <f t="shared" si="39"/>
        <v>1</v>
      </c>
      <c r="J164" s="719"/>
      <c r="K164" s="24">
        <f t="shared" si="40"/>
        <v>1</v>
      </c>
      <c r="L164" s="719"/>
      <c r="M164" s="24">
        <f t="shared" si="41"/>
        <v>1</v>
      </c>
      <c r="N164" s="719"/>
      <c r="O164" s="24">
        <f t="shared" si="42"/>
        <v>1</v>
      </c>
      <c r="P164" s="719" t="s">
        <v>3120</v>
      </c>
      <c r="Q164" s="24">
        <f t="shared" si="43"/>
        <v>1</v>
      </c>
      <c r="R164" s="715">
        <f t="shared" ca="1" si="44"/>
        <v>27100</v>
      </c>
      <c r="S164" s="361">
        <f t="shared" ca="1" si="34"/>
        <v>325</v>
      </c>
      <c r="U164" s="3056" t="str">
        <f>Sheet1!C143</f>
        <v>21-6</v>
      </c>
      <c r="V164" s="799">
        <f>Sheet1!E143</f>
        <v>120.02</v>
      </c>
      <c r="W164" s="799">
        <f t="shared" si="35"/>
        <v>0</v>
      </c>
    </row>
    <row r="165" spans="1:23">
      <c r="A165" s="3043" t="str">
        <f>Sheet1!C144</f>
        <v>21-7</v>
      </c>
      <c r="B165" s="717">
        <f>Sheet1!E144</f>
        <v>93.49</v>
      </c>
      <c r="C165" s="24">
        <f t="shared" si="36"/>
        <v>1</v>
      </c>
      <c r="D165" s="719"/>
      <c r="E165" s="24">
        <f t="shared" si="37"/>
        <v>1</v>
      </c>
      <c r="F165" s="719"/>
      <c r="G165" s="24">
        <f t="shared" si="38"/>
        <v>1</v>
      </c>
      <c r="H165" s="719"/>
      <c r="I165" s="24">
        <f t="shared" si="39"/>
        <v>1</v>
      </c>
      <c r="J165" s="719"/>
      <c r="K165" s="24">
        <f t="shared" si="40"/>
        <v>1</v>
      </c>
      <c r="L165" s="719"/>
      <c r="M165" s="24">
        <f t="shared" si="41"/>
        <v>1</v>
      </c>
      <c r="N165" s="719"/>
      <c r="O165" s="24">
        <f t="shared" si="42"/>
        <v>1</v>
      </c>
      <c r="P165" s="719" t="s">
        <v>3120</v>
      </c>
      <c r="Q165" s="24">
        <f t="shared" si="43"/>
        <v>1</v>
      </c>
      <c r="R165" s="715">
        <f t="shared" ca="1" si="44"/>
        <v>27374</v>
      </c>
      <c r="S165" s="361">
        <f t="shared" ca="1" si="34"/>
        <v>256</v>
      </c>
      <c r="U165" s="3056" t="str">
        <f>Sheet1!C144</f>
        <v>21-7</v>
      </c>
      <c r="V165" s="799">
        <f>Sheet1!E144</f>
        <v>93.49</v>
      </c>
      <c r="W165" s="799">
        <f t="shared" si="35"/>
        <v>0</v>
      </c>
    </row>
    <row r="166" spans="1:23">
      <c r="A166" s="3043" t="str">
        <f>Sheet1!C145</f>
        <v>21-8</v>
      </c>
      <c r="B166" s="717">
        <f>Sheet1!E145</f>
        <v>59.54</v>
      </c>
      <c r="C166" s="24">
        <f t="shared" si="36"/>
        <v>1</v>
      </c>
      <c r="D166" s="719"/>
      <c r="E166" s="24">
        <f t="shared" si="37"/>
        <v>1</v>
      </c>
      <c r="F166" s="719"/>
      <c r="G166" s="24">
        <f t="shared" si="38"/>
        <v>1</v>
      </c>
      <c r="H166" s="719"/>
      <c r="I166" s="24">
        <f t="shared" si="39"/>
        <v>1</v>
      </c>
      <c r="J166" s="719"/>
      <c r="K166" s="24">
        <f t="shared" si="40"/>
        <v>1</v>
      </c>
      <c r="L166" s="719"/>
      <c r="M166" s="24">
        <f t="shared" si="41"/>
        <v>1</v>
      </c>
      <c r="N166" s="719"/>
      <c r="O166" s="24">
        <f t="shared" si="42"/>
        <v>1</v>
      </c>
      <c r="P166" s="719" t="s">
        <v>3120</v>
      </c>
      <c r="Q166" s="24">
        <f t="shared" si="43"/>
        <v>1</v>
      </c>
      <c r="R166" s="715">
        <f t="shared" ca="1" si="44"/>
        <v>27374</v>
      </c>
      <c r="S166" s="361">
        <f t="shared" ca="1" si="34"/>
        <v>163</v>
      </c>
      <c r="U166" s="3056" t="str">
        <f>Sheet1!C145</f>
        <v>21-8</v>
      </c>
      <c r="V166" s="799">
        <f>Sheet1!E145</f>
        <v>59.54</v>
      </c>
      <c r="W166" s="799">
        <f t="shared" si="35"/>
        <v>0</v>
      </c>
    </row>
    <row r="167" spans="1:23">
      <c r="A167" s="3043" t="str">
        <f>Sheet1!C146</f>
        <v>21-9</v>
      </c>
      <c r="B167" s="717">
        <f>Sheet1!E146</f>
        <v>93.49</v>
      </c>
      <c r="C167" s="24">
        <f t="shared" si="36"/>
        <v>1</v>
      </c>
      <c r="D167" s="719"/>
      <c r="E167" s="24">
        <f t="shared" si="37"/>
        <v>1</v>
      </c>
      <c r="F167" s="719"/>
      <c r="G167" s="24">
        <f t="shared" si="38"/>
        <v>1</v>
      </c>
      <c r="H167" s="719"/>
      <c r="I167" s="24">
        <f t="shared" si="39"/>
        <v>1</v>
      </c>
      <c r="J167" s="719"/>
      <c r="K167" s="24">
        <f t="shared" si="40"/>
        <v>1</v>
      </c>
      <c r="L167" s="719"/>
      <c r="M167" s="24">
        <f t="shared" si="41"/>
        <v>1</v>
      </c>
      <c r="N167" s="719"/>
      <c r="O167" s="24">
        <f t="shared" si="42"/>
        <v>1</v>
      </c>
      <c r="P167" s="719" t="s">
        <v>3120</v>
      </c>
      <c r="Q167" s="24">
        <f t="shared" si="43"/>
        <v>1</v>
      </c>
      <c r="R167" s="715">
        <f t="shared" ca="1" si="44"/>
        <v>27374</v>
      </c>
      <c r="S167" s="361">
        <f t="shared" ca="1" si="34"/>
        <v>256</v>
      </c>
      <c r="U167" s="3056" t="str">
        <f>Sheet1!C146</f>
        <v>21-9</v>
      </c>
      <c r="V167" s="799">
        <f>Sheet1!E146</f>
        <v>93.49</v>
      </c>
      <c r="W167" s="799">
        <f t="shared" si="35"/>
        <v>0</v>
      </c>
    </row>
    <row r="168" spans="1:23">
      <c r="A168" s="3043" t="str">
        <f>Sheet1!C147</f>
        <v>21-10</v>
      </c>
      <c r="B168" s="717">
        <f>Sheet1!E147</f>
        <v>120.02</v>
      </c>
      <c r="C168" s="24">
        <f t="shared" si="36"/>
        <v>0.99</v>
      </c>
      <c r="D168" s="719"/>
      <c r="E168" s="24">
        <f t="shared" si="37"/>
        <v>1</v>
      </c>
      <c r="F168" s="719"/>
      <c r="G168" s="24">
        <f t="shared" si="38"/>
        <v>1</v>
      </c>
      <c r="H168" s="719"/>
      <c r="I168" s="24">
        <f t="shared" si="39"/>
        <v>1</v>
      </c>
      <c r="J168" s="719"/>
      <c r="K168" s="24">
        <f t="shared" si="40"/>
        <v>1</v>
      </c>
      <c r="L168" s="719"/>
      <c r="M168" s="24">
        <f t="shared" si="41"/>
        <v>1</v>
      </c>
      <c r="N168" s="719"/>
      <c r="O168" s="24">
        <f t="shared" si="42"/>
        <v>1</v>
      </c>
      <c r="P168" s="719" t="s">
        <v>3120</v>
      </c>
      <c r="Q168" s="24">
        <f t="shared" si="43"/>
        <v>1</v>
      </c>
      <c r="R168" s="715">
        <f t="shared" ca="1" si="44"/>
        <v>27100</v>
      </c>
      <c r="S168" s="361">
        <f t="shared" ca="1" si="34"/>
        <v>325</v>
      </c>
      <c r="U168" s="3056" t="str">
        <f>Sheet1!C147</f>
        <v>21-10</v>
      </c>
      <c r="V168" s="799">
        <f>Sheet1!E147</f>
        <v>120.02</v>
      </c>
      <c r="W168" s="799">
        <f t="shared" si="35"/>
        <v>0</v>
      </c>
    </row>
    <row r="169" spans="1:23">
      <c r="A169" s="3043" t="str">
        <f>Sheet1!C148</f>
        <v>21-11</v>
      </c>
      <c r="B169" s="717">
        <f>Sheet1!E148</f>
        <v>86.93</v>
      </c>
      <c r="C169" s="24">
        <f t="shared" si="36"/>
        <v>1</v>
      </c>
      <c r="D169" s="719"/>
      <c r="E169" s="24">
        <f t="shared" si="37"/>
        <v>1</v>
      </c>
      <c r="F169" s="719"/>
      <c r="G169" s="24">
        <f t="shared" si="38"/>
        <v>1</v>
      </c>
      <c r="H169" s="719"/>
      <c r="I169" s="24">
        <f t="shared" si="39"/>
        <v>1</v>
      </c>
      <c r="J169" s="719"/>
      <c r="K169" s="24">
        <f t="shared" si="40"/>
        <v>1</v>
      </c>
      <c r="L169" s="719"/>
      <c r="M169" s="24">
        <f t="shared" si="41"/>
        <v>1</v>
      </c>
      <c r="N169" s="719"/>
      <c r="O169" s="24">
        <f t="shared" si="42"/>
        <v>1</v>
      </c>
      <c r="P169" s="719" t="s">
        <v>3120</v>
      </c>
      <c r="Q169" s="24">
        <f t="shared" si="43"/>
        <v>1</v>
      </c>
      <c r="R169" s="715">
        <f t="shared" ca="1" si="44"/>
        <v>27374</v>
      </c>
      <c r="S169" s="361">
        <f t="shared" ca="1" si="34"/>
        <v>238</v>
      </c>
      <c r="U169" s="3056" t="str">
        <f>Sheet1!C148</f>
        <v>21-11</v>
      </c>
      <c r="V169" s="799">
        <f>Sheet1!E148</f>
        <v>86.93</v>
      </c>
      <c r="W169" s="799">
        <f t="shared" si="35"/>
        <v>0</v>
      </c>
    </row>
    <row r="170" spans="1:23">
      <c r="A170" s="3043" t="str">
        <f>Sheet1!C149</f>
        <v>21-12</v>
      </c>
      <c r="B170" s="717">
        <f>Sheet1!E149</f>
        <v>71.38</v>
      </c>
      <c r="C170" s="24">
        <f t="shared" si="36"/>
        <v>1</v>
      </c>
      <c r="D170" s="719"/>
      <c r="E170" s="24">
        <f t="shared" si="37"/>
        <v>1</v>
      </c>
      <c r="F170" s="719"/>
      <c r="G170" s="24">
        <f t="shared" si="38"/>
        <v>1</v>
      </c>
      <c r="H170" s="719"/>
      <c r="I170" s="24">
        <f t="shared" si="39"/>
        <v>1</v>
      </c>
      <c r="J170" s="719"/>
      <c r="K170" s="24">
        <f t="shared" si="40"/>
        <v>1</v>
      </c>
      <c r="L170" s="719"/>
      <c r="M170" s="24">
        <f t="shared" si="41"/>
        <v>1</v>
      </c>
      <c r="N170" s="719"/>
      <c r="O170" s="24">
        <f t="shared" si="42"/>
        <v>1</v>
      </c>
      <c r="P170" s="719" t="s">
        <v>3120</v>
      </c>
      <c r="Q170" s="24">
        <f t="shared" si="43"/>
        <v>1</v>
      </c>
      <c r="R170" s="715">
        <f t="shared" ca="1" si="44"/>
        <v>27374</v>
      </c>
      <c r="S170" s="361">
        <f t="shared" ca="1" si="34"/>
        <v>195</v>
      </c>
      <c r="U170" s="3056" t="str">
        <f>Sheet1!C149</f>
        <v>21-12</v>
      </c>
      <c r="V170" s="799">
        <f>Sheet1!E149</f>
        <v>71.38</v>
      </c>
      <c r="W170" s="799">
        <f t="shared" si="35"/>
        <v>0</v>
      </c>
    </row>
    <row r="171" spans="1:23">
      <c r="A171" s="3043" t="str">
        <f>Sheet1!C150</f>
        <v>21-13</v>
      </c>
      <c r="B171" s="717">
        <f>Sheet1!E150</f>
        <v>92.88</v>
      </c>
      <c r="C171" s="24">
        <f t="shared" si="36"/>
        <v>1</v>
      </c>
      <c r="D171" s="719"/>
      <c r="E171" s="24">
        <f t="shared" si="37"/>
        <v>1</v>
      </c>
      <c r="F171" s="719"/>
      <c r="G171" s="24">
        <f t="shared" si="38"/>
        <v>1</v>
      </c>
      <c r="H171" s="719"/>
      <c r="I171" s="24">
        <f t="shared" si="39"/>
        <v>1</v>
      </c>
      <c r="J171" s="719"/>
      <c r="K171" s="24">
        <f t="shared" si="40"/>
        <v>1</v>
      </c>
      <c r="L171" s="719"/>
      <c r="M171" s="24">
        <f t="shared" si="41"/>
        <v>1</v>
      </c>
      <c r="N171" s="719"/>
      <c r="O171" s="24">
        <f t="shared" si="42"/>
        <v>1</v>
      </c>
      <c r="P171" s="719" t="s">
        <v>3120</v>
      </c>
      <c r="Q171" s="24">
        <f t="shared" si="43"/>
        <v>1</v>
      </c>
      <c r="R171" s="715">
        <f t="shared" ca="1" si="44"/>
        <v>27374</v>
      </c>
      <c r="S171" s="361">
        <f t="shared" ca="1" si="34"/>
        <v>254</v>
      </c>
      <c r="U171" s="3056" t="str">
        <f>Sheet1!C150</f>
        <v>21-13</v>
      </c>
      <c r="V171" s="799">
        <f>Sheet1!E150</f>
        <v>92.88</v>
      </c>
      <c r="W171" s="799">
        <f t="shared" si="35"/>
        <v>0</v>
      </c>
    </row>
    <row r="172" spans="1:23">
      <c r="A172" s="3043" t="str">
        <f>Sheet1!C151</f>
        <v>21-14</v>
      </c>
      <c r="B172" s="717">
        <f>Sheet1!E151</f>
        <v>92.88</v>
      </c>
      <c r="C172" s="24">
        <f t="shared" si="36"/>
        <v>1</v>
      </c>
      <c r="D172" s="719"/>
      <c r="E172" s="24">
        <f t="shared" si="37"/>
        <v>1</v>
      </c>
      <c r="F172" s="719"/>
      <c r="G172" s="24">
        <f t="shared" si="38"/>
        <v>1</v>
      </c>
      <c r="H172" s="719"/>
      <c r="I172" s="24">
        <f t="shared" si="39"/>
        <v>1</v>
      </c>
      <c r="J172" s="719"/>
      <c r="K172" s="24">
        <f t="shared" si="40"/>
        <v>1</v>
      </c>
      <c r="L172" s="719"/>
      <c r="M172" s="24">
        <f t="shared" si="41"/>
        <v>1</v>
      </c>
      <c r="N172" s="719"/>
      <c r="O172" s="24">
        <f t="shared" si="42"/>
        <v>1</v>
      </c>
      <c r="P172" s="719" t="s">
        <v>3120</v>
      </c>
      <c r="Q172" s="24">
        <f t="shared" si="43"/>
        <v>1</v>
      </c>
      <c r="R172" s="715">
        <f t="shared" ca="1" si="44"/>
        <v>27374</v>
      </c>
      <c r="S172" s="361">
        <f t="shared" ca="1" si="34"/>
        <v>254</v>
      </c>
      <c r="U172" s="3056" t="str">
        <f>Sheet1!C151</f>
        <v>21-14</v>
      </c>
      <c r="V172" s="799">
        <f>Sheet1!E151</f>
        <v>92.88</v>
      </c>
      <c r="W172" s="799">
        <f t="shared" si="35"/>
        <v>0</v>
      </c>
    </row>
    <row r="173" spans="1:23">
      <c r="A173" s="3043" t="str">
        <f>Sheet1!C152</f>
        <v>21-15</v>
      </c>
      <c r="B173" s="717">
        <f>Sheet1!E152</f>
        <v>108.2</v>
      </c>
      <c r="C173" s="24">
        <f t="shared" si="36"/>
        <v>0.99</v>
      </c>
      <c r="D173" s="719"/>
      <c r="E173" s="24">
        <f t="shared" si="37"/>
        <v>1</v>
      </c>
      <c r="F173" s="719"/>
      <c r="G173" s="24">
        <f t="shared" si="38"/>
        <v>1</v>
      </c>
      <c r="H173" s="719"/>
      <c r="I173" s="24">
        <f t="shared" si="39"/>
        <v>1</v>
      </c>
      <c r="J173" s="719"/>
      <c r="K173" s="24">
        <f t="shared" si="40"/>
        <v>1</v>
      </c>
      <c r="L173" s="719"/>
      <c r="M173" s="24">
        <f t="shared" si="41"/>
        <v>1</v>
      </c>
      <c r="N173" s="719"/>
      <c r="O173" s="24">
        <f t="shared" si="42"/>
        <v>1</v>
      </c>
      <c r="P173" s="719" t="s">
        <v>3120</v>
      </c>
      <c r="Q173" s="24">
        <f t="shared" si="43"/>
        <v>1</v>
      </c>
      <c r="R173" s="715">
        <f t="shared" ca="1" si="44"/>
        <v>27100</v>
      </c>
      <c r="S173" s="361">
        <f t="shared" ca="1" si="34"/>
        <v>293</v>
      </c>
      <c r="U173" s="3056" t="str">
        <f>Sheet1!C152</f>
        <v>21-15</v>
      </c>
      <c r="V173" s="799">
        <f>Sheet1!E152</f>
        <v>108.2</v>
      </c>
      <c r="W173" s="799">
        <f t="shared" si="35"/>
        <v>0</v>
      </c>
    </row>
    <row r="174" spans="1:23">
      <c r="A174" s="3043" t="str">
        <f>Sheet1!C153</f>
        <v>21-16</v>
      </c>
      <c r="B174" s="717">
        <f>Sheet1!E153</f>
        <v>62.86</v>
      </c>
      <c r="C174" s="24">
        <f t="shared" si="36"/>
        <v>1</v>
      </c>
      <c r="D174" s="719"/>
      <c r="E174" s="24">
        <f t="shared" si="37"/>
        <v>1</v>
      </c>
      <c r="F174" s="719"/>
      <c r="G174" s="24">
        <f t="shared" si="38"/>
        <v>1</v>
      </c>
      <c r="H174" s="719"/>
      <c r="I174" s="24">
        <f t="shared" si="39"/>
        <v>1</v>
      </c>
      <c r="J174" s="719"/>
      <c r="K174" s="24">
        <f t="shared" si="40"/>
        <v>1</v>
      </c>
      <c r="L174" s="719"/>
      <c r="M174" s="24">
        <f t="shared" si="41"/>
        <v>1</v>
      </c>
      <c r="N174" s="719"/>
      <c r="O174" s="24">
        <f t="shared" si="42"/>
        <v>1</v>
      </c>
      <c r="P174" s="719" t="s">
        <v>3120</v>
      </c>
      <c r="Q174" s="24">
        <f t="shared" si="43"/>
        <v>1</v>
      </c>
      <c r="R174" s="715">
        <f t="shared" ca="1" si="44"/>
        <v>27374</v>
      </c>
      <c r="S174" s="361">
        <f t="shared" ca="1" si="34"/>
        <v>172</v>
      </c>
      <c r="U174" s="3056" t="str">
        <f>Sheet1!C153</f>
        <v>21-16</v>
      </c>
      <c r="V174" s="799">
        <f>Sheet1!E153</f>
        <v>62.86</v>
      </c>
      <c r="W174" s="799">
        <f t="shared" si="35"/>
        <v>0</v>
      </c>
    </row>
    <row r="175" spans="1:23">
      <c r="A175" s="3043" t="str">
        <f>Sheet1!C154</f>
        <v>21-17</v>
      </c>
      <c r="B175" s="717">
        <f>Sheet1!E154</f>
        <v>62.86</v>
      </c>
      <c r="C175" s="24">
        <f t="shared" si="36"/>
        <v>1</v>
      </c>
      <c r="D175" s="719"/>
      <c r="E175" s="24">
        <f t="shared" si="37"/>
        <v>1</v>
      </c>
      <c r="F175" s="719"/>
      <c r="G175" s="24">
        <f t="shared" si="38"/>
        <v>1</v>
      </c>
      <c r="H175" s="719"/>
      <c r="I175" s="24">
        <f t="shared" si="39"/>
        <v>1</v>
      </c>
      <c r="J175" s="719"/>
      <c r="K175" s="24">
        <f t="shared" si="40"/>
        <v>1</v>
      </c>
      <c r="L175" s="719"/>
      <c r="M175" s="24">
        <f t="shared" si="41"/>
        <v>1</v>
      </c>
      <c r="N175" s="719"/>
      <c r="O175" s="24">
        <f t="shared" si="42"/>
        <v>1</v>
      </c>
      <c r="P175" s="719" t="s">
        <v>3120</v>
      </c>
      <c r="Q175" s="24">
        <f t="shared" si="43"/>
        <v>1</v>
      </c>
      <c r="R175" s="715">
        <f t="shared" ca="1" si="44"/>
        <v>27374</v>
      </c>
      <c r="S175" s="361">
        <f t="shared" ca="1" si="34"/>
        <v>172</v>
      </c>
      <c r="U175" s="3056" t="str">
        <f>Sheet1!C154</f>
        <v>21-17</v>
      </c>
      <c r="V175" s="799">
        <f>Sheet1!E154</f>
        <v>62.86</v>
      </c>
      <c r="W175" s="799">
        <f t="shared" si="35"/>
        <v>0</v>
      </c>
    </row>
    <row r="176" spans="1:23">
      <c r="A176" s="3043" t="str">
        <f>Sheet1!C155</f>
        <v>21-18</v>
      </c>
      <c r="B176" s="717">
        <f>Sheet1!E155</f>
        <v>61.46</v>
      </c>
      <c r="C176" s="24">
        <f t="shared" si="36"/>
        <v>1</v>
      </c>
      <c r="D176" s="719"/>
      <c r="E176" s="24">
        <f t="shared" si="37"/>
        <v>1</v>
      </c>
      <c r="F176" s="719"/>
      <c r="G176" s="24">
        <f t="shared" si="38"/>
        <v>1</v>
      </c>
      <c r="H176" s="719"/>
      <c r="I176" s="24">
        <f t="shared" si="39"/>
        <v>1</v>
      </c>
      <c r="J176" s="719"/>
      <c r="K176" s="24">
        <f t="shared" si="40"/>
        <v>1</v>
      </c>
      <c r="L176" s="719"/>
      <c r="M176" s="24">
        <f t="shared" si="41"/>
        <v>1</v>
      </c>
      <c r="N176" s="719"/>
      <c r="O176" s="24">
        <f t="shared" si="42"/>
        <v>1</v>
      </c>
      <c r="P176" s="719" t="s">
        <v>3120</v>
      </c>
      <c r="Q176" s="24">
        <f t="shared" si="43"/>
        <v>1</v>
      </c>
      <c r="R176" s="715">
        <f t="shared" ca="1" si="44"/>
        <v>27374</v>
      </c>
      <c r="S176" s="361">
        <f t="shared" ca="1" si="34"/>
        <v>168</v>
      </c>
      <c r="U176" s="3056" t="str">
        <f>Sheet1!C155</f>
        <v>21-18</v>
      </c>
      <c r="V176" s="799">
        <f>Sheet1!E155</f>
        <v>61.46</v>
      </c>
      <c r="W176" s="799">
        <f t="shared" si="35"/>
        <v>0</v>
      </c>
    </row>
    <row r="177" spans="1:23">
      <c r="A177" s="3043" t="str">
        <f>Sheet1!C156</f>
        <v>21-19</v>
      </c>
      <c r="B177" s="717">
        <f>Sheet1!E156</f>
        <v>65.650000000000006</v>
      </c>
      <c r="C177" s="24">
        <f t="shared" si="36"/>
        <v>1</v>
      </c>
      <c r="D177" s="719"/>
      <c r="E177" s="24">
        <f t="shared" si="37"/>
        <v>1</v>
      </c>
      <c r="F177" s="719"/>
      <c r="G177" s="24">
        <f t="shared" si="38"/>
        <v>1</v>
      </c>
      <c r="H177" s="719"/>
      <c r="I177" s="24">
        <f t="shared" si="39"/>
        <v>1</v>
      </c>
      <c r="J177" s="719"/>
      <c r="K177" s="24">
        <f t="shared" si="40"/>
        <v>1</v>
      </c>
      <c r="L177" s="719"/>
      <c r="M177" s="24">
        <f t="shared" si="41"/>
        <v>1</v>
      </c>
      <c r="N177" s="719"/>
      <c r="O177" s="24">
        <f t="shared" si="42"/>
        <v>1</v>
      </c>
      <c r="P177" s="719" t="s">
        <v>3120</v>
      </c>
      <c r="Q177" s="24">
        <f t="shared" si="43"/>
        <v>1</v>
      </c>
      <c r="R177" s="715">
        <f t="shared" ca="1" si="44"/>
        <v>27374</v>
      </c>
      <c r="S177" s="361">
        <f t="shared" ca="1" si="34"/>
        <v>180</v>
      </c>
      <c r="U177" s="3056" t="str">
        <f>Sheet1!C156</f>
        <v>21-19</v>
      </c>
      <c r="V177" s="799">
        <f>Sheet1!E156</f>
        <v>65.650000000000006</v>
      </c>
      <c r="W177" s="799">
        <f t="shared" si="35"/>
        <v>0</v>
      </c>
    </row>
    <row r="178" spans="1:23">
      <c r="A178" s="3043" t="str">
        <f>Sheet1!C157</f>
        <v>22-1</v>
      </c>
      <c r="B178" s="717">
        <f>Sheet1!E157</f>
        <v>58.29</v>
      </c>
      <c r="C178" s="24">
        <f t="shared" si="36"/>
        <v>1</v>
      </c>
      <c r="D178" s="719"/>
      <c r="E178" s="24">
        <f t="shared" si="37"/>
        <v>1</v>
      </c>
      <c r="F178" s="719"/>
      <c r="G178" s="24">
        <f t="shared" si="38"/>
        <v>1</v>
      </c>
      <c r="H178" s="719"/>
      <c r="I178" s="24">
        <f t="shared" si="39"/>
        <v>1</v>
      </c>
      <c r="J178" s="719"/>
      <c r="K178" s="24">
        <f t="shared" si="40"/>
        <v>1</v>
      </c>
      <c r="L178" s="719"/>
      <c r="M178" s="24">
        <f t="shared" si="41"/>
        <v>1</v>
      </c>
      <c r="N178" s="719"/>
      <c r="O178" s="24">
        <f t="shared" si="42"/>
        <v>1</v>
      </c>
      <c r="P178" s="719" t="s">
        <v>3120</v>
      </c>
      <c r="Q178" s="24">
        <f t="shared" si="43"/>
        <v>1</v>
      </c>
      <c r="R178" s="715">
        <f t="shared" ca="1" si="44"/>
        <v>27374</v>
      </c>
      <c r="S178" s="361">
        <f t="shared" ca="1" si="34"/>
        <v>160</v>
      </c>
      <c r="U178" s="3056" t="str">
        <f>Sheet1!C157</f>
        <v>22-1</v>
      </c>
      <c r="V178" s="799">
        <f>Sheet1!E157</f>
        <v>58.29</v>
      </c>
      <c r="W178" s="799">
        <f t="shared" si="35"/>
        <v>0</v>
      </c>
    </row>
    <row r="179" spans="1:23">
      <c r="A179" s="3043" t="str">
        <f>Sheet1!C158</f>
        <v>22-2</v>
      </c>
      <c r="B179" s="717">
        <f>Sheet1!E158</f>
        <v>39.71</v>
      </c>
      <c r="C179" s="24">
        <f t="shared" si="36"/>
        <v>1</v>
      </c>
      <c r="D179" s="719"/>
      <c r="E179" s="24">
        <f t="shared" si="37"/>
        <v>1</v>
      </c>
      <c r="F179" s="719"/>
      <c r="G179" s="24">
        <f t="shared" si="38"/>
        <v>1</v>
      </c>
      <c r="H179" s="719"/>
      <c r="I179" s="24">
        <f t="shared" si="39"/>
        <v>1</v>
      </c>
      <c r="J179" s="719"/>
      <c r="K179" s="24">
        <f t="shared" si="40"/>
        <v>1</v>
      </c>
      <c r="L179" s="719"/>
      <c r="M179" s="24">
        <f t="shared" si="41"/>
        <v>1</v>
      </c>
      <c r="N179" s="719"/>
      <c r="O179" s="24">
        <f t="shared" si="42"/>
        <v>1</v>
      </c>
      <c r="P179" s="719" t="s">
        <v>3120</v>
      </c>
      <c r="Q179" s="24">
        <f t="shared" si="43"/>
        <v>1</v>
      </c>
      <c r="R179" s="715">
        <f t="shared" ca="1" si="44"/>
        <v>27374</v>
      </c>
      <c r="S179" s="361">
        <f t="shared" ca="1" si="34"/>
        <v>109</v>
      </c>
      <c r="U179" s="3056" t="str">
        <f>Sheet1!C158</f>
        <v>22-2</v>
      </c>
      <c r="V179" s="799">
        <f>Sheet1!E158</f>
        <v>39.71</v>
      </c>
      <c r="W179" s="799">
        <f t="shared" si="35"/>
        <v>0</v>
      </c>
    </row>
    <row r="180" spans="1:23">
      <c r="A180" s="3043" t="str">
        <f>Sheet1!C159</f>
        <v>22-3</v>
      </c>
      <c r="B180" s="717">
        <f>Sheet1!E159</f>
        <v>41.04</v>
      </c>
      <c r="C180" s="24">
        <f t="shared" si="36"/>
        <v>1</v>
      </c>
      <c r="D180" s="719"/>
      <c r="E180" s="24">
        <f t="shared" si="37"/>
        <v>1</v>
      </c>
      <c r="F180" s="719"/>
      <c r="G180" s="24">
        <f t="shared" si="38"/>
        <v>1</v>
      </c>
      <c r="H180" s="719"/>
      <c r="I180" s="24">
        <f t="shared" si="39"/>
        <v>1</v>
      </c>
      <c r="J180" s="719"/>
      <c r="K180" s="24">
        <f t="shared" si="40"/>
        <v>1</v>
      </c>
      <c r="L180" s="719"/>
      <c r="M180" s="24">
        <f t="shared" si="41"/>
        <v>1</v>
      </c>
      <c r="N180" s="719"/>
      <c r="O180" s="24">
        <f t="shared" si="42"/>
        <v>1</v>
      </c>
      <c r="P180" s="719" t="s">
        <v>3120</v>
      </c>
      <c r="Q180" s="24">
        <f t="shared" si="43"/>
        <v>1</v>
      </c>
      <c r="R180" s="715">
        <f t="shared" ca="1" si="44"/>
        <v>27374</v>
      </c>
      <c r="S180" s="361">
        <f t="shared" ca="1" si="34"/>
        <v>112</v>
      </c>
      <c r="U180" s="3056" t="str">
        <f>Sheet1!C159</f>
        <v>22-3</v>
      </c>
      <c r="V180" s="799">
        <f>Sheet1!E159</f>
        <v>41.04</v>
      </c>
      <c r="W180" s="799">
        <f t="shared" si="35"/>
        <v>0</v>
      </c>
    </row>
    <row r="181" spans="1:23">
      <c r="A181" s="3043" t="str">
        <f>Sheet1!C160</f>
        <v>22-4</v>
      </c>
      <c r="B181" s="717">
        <f>Sheet1!E160</f>
        <v>45.89</v>
      </c>
      <c r="C181" s="24">
        <f t="shared" si="36"/>
        <v>1</v>
      </c>
      <c r="D181" s="719"/>
      <c r="E181" s="24">
        <f t="shared" si="37"/>
        <v>1</v>
      </c>
      <c r="F181" s="719"/>
      <c r="G181" s="24">
        <f t="shared" si="38"/>
        <v>1</v>
      </c>
      <c r="H181" s="719"/>
      <c r="I181" s="24">
        <f t="shared" si="39"/>
        <v>1</v>
      </c>
      <c r="J181" s="719"/>
      <c r="K181" s="24">
        <f t="shared" si="40"/>
        <v>1</v>
      </c>
      <c r="L181" s="719"/>
      <c r="M181" s="24">
        <f t="shared" si="41"/>
        <v>1</v>
      </c>
      <c r="N181" s="719"/>
      <c r="O181" s="24">
        <f t="shared" si="42"/>
        <v>1</v>
      </c>
      <c r="P181" s="719" t="s">
        <v>3120</v>
      </c>
      <c r="Q181" s="24">
        <f t="shared" si="43"/>
        <v>1</v>
      </c>
      <c r="R181" s="715">
        <f t="shared" ca="1" si="44"/>
        <v>27374</v>
      </c>
      <c r="S181" s="361">
        <f t="shared" ca="1" si="34"/>
        <v>126</v>
      </c>
      <c r="U181" s="3056" t="str">
        <f>Sheet1!C160</f>
        <v>22-4</v>
      </c>
      <c r="V181" s="799">
        <f>Sheet1!E160</f>
        <v>45.89</v>
      </c>
      <c r="W181" s="799">
        <f t="shared" si="35"/>
        <v>0</v>
      </c>
    </row>
    <row r="182" spans="1:23">
      <c r="A182" s="3043" t="str">
        <f>Sheet1!C161</f>
        <v>22-5</v>
      </c>
      <c r="B182" s="717">
        <f>Sheet1!E161</f>
        <v>69.84</v>
      </c>
      <c r="C182" s="24">
        <f t="shared" si="36"/>
        <v>1</v>
      </c>
      <c r="D182" s="719"/>
      <c r="E182" s="24">
        <f t="shared" si="37"/>
        <v>1</v>
      </c>
      <c r="F182" s="719"/>
      <c r="G182" s="24">
        <f t="shared" si="38"/>
        <v>1</v>
      </c>
      <c r="H182" s="719"/>
      <c r="I182" s="24">
        <f t="shared" si="39"/>
        <v>1</v>
      </c>
      <c r="J182" s="719"/>
      <c r="K182" s="24">
        <f t="shared" si="40"/>
        <v>1</v>
      </c>
      <c r="L182" s="719"/>
      <c r="M182" s="24">
        <f t="shared" si="41"/>
        <v>1</v>
      </c>
      <c r="N182" s="719"/>
      <c r="O182" s="24">
        <f t="shared" si="42"/>
        <v>1</v>
      </c>
      <c r="P182" s="719" t="s">
        <v>3120</v>
      </c>
      <c r="Q182" s="24">
        <f t="shared" si="43"/>
        <v>1</v>
      </c>
      <c r="R182" s="715">
        <f t="shared" ca="1" si="44"/>
        <v>27374</v>
      </c>
      <c r="S182" s="361">
        <f t="shared" ca="1" si="34"/>
        <v>191</v>
      </c>
      <c r="U182" s="3056" t="str">
        <f>Sheet1!C161</f>
        <v>22-5</v>
      </c>
      <c r="V182" s="799">
        <f>Sheet1!E161</f>
        <v>69.84</v>
      </c>
      <c r="W182" s="799">
        <f t="shared" si="35"/>
        <v>0</v>
      </c>
    </row>
    <row r="183" spans="1:23">
      <c r="A183" s="3043" t="str">
        <f>Sheet1!C162</f>
        <v>22-6</v>
      </c>
      <c r="B183" s="717">
        <f>Sheet1!E162</f>
        <v>66.63</v>
      </c>
      <c r="C183" s="24">
        <f t="shared" si="36"/>
        <v>1</v>
      </c>
      <c r="D183" s="719"/>
      <c r="E183" s="24">
        <f t="shared" si="37"/>
        <v>1</v>
      </c>
      <c r="F183" s="719"/>
      <c r="G183" s="24">
        <f t="shared" si="38"/>
        <v>1</v>
      </c>
      <c r="H183" s="719"/>
      <c r="I183" s="24">
        <f t="shared" si="39"/>
        <v>1</v>
      </c>
      <c r="J183" s="719"/>
      <c r="K183" s="24">
        <f t="shared" si="40"/>
        <v>1</v>
      </c>
      <c r="L183" s="719"/>
      <c r="M183" s="24">
        <f t="shared" si="41"/>
        <v>1</v>
      </c>
      <c r="N183" s="719"/>
      <c r="O183" s="24">
        <f t="shared" si="42"/>
        <v>1</v>
      </c>
      <c r="P183" s="719" t="s">
        <v>3120</v>
      </c>
      <c r="Q183" s="24">
        <f t="shared" si="43"/>
        <v>1</v>
      </c>
      <c r="R183" s="715">
        <f t="shared" ca="1" si="44"/>
        <v>27374</v>
      </c>
      <c r="S183" s="361">
        <f t="shared" ca="1" si="34"/>
        <v>182</v>
      </c>
      <c r="U183" s="3056" t="str">
        <f>Sheet1!C162</f>
        <v>22-6</v>
      </c>
      <c r="V183" s="799">
        <f>Sheet1!E162</f>
        <v>66.63</v>
      </c>
      <c r="W183" s="799">
        <f t="shared" si="35"/>
        <v>0</v>
      </c>
    </row>
    <row r="184" spans="1:23">
      <c r="A184" s="3043" t="str">
        <f>Sheet1!C163</f>
        <v>22-7</v>
      </c>
      <c r="B184" s="717">
        <f>Sheet1!E163</f>
        <v>41.29</v>
      </c>
      <c r="C184" s="24">
        <f t="shared" si="36"/>
        <v>1</v>
      </c>
      <c r="D184" s="719"/>
      <c r="E184" s="24">
        <f t="shared" si="37"/>
        <v>1</v>
      </c>
      <c r="F184" s="719"/>
      <c r="G184" s="24">
        <f t="shared" si="38"/>
        <v>1</v>
      </c>
      <c r="H184" s="719"/>
      <c r="I184" s="24">
        <f t="shared" si="39"/>
        <v>1</v>
      </c>
      <c r="J184" s="719"/>
      <c r="K184" s="24">
        <f t="shared" si="40"/>
        <v>1</v>
      </c>
      <c r="L184" s="719"/>
      <c r="M184" s="24">
        <f t="shared" si="41"/>
        <v>1</v>
      </c>
      <c r="N184" s="719"/>
      <c r="O184" s="24">
        <f t="shared" si="42"/>
        <v>1</v>
      </c>
      <c r="P184" s="719" t="s">
        <v>3120</v>
      </c>
      <c r="Q184" s="24">
        <f t="shared" si="43"/>
        <v>1</v>
      </c>
      <c r="R184" s="715">
        <f t="shared" ca="1" si="44"/>
        <v>27374</v>
      </c>
      <c r="S184" s="361">
        <f t="shared" ca="1" si="34"/>
        <v>113</v>
      </c>
      <c r="U184" s="3056" t="str">
        <f>Sheet1!C163</f>
        <v>22-7</v>
      </c>
      <c r="V184" s="799">
        <f>Sheet1!E163</f>
        <v>41.29</v>
      </c>
      <c r="W184" s="799">
        <f t="shared" si="35"/>
        <v>0</v>
      </c>
    </row>
    <row r="185" spans="1:23">
      <c r="A185" s="3043" t="str">
        <f>Sheet1!C164</f>
        <v>23-1</v>
      </c>
      <c r="B185" s="717">
        <f>Sheet1!E164</f>
        <v>78.849999999999994</v>
      </c>
      <c r="C185" s="24">
        <f t="shared" si="36"/>
        <v>1</v>
      </c>
      <c r="D185" s="719"/>
      <c r="E185" s="24">
        <f t="shared" si="37"/>
        <v>1</v>
      </c>
      <c r="F185" s="719"/>
      <c r="G185" s="24">
        <f t="shared" si="38"/>
        <v>1</v>
      </c>
      <c r="H185" s="719"/>
      <c r="I185" s="24">
        <f t="shared" si="39"/>
        <v>1</v>
      </c>
      <c r="J185" s="719"/>
      <c r="K185" s="24">
        <f t="shared" si="40"/>
        <v>1</v>
      </c>
      <c r="L185" s="719"/>
      <c r="M185" s="24">
        <f t="shared" si="41"/>
        <v>1</v>
      </c>
      <c r="N185" s="719"/>
      <c r="O185" s="24">
        <f t="shared" si="42"/>
        <v>1</v>
      </c>
      <c r="P185" s="719" t="s">
        <v>3120</v>
      </c>
      <c r="Q185" s="24">
        <f t="shared" si="43"/>
        <v>1</v>
      </c>
      <c r="R185" s="715">
        <f t="shared" ca="1" si="44"/>
        <v>27374</v>
      </c>
      <c r="S185" s="361">
        <f t="shared" ca="1" si="34"/>
        <v>216</v>
      </c>
      <c r="U185" s="3056" t="str">
        <f>Sheet1!C164</f>
        <v>23-1</v>
      </c>
      <c r="V185" s="799">
        <f>Sheet1!E164</f>
        <v>78.849999999999994</v>
      </c>
      <c r="W185" s="799">
        <f t="shared" si="35"/>
        <v>0</v>
      </c>
    </row>
    <row r="186" spans="1:23">
      <c r="A186" s="3043" t="str">
        <f>Sheet1!C165</f>
        <v>23-2</v>
      </c>
      <c r="B186" s="717">
        <f>Sheet1!E165</f>
        <v>78.849999999999994</v>
      </c>
      <c r="C186" s="24">
        <f t="shared" si="36"/>
        <v>1</v>
      </c>
      <c r="D186" s="719"/>
      <c r="E186" s="24">
        <f t="shared" si="37"/>
        <v>1</v>
      </c>
      <c r="F186" s="719"/>
      <c r="G186" s="24">
        <f t="shared" si="38"/>
        <v>1</v>
      </c>
      <c r="H186" s="719"/>
      <c r="I186" s="24">
        <f t="shared" si="39"/>
        <v>1</v>
      </c>
      <c r="J186" s="719"/>
      <c r="K186" s="24">
        <f t="shared" si="40"/>
        <v>1</v>
      </c>
      <c r="L186" s="719"/>
      <c r="M186" s="24">
        <f t="shared" si="41"/>
        <v>1</v>
      </c>
      <c r="N186" s="719"/>
      <c r="O186" s="24">
        <f t="shared" si="42"/>
        <v>1</v>
      </c>
      <c r="P186" s="719" t="s">
        <v>3120</v>
      </c>
      <c r="Q186" s="24">
        <f t="shared" si="43"/>
        <v>1</v>
      </c>
      <c r="R186" s="715">
        <f t="shared" ca="1" si="44"/>
        <v>27374</v>
      </c>
      <c r="S186" s="361">
        <f t="shared" ca="1" si="34"/>
        <v>216</v>
      </c>
      <c r="U186" s="3056" t="str">
        <f>Sheet1!C165</f>
        <v>23-2</v>
      </c>
      <c r="V186" s="799">
        <f>Sheet1!E165</f>
        <v>78.849999999999994</v>
      </c>
      <c r="W186" s="799">
        <f t="shared" si="35"/>
        <v>0</v>
      </c>
    </row>
    <row r="187" spans="1:23">
      <c r="A187" s="3043" t="str">
        <f>Sheet1!C166</f>
        <v>23-3</v>
      </c>
      <c r="B187" s="717">
        <f>Sheet1!E166</f>
        <v>72.3</v>
      </c>
      <c r="C187" s="24">
        <f t="shared" si="36"/>
        <v>1</v>
      </c>
      <c r="D187" s="719"/>
      <c r="E187" s="24">
        <f t="shared" si="37"/>
        <v>1</v>
      </c>
      <c r="F187" s="719"/>
      <c r="G187" s="24">
        <f t="shared" si="38"/>
        <v>1</v>
      </c>
      <c r="H187" s="719"/>
      <c r="I187" s="24">
        <f t="shared" si="39"/>
        <v>1</v>
      </c>
      <c r="J187" s="719"/>
      <c r="K187" s="24">
        <f t="shared" si="40"/>
        <v>1</v>
      </c>
      <c r="L187" s="719"/>
      <c r="M187" s="24">
        <f t="shared" si="41"/>
        <v>1</v>
      </c>
      <c r="N187" s="719"/>
      <c r="O187" s="24">
        <f t="shared" si="42"/>
        <v>1</v>
      </c>
      <c r="P187" s="719" t="s">
        <v>3120</v>
      </c>
      <c r="Q187" s="24">
        <f t="shared" si="43"/>
        <v>1</v>
      </c>
      <c r="R187" s="715">
        <f t="shared" ca="1" si="44"/>
        <v>27374</v>
      </c>
      <c r="S187" s="361">
        <f t="shared" ref="S187:S222" ca="1" si="45">ROUND(R187*B187/10000,0)</f>
        <v>198</v>
      </c>
      <c r="U187" s="3056" t="str">
        <f>Sheet1!C166</f>
        <v>23-3</v>
      </c>
      <c r="V187" s="799">
        <f>Sheet1!E166</f>
        <v>72.3</v>
      </c>
      <c r="W187" s="799">
        <f t="shared" si="35"/>
        <v>0</v>
      </c>
    </row>
    <row r="188" spans="1:23">
      <c r="A188" s="3043" t="str">
        <f>Sheet1!C167</f>
        <v>23-4</v>
      </c>
      <c r="B188" s="717">
        <f>Sheet1!E167</f>
        <v>98.04</v>
      </c>
      <c r="C188" s="24">
        <f t="shared" si="36"/>
        <v>1</v>
      </c>
      <c r="D188" s="719"/>
      <c r="E188" s="24">
        <f t="shared" si="37"/>
        <v>1</v>
      </c>
      <c r="F188" s="719"/>
      <c r="G188" s="24">
        <f t="shared" si="38"/>
        <v>1</v>
      </c>
      <c r="H188" s="719"/>
      <c r="I188" s="24">
        <f t="shared" si="39"/>
        <v>1</v>
      </c>
      <c r="J188" s="719"/>
      <c r="K188" s="24">
        <f t="shared" si="40"/>
        <v>1</v>
      </c>
      <c r="L188" s="719"/>
      <c r="M188" s="24">
        <f t="shared" si="41"/>
        <v>1</v>
      </c>
      <c r="N188" s="719"/>
      <c r="O188" s="24">
        <f t="shared" si="42"/>
        <v>1</v>
      </c>
      <c r="P188" s="719" t="s">
        <v>3120</v>
      </c>
      <c r="Q188" s="24">
        <f t="shared" si="43"/>
        <v>1</v>
      </c>
      <c r="R188" s="715">
        <f t="shared" ca="1" si="44"/>
        <v>27374</v>
      </c>
      <c r="S188" s="361">
        <f t="shared" ca="1" si="45"/>
        <v>268</v>
      </c>
      <c r="U188" s="3056" t="str">
        <f>Sheet1!C167</f>
        <v>23-4</v>
      </c>
      <c r="V188" s="799">
        <f>Sheet1!E167</f>
        <v>98.04</v>
      </c>
      <c r="W188" s="799">
        <f t="shared" si="35"/>
        <v>0</v>
      </c>
    </row>
    <row r="189" spans="1:23">
      <c r="A189" s="3043" t="str">
        <f>Sheet1!C168</f>
        <v>23-5</v>
      </c>
      <c r="B189" s="717">
        <f>Sheet1!E168</f>
        <v>69.95</v>
      </c>
      <c r="C189" s="24">
        <f t="shared" si="36"/>
        <v>1</v>
      </c>
      <c r="D189" s="719"/>
      <c r="E189" s="24">
        <f t="shared" si="37"/>
        <v>1</v>
      </c>
      <c r="F189" s="719"/>
      <c r="G189" s="24">
        <f t="shared" si="38"/>
        <v>1</v>
      </c>
      <c r="H189" s="719"/>
      <c r="I189" s="24">
        <f t="shared" si="39"/>
        <v>1</v>
      </c>
      <c r="J189" s="719"/>
      <c r="K189" s="24">
        <f t="shared" si="40"/>
        <v>1</v>
      </c>
      <c r="L189" s="719"/>
      <c r="M189" s="24">
        <f t="shared" si="41"/>
        <v>1</v>
      </c>
      <c r="N189" s="719"/>
      <c r="O189" s="24">
        <f t="shared" si="42"/>
        <v>1</v>
      </c>
      <c r="P189" s="719" t="s">
        <v>3120</v>
      </c>
      <c r="Q189" s="24">
        <f t="shared" si="43"/>
        <v>1</v>
      </c>
      <c r="R189" s="715">
        <f t="shared" ca="1" si="44"/>
        <v>27374</v>
      </c>
      <c r="S189" s="361">
        <f t="shared" ca="1" si="45"/>
        <v>191</v>
      </c>
      <c r="U189" s="3056" t="str">
        <f>Sheet1!C168</f>
        <v>23-5</v>
      </c>
      <c r="V189" s="799">
        <f>Sheet1!E168</f>
        <v>69.95</v>
      </c>
      <c r="W189" s="799">
        <f t="shared" si="35"/>
        <v>0</v>
      </c>
    </row>
    <row r="190" spans="1:23">
      <c r="A190" s="3043" t="str">
        <f>Sheet1!C169</f>
        <v>23-6</v>
      </c>
      <c r="B190" s="717">
        <f>Sheet1!E169</f>
        <v>50.12</v>
      </c>
      <c r="C190" s="24">
        <f t="shared" si="36"/>
        <v>1</v>
      </c>
      <c r="D190" s="719"/>
      <c r="E190" s="24">
        <f t="shared" si="37"/>
        <v>1</v>
      </c>
      <c r="F190" s="719"/>
      <c r="G190" s="24">
        <f t="shared" si="38"/>
        <v>1</v>
      </c>
      <c r="H190" s="719"/>
      <c r="I190" s="24">
        <f t="shared" si="39"/>
        <v>1</v>
      </c>
      <c r="J190" s="719"/>
      <c r="K190" s="24">
        <f t="shared" si="40"/>
        <v>1</v>
      </c>
      <c r="L190" s="719"/>
      <c r="M190" s="24">
        <f t="shared" si="41"/>
        <v>1</v>
      </c>
      <c r="N190" s="719"/>
      <c r="O190" s="24">
        <f t="shared" si="42"/>
        <v>1</v>
      </c>
      <c r="P190" s="719" t="s">
        <v>3120</v>
      </c>
      <c r="Q190" s="24">
        <f t="shared" si="43"/>
        <v>1</v>
      </c>
      <c r="R190" s="715">
        <f t="shared" ca="1" si="44"/>
        <v>27374</v>
      </c>
      <c r="S190" s="361">
        <f t="shared" ca="1" si="45"/>
        <v>137</v>
      </c>
      <c r="U190" s="3056" t="str">
        <f>Sheet1!C169</f>
        <v>23-6</v>
      </c>
      <c r="V190" s="799">
        <f>Sheet1!E169</f>
        <v>50.12</v>
      </c>
      <c r="W190" s="799">
        <f t="shared" si="35"/>
        <v>0</v>
      </c>
    </row>
    <row r="191" spans="1:23">
      <c r="A191" s="3043" t="str">
        <f>Sheet1!C170</f>
        <v>24-1</v>
      </c>
      <c r="B191" s="717">
        <f>Sheet1!E170</f>
        <v>51.51</v>
      </c>
      <c r="C191" s="24">
        <f t="shared" si="36"/>
        <v>1</v>
      </c>
      <c r="D191" s="719"/>
      <c r="E191" s="24">
        <f t="shared" si="37"/>
        <v>1</v>
      </c>
      <c r="F191" s="719"/>
      <c r="G191" s="24">
        <f t="shared" si="38"/>
        <v>1</v>
      </c>
      <c r="H191" s="719"/>
      <c r="I191" s="24">
        <f t="shared" si="39"/>
        <v>1</v>
      </c>
      <c r="J191" s="719"/>
      <c r="K191" s="24">
        <f t="shared" si="40"/>
        <v>1</v>
      </c>
      <c r="L191" s="719"/>
      <c r="M191" s="24">
        <f t="shared" si="41"/>
        <v>1</v>
      </c>
      <c r="N191" s="719"/>
      <c r="O191" s="24">
        <f t="shared" si="42"/>
        <v>1</v>
      </c>
      <c r="P191" s="719" t="s">
        <v>3120</v>
      </c>
      <c r="Q191" s="24">
        <f t="shared" si="43"/>
        <v>1</v>
      </c>
      <c r="R191" s="715">
        <f t="shared" ca="1" si="44"/>
        <v>27374</v>
      </c>
      <c r="S191" s="361">
        <f t="shared" ca="1" si="45"/>
        <v>141</v>
      </c>
      <c r="U191" s="3056" t="str">
        <f>Sheet1!C170</f>
        <v>24-1</v>
      </c>
      <c r="V191" s="799">
        <f>Sheet1!E170</f>
        <v>51.51</v>
      </c>
      <c r="W191" s="799">
        <f t="shared" si="35"/>
        <v>0</v>
      </c>
    </row>
    <row r="192" spans="1:23">
      <c r="A192" s="3043" t="str">
        <f>Sheet1!C171</f>
        <v>24-2</v>
      </c>
      <c r="B192" s="717">
        <f>Sheet1!E171</f>
        <v>52.61</v>
      </c>
      <c r="C192" s="24">
        <f t="shared" si="36"/>
        <v>1</v>
      </c>
      <c r="D192" s="719"/>
      <c r="E192" s="24">
        <f t="shared" si="37"/>
        <v>1</v>
      </c>
      <c r="F192" s="719"/>
      <c r="G192" s="24">
        <f t="shared" si="38"/>
        <v>1</v>
      </c>
      <c r="H192" s="719"/>
      <c r="I192" s="24">
        <f t="shared" si="39"/>
        <v>1</v>
      </c>
      <c r="J192" s="719"/>
      <c r="K192" s="24">
        <f t="shared" si="40"/>
        <v>1</v>
      </c>
      <c r="L192" s="719"/>
      <c r="M192" s="24">
        <f t="shared" si="41"/>
        <v>1</v>
      </c>
      <c r="N192" s="719"/>
      <c r="O192" s="24">
        <f t="shared" si="42"/>
        <v>1</v>
      </c>
      <c r="P192" s="719" t="s">
        <v>3120</v>
      </c>
      <c r="Q192" s="24">
        <f t="shared" si="43"/>
        <v>1</v>
      </c>
      <c r="R192" s="715">
        <f t="shared" ca="1" si="44"/>
        <v>27374</v>
      </c>
      <c r="S192" s="361">
        <f t="shared" ca="1" si="45"/>
        <v>144</v>
      </c>
      <c r="U192" s="3056" t="str">
        <f>Sheet1!C171</f>
        <v>24-2</v>
      </c>
      <c r="V192" s="799">
        <f>Sheet1!E171</f>
        <v>52.61</v>
      </c>
      <c r="W192" s="799">
        <f t="shared" si="35"/>
        <v>0</v>
      </c>
    </row>
    <row r="193" spans="1:23">
      <c r="A193" s="3043" t="str">
        <f>Sheet1!C172</f>
        <v>24-3</v>
      </c>
      <c r="B193" s="717">
        <f>Sheet1!E172</f>
        <v>52.61</v>
      </c>
      <c r="C193" s="24">
        <f t="shared" si="36"/>
        <v>1</v>
      </c>
      <c r="D193" s="719"/>
      <c r="E193" s="24">
        <f t="shared" si="37"/>
        <v>1</v>
      </c>
      <c r="F193" s="719"/>
      <c r="G193" s="24">
        <f t="shared" si="38"/>
        <v>1</v>
      </c>
      <c r="H193" s="719"/>
      <c r="I193" s="24">
        <f t="shared" si="39"/>
        <v>1</v>
      </c>
      <c r="J193" s="719"/>
      <c r="K193" s="24">
        <f t="shared" si="40"/>
        <v>1</v>
      </c>
      <c r="L193" s="719"/>
      <c r="M193" s="24">
        <f t="shared" si="41"/>
        <v>1</v>
      </c>
      <c r="N193" s="719"/>
      <c r="O193" s="24">
        <f t="shared" si="42"/>
        <v>1</v>
      </c>
      <c r="P193" s="719" t="s">
        <v>3120</v>
      </c>
      <c r="Q193" s="24">
        <f t="shared" si="43"/>
        <v>1</v>
      </c>
      <c r="R193" s="715">
        <f t="shared" ca="1" si="44"/>
        <v>27374</v>
      </c>
      <c r="S193" s="361">
        <f t="shared" ca="1" si="45"/>
        <v>144</v>
      </c>
      <c r="U193" s="3056" t="str">
        <f>Sheet1!C172</f>
        <v>24-3</v>
      </c>
      <c r="V193" s="799">
        <f>Sheet1!E172</f>
        <v>52.61</v>
      </c>
      <c r="W193" s="799">
        <f t="shared" si="35"/>
        <v>0</v>
      </c>
    </row>
    <row r="194" spans="1:23">
      <c r="A194" s="3043" t="str">
        <f>Sheet1!C173</f>
        <v>24-4</v>
      </c>
      <c r="B194" s="717">
        <f>Sheet1!E173</f>
        <v>52.61</v>
      </c>
      <c r="C194" s="24">
        <f t="shared" si="36"/>
        <v>1</v>
      </c>
      <c r="D194" s="719"/>
      <c r="E194" s="24">
        <f t="shared" si="37"/>
        <v>1</v>
      </c>
      <c r="F194" s="719"/>
      <c r="G194" s="24">
        <f t="shared" si="38"/>
        <v>1</v>
      </c>
      <c r="H194" s="719"/>
      <c r="I194" s="24">
        <f t="shared" si="39"/>
        <v>1</v>
      </c>
      <c r="J194" s="719"/>
      <c r="K194" s="24">
        <f t="shared" si="40"/>
        <v>1</v>
      </c>
      <c r="L194" s="719"/>
      <c r="M194" s="24">
        <f t="shared" si="41"/>
        <v>1</v>
      </c>
      <c r="N194" s="719"/>
      <c r="O194" s="24">
        <f t="shared" si="42"/>
        <v>1</v>
      </c>
      <c r="P194" s="719" t="s">
        <v>3120</v>
      </c>
      <c r="Q194" s="24">
        <f t="shared" si="43"/>
        <v>1</v>
      </c>
      <c r="R194" s="715">
        <f t="shared" ca="1" si="44"/>
        <v>27374</v>
      </c>
      <c r="S194" s="361">
        <f t="shared" ca="1" si="45"/>
        <v>144</v>
      </c>
      <c r="U194" s="3056" t="str">
        <f>Sheet1!C173</f>
        <v>24-4</v>
      </c>
      <c r="V194" s="799">
        <f>Sheet1!E173</f>
        <v>52.61</v>
      </c>
      <c r="W194" s="799">
        <f t="shared" si="35"/>
        <v>0</v>
      </c>
    </row>
    <row r="195" spans="1:23">
      <c r="A195" s="3043" t="str">
        <f>Sheet1!C174</f>
        <v>24-5</v>
      </c>
      <c r="B195" s="717">
        <f>Sheet1!E174</f>
        <v>52.61</v>
      </c>
      <c r="C195" s="24">
        <f t="shared" si="36"/>
        <v>1</v>
      </c>
      <c r="D195" s="719"/>
      <c r="E195" s="24">
        <f t="shared" si="37"/>
        <v>1</v>
      </c>
      <c r="F195" s="719"/>
      <c r="G195" s="24">
        <f t="shared" si="38"/>
        <v>1</v>
      </c>
      <c r="H195" s="719"/>
      <c r="I195" s="24">
        <f t="shared" si="39"/>
        <v>1</v>
      </c>
      <c r="J195" s="719"/>
      <c r="K195" s="24">
        <f t="shared" si="40"/>
        <v>1</v>
      </c>
      <c r="L195" s="719"/>
      <c r="M195" s="24">
        <f t="shared" si="41"/>
        <v>1</v>
      </c>
      <c r="N195" s="719"/>
      <c r="O195" s="24">
        <f t="shared" si="42"/>
        <v>1</v>
      </c>
      <c r="P195" s="719" t="s">
        <v>3120</v>
      </c>
      <c r="Q195" s="24">
        <f t="shared" si="43"/>
        <v>1</v>
      </c>
      <c r="R195" s="715">
        <f t="shared" ca="1" si="44"/>
        <v>27374</v>
      </c>
      <c r="S195" s="361">
        <f t="shared" ca="1" si="45"/>
        <v>144</v>
      </c>
      <c r="U195" s="3056" t="str">
        <f>Sheet1!C174</f>
        <v>24-5</v>
      </c>
      <c r="V195" s="799">
        <f>Sheet1!E174</f>
        <v>52.61</v>
      </c>
      <c r="W195" s="799">
        <f t="shared" si="35"/>
        <v>0</v>
      </c>
    </row>
    <row r="196" spans="1:23">
      <c r="A196" s="3043" t="str">
        <f>Sheet1!C175</f>
        <v>24-6</v>
      </c>
      <c r="B196" s="717">
        <f>Sheet1!E175</f>
        <v>52.61</v>
      </c>
      <c r="C196" s="24">
        <f t="shared" si="36"/>
        <v>1</v>
      </c>
      <c r="D196" s="719"/>
      <c r="E196" s="24">
        <f t="shared" si="37"/>
        <v>1</v>
      </c>
      <c r="F196" s="719"/>
      <c r="G196" s="24">
        <f t="shared" si="38"/>
        <v>1</v>
      </c>
      <c r="H196" s="719"/>
      <c r="I196" s="24">
        <f t="shared" si="39"/>
        <v>1</v>
      </c>
      <c r="J196" s="719"/>
      <c r="K196" s="24">
        <f t="shared" si="40"/>
        <v>1</v>
      </c>
      <c r="L196" s="719"/>
      <c r="M196" s="24">
        <f t="shared" si="41"/>
        <v>1</v>
      </c>
      <c r="N196" s="719"/>
      <c r="O196" s="24">
        <f t="shared" si="42"/>
        <v>1</v>
      </c>
      <c r="P196" s="719" t="s">
        <v>3120</v>
      </c>
      <c r="Q196" s="24">
        <f t="shared" si="43"/>
        <v>1</v>
      </c>
      <c r="R196" s="715">
        <f t="shared" ca="1" si="44"/>
        <v>27374</v>
      </c>
      <c r="S196" s="361">
        <f t="shared" ca="1" si="45"/>
        <v>144</v>
      </c>
      <c r="U196" s="3056" t="str">
        <f>Sheet1!C175</f>
        <v>24-6</v>
      </c>
      <c r="V196" s="799">
        <f>Sheet1!E175</f>
        <v>52.61</v>
      </c>
      <c r="W196" s="799">
        <f t="shared" si="35"/>
        <v>0</v>
      </c>
    </row>
    <row r="197" spans="1:23">
      <c r="A197" s="3043" t="str">
        <f>Sheet1!C176</f>
        <v>24-7</v>
      </c>
      <c r="B197" s="717">
        <f>Sheet1!E176</f>
        <v>63.13</v>
      </c>
      <c r="C197" s="24">
        <f t="shared" si="36"/>
        <v>1</v>
      </c>
      <c r="D197" s="719"/>
      <c r="E197" s="24">
        <f t="shared" si="37"/>
        <v>1</v>
      </c>
      <c r="F197" s="719"/>
      <c r="G197" s="24">
        <f t="shared" si="38"/>
        <v>1</v>
      </c>
      <c r="H197" s="719"/>
      <c r="I197" s="24">
        <f t="shared" si="39"/>
        <v>1</v>
      </c>
      <c r="J197" s="719"/>
      <c r="K197" s="24">
        <f t="shared" si="40"/>
        <v>1</v>
      </c>
      <c r="L197" s="719"/>
      <c r="M197" s="24">
        <f t="shared" si="41"/>
        <v>1</v>
      </c>
      <c r="N197" s="719"/>
      <c r="O197" s="24">
        <f t="shared" si="42"/>
        <v>1</v>
      </c>
      <c r="P197" s="719" t="s">
        <v>3120</v>
      </c>
      <c r="Q197" s="24">
        <f t="shared" si="43"/>
        <v>1</v>
      </c>
      <c r="R197" s="715">
        <f t="shared" ca="1" si="44"/>
        <v>27374</v>
      </c>
      <c r="S197" s="361">
        <f t="shared" ca="1" si="45"/>
        <v>173</v>
      </c>
      <c r="U197" s="3056" t="str">
        <f>Sheet1!C176</f>
        <v>24-7</v>
      </c>
      <c r="V197" s="799">
        <f>Sheet1!E176</f>
        <v>63.13</v>
      </c>
      <c r="W197" s="799">
        <f t="shared" si="35"/>
        <v>0</v>
      </c>
    </row>
    <row r="198" spans="1:23">
      <c r="A198" s="3043" t="str">
        <f>Sheet1!C177</f>
        <v>24-8</v>
      </c>
      <c r="B198" s="717">
        <f>Sheet1!E177</f>
        <v>88.93</v>
      </c>
      <c r="C198" s="24">
        <f t="shared" si="36"/>
        <v>1</v>
      </c>
      <c r="D198" s="719"/>
      <c r="E198" s="24">
        <f t="shared" si="37"/>
        <v>1</v>
      </c>
      <c r="F198" s="719"/>
      <c r="G198" s="24">
        <f t="shared" si="38"/>
        <v>1</v>
      </c>
      <c r="H198" s="719"/>
      <c r="I198" s="24">
        <f t="shared" si="39"/>
        <v>1</v>
      </c>
      <c r="J198" s="719"/>
      <c r="K198" s="24">
        <f t="shared" si="40"/>
        <v>1</v>
      </c>
      <c r="L198" s="719"/>
      <c r="M198" s="24">
        <f t="shared" si="41"/>
        <v>1</v>
      </c>
      <c r="N198" s="719"/>
      <c r="O198" s="24">
        <f t="shared" si="42"/>
        <v>1</v>
      </c>
      <c r="P198" s="719" t="s">
        <v>3120</v>
      </c>
      <c r="Q198" s="24">
        <f t="shared" si="43"/>
        <v>1</v>
      </c>
      <c r="R198" s="715">
        <f t="shared" ca="1" si="44"/>
        <v>27374</v>
      </c>
      <c r="S198" s="361">
        <f t="shared" ca="1" si="45"/>
        <v>243</v>
      </c>
      <c r="U198" s="3056" t="str">
        <f>Sheet1!C177</f>
        <v>24-8</v>
      </c>
      <c r="V198" s="799">
        <f>Sheet1!E177</f>
        <v>88.93</v>
      </c>
      <c r="W198" s="799">
        <f t="shared" si="35"/>
        <v>0</v>
      </c>
    </row>
    <row r="199" spans="1:23">
      <c r="A199" s="3043" t="str">
        <f>Sheet1!C178</f>
        <v>24-9</v>
      </c>
      <c r="B199" s="717">
        <f>Sheet1!E178</f>
        <v>39.74</v>
      </c>
      <c r="C199" s="24">
        <f t="shared" si="36"/>
        <v>1</v>
      </c>
      <c r="D199" s="719"/>
      <c r="E199" s="24">
        <f t="shared" si="37"/>
        <v>1</v>
      </c>
      <c r="F199" s="719"/>
      <c r="G199" s="24">
        <f t="shared" si="38"/>
        <v>1</v>
      </c>
      <c r="H199" s="719"/>
      <c r="I199" s="24">
        <f t="shared" si="39"/>
        <v>1</v>
      </c>
      <c r="J199" s="719"/>
      <c r="K199" s="24">
        <f t="shared" si="40"/>
        <v>1</v>
      </c>
      <c r="L199" s="719"/>
      <c r="M199" s="24">
        <f t="shared" si="41"/>
        <v>1</v>
      </c>
      <c r="N199" s="719"/>
      <c r="O199" s="24">
        <f t="shared" si="42"/>
        <v>1</v>
      </c>
      <c r="P199" s="719" t="s">
        <v>3120</v>
      </c>
      <c r="Q199" s="24">
        <f t="shared" si="43"/>
        <v>1</v>
      </c>
      <c r="R199" s="715">
        <f t="shared" ca="1" si="44"/>
        <v>27374</v>
      </c>
      <c r="S199" s="361">
        <f t="shared" ca="1" si="45"/>
        <v>109</v>
      </c>
      <c r="U199" s="3056" t="str">
        <f>Sheet1!C178</f>
        <v>24-9</v>
      </c>
      <c r="V199" s="799">
        <f>Sheet1!E178</f>
        <v>39.74</v>
      </c>
      <c r="W199" s="799">
        <f t="shared" si="35"/>
        <v>0</v>
      </c>
    </row>
    <row r="200" spans="1:23">
      <c r="A200" s="3043" t="str">
        <f>Sheet1!C179</f>
        <v>24-10</v>
      </c>
      <c r="B200" s="717">
        <f>Sheet1!E179</f>
        <v>76.63</v>
      </c>
      <c r="C200" s="24">
        <f t="shared" si="36"/>
        <v>1</v>
      </c>
      <c r="D200" s="719"/>
      <c r="E200" s="24">
        <f t="shared" si="37"/>
        <v>1</v>
      </c>
      <c r="F200" s="719"/>
      <c r="G200" s="24">
        <f t="shared" si="38"/>
        <v>1</v>
      </c>
      <c r="H200" s="719"/>
      <c r="I200" s="24">
        <f t="shared" si="39"/>
        <v>1</v>
      </c>
      <c r="J200" s="719"/>
      <c r="K200" s="24">
        <f t="shared" si="40"/>
        <v>1</v>
      </c>
      <c r="L200" s="719"/>
      <c r="M200" s="24">
        <f t="shared" si="41"/>
        <v>1</v>
      </c>
      <c r="N200" s="719"/>
      <c r="O200" s="24">
        <f t="shared" si="42"/>
        <v>1</v>
      </c>
      <c r="P200" s="719" t="s">
        <v>3120</v>
      </c>
      <c r="Q200" s="24">
        <f t="shared" si="43"/>
        <v>1</v>
      </c>
      <c r="R200" s="715">
        <f t="shared" ca="1" si="44"/>
        <v>27374</v>
      </c>
      <c r="S200" s="361">
        <f t="shared" ca="1" si="45"/>
        <v>210</v>
      </c>
      <c r="U200" s="3056" t="str">
        <f>Sheet1!C179</f>
        <v>24-10</v>
      </c>
      <c r="V200" s="799">
        <f>Sheet1!E179</f>
        <v>76.63</v>
      </c>
      <c r="W200" s="799">
        <f t="shared" si="35"/>
        <v>0</v>
      </c>
    </row>
    <row r="201" spans="1:23">
      <c r="A201" s="3043" t="str">
        <f>Sheet1!C180</f>
        <v>24-11</v>
      </c>
      <c r="B201" s="717">
        <f>Sheet1!E180</f>
        <v>59.63</v>
      </c>
      <c r="C201" s="24">
        <f t="shared" si="36"/>
        <v>1</v>
      </c>
      <c r="D201" s="719"/>
      <c r="E201" s="24">
        <f t="shared" si="37"/>
        <v>1</v>
      </c>
      <c r="F201" s="719"/>
      <c r="G201" s="24">
        <f t="shared" si="38"/>
        <v>1</v>
      </c>
      <c r="H201" s="719"/>
      <c r="I201" s="24">
        <f t="shared" si="39"/>
        <v>1</v>
      </c>
      <c r="J201" s="719"/>
      <c r="K201" s="24">
        <f t="shared" si="40"/>
        <v>1</v>
      </c>
      <c r="L201" s="719"/>
      <c r="M201" s="24">
        <f t="shared" si="41"/>
        <v>1</v>
      </c>
      <c r="N201" s="719"/>
      <c r="O201" s="24">
        <f t="shared" si="42"/>
        <v>1</v>
      </c>
      <c r="P201" s="719" t="s">
        <v>3120</v>
      </c>
      <c r="Q201" s="24">
        <f t="shared" si="43"/>
        <v>1</v>
      </c>
      <c r="R201" s="715">
        <f t="shared" ca="1" si="44"/>
        <v>27374</v>
      </c>
      <c r="S201" s="361">
        <f t="shared" ca="1" si="45"/>
        <v>163</v>
      </c>
      <c r="U201" s="3056" t="str">
        <f>Sheet1!C180</f>
        <v>24-11</v>
      </c>
      <c r="V201" s="799">
        <f>Sheet1!E180</f>
        <v>59.63</v>
      </c>
      <c r="W201" s="799">
        <f t="shared" si="35"/>
        <v>0</v>
      </c>
    </row>
    <row r="202" spans="1:23">
      <c r="A202" s="3043" t="str">
        <f>Sheet1!C181</f>
        <v>24-12</v>
      </c>
      <c r="B202" s="717">
        <f>Sheet1!E181</f>
        <v>93.62</v>
      </c>
      <c r="C202" s="24">
        <f t="shared" si="36"/>
        <v>1</v>
      </c>
      <c r="D202" s="719"/>
      <c r="E202" s="24">
        <f t="shared" si="37"/>
        <v>1</v>
      </c>
      <c r="F202" s="719"/>
      <c r="G202" s="24">
        <f t="shared" si="38"/>
        <v>1</v>
      </c>
      <c r="H202" s="719"/>
      <c r="I202" s="24">
        <f t="shared" si="39"/>
        <v>1</v>
      </c>
      <c r="J202" s="719"/>
      <c r="K202" s="24">
        <f t="shared" si="40"/>
        <v>1</v>
      </c>
      <c r="L202" s="719"/>
      <c r="M202" s="24">
        <f t="shared" si="41"/>
        <v>1</v>
      </c>
      <c r="N202" s="719"/>
      <c r="O202" s="24">
        <f t="shared" si="42"/>
        <v>1</v>
      </c>
      <c r="P202" s="719" t="s">
        <v>3120</v>
      </c>
      <c r="Q202" s="24">
        <f t="shared" si="43"/>
        <v>1</v>
      </c>
      <c r="R202" s="715">
        <f t="shared" ca="1" si="44"/>
        <v>27374</v>
      </c>
      <c r="S202" s="361">
        <f t="shared" ca="1" si="45"/>
        <v>256</v>
      </c>
      <c r="U202" s="3056" t="str">
        <f>Sheet1!C181</f>
        <v>24-12</v>
      </c>
      <c r="V202" s="799">
        <f>Sheet1!E181</f>
        <v>93.62</v>
      </c>
      <c r="W202" s="799">
        <f t="shared" si="35"/>
        <v>0</v>
      </c>
    </row>
    <row r="203" spans="1:23">
      <c r="A203" s="3043" t="str">
        <f>Sheet1!C182</f>
        <v>24-13</v>
      </c>
      <c r="B203" s="717">
        <f>Sheet1!E182</f>
        <v>120.19</v>
      </c>
      <c r="C203" s="24">
        <f t="shared" si="36"/>
        <v>0.99</v>
      </c>
      <c r="D203" s="719"/>
      <c r="E203" s="24">
        <f t="shared" si="37"/>
        <v>1</v>
      </c>
      <c r="F203" s="719"/>
      <c r="G203" s="24">
        <f t="shared" si="38"/>
        <v>1</v>
      </c>
      <c r="H203" s="719"/>
      <c r="I203" s="24">
        <f t="shared" si="39"/>
        <v>1</v>
      </c>
      <c r="J203" s="719"/>
      <c r="K203" s="24">
        <f t="shared" si="40"/>
        <v>1</v>
      </c>
      <c r="L203" s="719"/>
      <c r="M203" s="24">
        <f t="shared" si="41"/>
        <v>1</v>
      </c>
      <c r="N203" s="719"/>
      <c r="O203" s="24">
        <f t="shared" si="42"/>
        <v>1</v>
      </c>
      <c r="P203" s="719" t="s">
        <v>3120</v>
      </c>
      <c r="Q203" s="24">
        <f t="shared" si="43"/>
        <v>1</v>
      </c>
      <c r="R203" s="715">
        <f t="shared" ca="1" si="44"/>
        <v>27100</v>
      </c>
      <c r="S203" s="361">
        <f t="shared" ca="1" si="45"/>
        <v>326</v>
      </c>
      <c r="U203" s="3056" t="str">
        <f>Sheet1!C182</f>
        <v>24-13</v>
      </c>
      <c r="V203" s="799">
        <f>Sheet1!E182</f>
        <v>120.19</v>
      </c>
      <c r="W203" s="799">
        <f t="shared" si="35"/>
        <v>0</v>
      </c>
    </row>
    <row r="204" spans="1:23">
      <c r="A204" s="3043" t="str">
        <f>Sheet1!C183</f>
        <v>24-14</v>
      </c>
      <c r="B204" s="717">
        <f>Sheet1!E183</f>
        <v>120.19</v>
      </c>
      <c r="C204" s="24">
        <f t="shared" si="36"/>
        <v>0.99</v>
      </c>
      <c r="D204" s="719"/>
      <c r="E204" s="24">
        <f t="shared" si="37"/>
        <v>1</v>
      </c>
      <c r="F204" s="719"/>
      <c r="G204" s="24">
        <f t="shared" si="38"/>
        <v>1</v>
      </c>
      <c r="H204" s="719"/>
      <c r="I204" s="24">
        <f t="shared" si="39"/>
        <v>1</v>
      </c>
      <c r="J204" s="719"/>
      <c r="K204" s="24">
        <f t="shared" si="40"/>
        <v>1</v>
      </c>
      <c r="L204" s="719"/>
      <c r="M204" s="24">
        <f t="shared" si="41"/>
        <v>1</v>
      </c>
      <c r="N204" s="719"/>
      <c r="O204" s="24">
        <f t="shared" si="42"/>
        <v>1</v>
      </c>
      <c r="P204" s="719" t="s">
        <v>3120</v>
      </c>
      <c r="Q204" s="24">
        <f t="shared" si="43"/>
        <v>1</v>
      </c>
      <c r="R204" s="715">
        <f t="shared" ca="1" si="44"/>
        <v>27100</v>
      </c>
      <c r="S204" s="361">
        <f t="shared" ca="1" si="45"/>
        <v>326</v>
      </c>
      <c r="U204" s="3056" t="str">
        <f>Sheet1!C183</f>
        <v>24-14</v>
      </c>
      <c r="V204" s="799">
        <f>Sheet1!E183</f>
        <v>120.19</v>
      </c>
      <c r="W204" s="799">
        <f t="shared" si="35"/>
        <v>0</v>
      </c>
    </row>
    <row r="205" spans="1:23">
      <c r="A205" s="3043" t="str">
        <f>Sheet1!C184</f>
        <v>24-15</v>
      </c>
      <c r="B205" s="717">
        <f>Sheet1!E184</f>
        <v>93.62</v>
      </c>
      <c r="C205" s="24">
        <f t="shared" si="36"/>
        <v>1</v>
      </c>
      <c r="D205" s="719"/>
      <c r="E205" s="24">
        <f t="shared" si="37"/>
        <v>1</v>
      </c>
      <c r="F205" s="719"/>
      <c r="G205" s="24">
        <f t="shared" si="38"/>
        <v>1</v>
      </c>
      <c r="H205" s="719"/>
      <c r="I205" s="24">
        <f t="shared" si="39"/>
        <v>1</v>
      </c>
      <c r="J205" s="719"/>
      <c r="K205" s="24">
        <f t="shared" si="40"/>
        <v>1</v>
      </c>
      <c r="L205" s="719"/>
      <c r="M205" s="24">
        <f t="shared" si="41"/>
        <v>1</v>
      </c>
      <c r="N205" s="719"/>
      <c r="O205" s="24">
        <f t="shared" si="42"/>
        <v>1</v>
      </c>
      <c r="P205" s="719" t="s">
        <v>3120</v>
      </c>
      <c r="Q205" s="24">
        <f t="shared" si="43"/>
        <v>1</v>
      </c>
      <c r="R205" s="715">
        <f t="shared" ca="1" si="44"/>
        <v>27374</v>
      </c>
      <c r="S205" s="361">
        <f t="shared" ca="1" si="45"/>
        <v>256</v>
      </c>
      <c r="U205" s="3056" t="str">
        <f>Sheet1!C184</f>
        <v>24-15</v>
      </c>
      <c r="V205" s="799">
        <f>Sheet1!E184</f>
        <v>93.62</v>
      </c>
      <c r="W205" s="799">
        <f t="shared" si="35"/>
        <v>0</v>
      </c>
    </row>
    <row r="206" spans="1:23">
      <c r="A206" s="3043" t="str">
        <f>Sheet1!C185</f>
        <v>24-16</v>
      </c>
      <c r="B206" s="717">
        <f>Sheet1!E185</f>
        <v>59.63</v>
      </c>
      <c r="C206" s="24">
        <f t="shared" si="36"/>
        <v>1</v>
      </c>
      <c r="D206" s="719"/>
      <c r="E206" s="24">
        <f t="shared" si="37"/>
        <v>1</v>
      </c>
      <c r="F206" s="719"/>
      <c r="G206" s="24">
        <f t="shared" si="38"/>
        <v>1</v>
      </c>
      <c r="H206" s="719"/>
      <c r="I206" s="24">
        <f t="shared" si="39"/>
        <v>1</v>
      </c>
      <c r="J206" s="719"/>
      <c r="K206" s="24">
        <f t="shared" si="40"/>
        <v>1</v>
      </c>
      <c r="L206" s="719"/>
      <c r="M206" s="24">
        <f t="shared" si="41"/>
        <v>1</v>
      </c>
      <c r="N206" s="719"/>
      <c r="O206" s="24">
        <f t="shared" si="42"/>
        <v>1</v>
      </c>
      <c r="P206" s="719" t="s">
        <v>3120</v>
      </c>
      <c r="Q206" s="24">
        <f t="shared" si="43"/>
        <v>1</v>
      </c>
      <c r="R206" s="715">
        <f t="shared" ca="1" si="44"/>
        <v>27374</v>
      </c>
      <c r="S206" s="361">
        <f t="shared" ca="1" si="45"/>
        <v>163</v>
      </c>
      <c r="U206" s="3056" t="str">
        <f>Sheet1!C185</f>
        <v>24-16</v>
      </c>
      <c r="V206" s="799">
        <f>Sheet1!E185</f>
        <v>59.63</v>
      </c>
      <c r="W206" s="799">
        <f t="shared" si="35"/>
        <v>0</v>
      </c>
    </row>
    <row r="207" spans="1:23">
      <c r="A207" s="3043" t="str">
        <f>Sheet1!C186</f>
        <v>24-17</v>
      </c>
      <c r="B207" s="717">
        <f>Sheet1!E186</f>
        <v>93.62</v>
      </c>
      <c r="C207" s="24">
        <f t="shared" si="36"/>
        <v>1</v>
      </c>
      <c r="D207" s="719"/>
      <c r="E207" s="24">
        <f t="shared" si="37"/>
        <v>1</v>
      </c>
      <c r="F207" s="719"/>
      <c r="G207" s="24">
        <f t="shared" si="38"/>
        <v>1</v>
      </c>
      <c r="H207" s="719"/>
      <c r="I207" s="24">
        <f t="shared" si="39"/>
        <v>1</v>
      </c>
      <c r="J207" s="719"/>
      <c r="K207" s="24">
        <f t="shared" si="40"/>
        <v>1</v>
      </c>
      <c r="L207" s="719"/>
      <c r="M207" s="24">
        <f t="shared" si="41"/>
        <v>1</v>
      </c>
      <c r="N207" s="719"/>
      <c r="O207" s="24">
        <f t="shared" si="42"/>
        <v>1</v>
      </c>
      <c r="P207" s="719" t="s">
        <v>3120</v>
      </c>
      <c r="Q207" s="24">
        <f t="shared" si="43"/>
        <v>1</v>
      </c>
      <c r="R207" s="715">
        <f t="shared" ca="1" si="44"/>
        <v>27374</v>
      </c>
      <c r="S207" s="361">
        <f t="shared" ca="1" si="45"/>
        <v>256</v>
      </c>
      <c r="U207" s="3056" t="str">
        <f>Sheet1!C186</f>
        <v>24-17</v>
      </c>
      <c r="V207" s="799">
        <f>Sheet1!E186</f>
        <v>93.62</v>
      </c>
      <c r="W207" s="799">
        <f t="shared" si="35"/>
        <v>0</v>
      </c>
    </row>
    <row r="208" spans="1:23">
      <c r="A208" s="3043" t="str">
        <f>Sheet1!C187</f>
        <v>24-18</v>
      </c>
      <c r="B208" s="717">
        <f>Sheet1!E187</f>
        <v>120.19</v>
      </c>
      <c r="C208" s="24">
        <f t="shared" si="36"/>
        <v>0.99</v>
      </c>
      <c r="D208" s="719"/>
      <c r="E208" s="24">
        <f t="shared" si="37"/>
        <v>1</v>
      </c>
      <c r="F208" s="719"/>
      <c r="G208" s="24">
        <f t="shared" si="38"/>
        <v>1</v>
      </c>
      <c r="H208" s="719"/>
      <c r="I208" s="24">
        <f t="shared" si="39"/>
        <v>1</v>
      </c>
      <c r="J208" s="719"/>
      <c r="K208" s="24">
        <f t="shared" si="40"/>
        <v>1</v>
      </c>
      <c r="L208" s="719"/>
      <c r="M208" s="24">
        <f t="shared" si="41"/>
        <v>1</v>
      </c>
      <c r="N208" s="719"/>
      <c r="O208" s="24">
        <f t="shared" si="42"/>
        <v>1</v>
      </c>
      <c r="P208" s="719" t="s">
        <v>3120</v>
      </c>
      <c r="Q208" s="24">
        <f t="shared" si="43"/>
        <v>1</v>
      </c>
      <c r="R208" s="715">
        <f t="shared" ca="1" si="44"/>
        <v>27100</v>
      </c>
      <c r="S208" s="361">
        <f t="shared" ca="1" si="45"/>
        <v>326</v>
      </c>
      <c r="U208" s="3056" t="str">
        <f>Sheet1!C187</f>
        <v>24-18</v>
      </c>
      <c r="V208" s="799">
        <f>Sheet1!E187</f>
        <v>120.19</v>
      </c>
      <c r="W208" s="799">
        <f t="shared" si="35"/>
        <v>0</v>
      </c>
    </row>
    <row r="209" spans="1:23">
      <c r="A209" s="3043" t="str">
        <f>Sheet1!C188</f>
        <v>24-19</v>
      </c>
      <c r="B209" s="717">
        <f>Sheet1!E188</f>
        <v>142.16999999999999</v>
      </c>
      <c r="C209" s="24">
        <f t="shared" si="36"/>
        <v>0.99</v>
      </c>
      <c r="D209" s="719"/>
      <c r="E209" s="24">
        <f t="shared" si="37"/>
        <v>1</v>
      </c>
      <c r="F209" s="719"/>
      <c r="G209" s="24">
        <f t="shared" si="38"/>
        <v>1</v>
      </c>
      <c r="H209" s="719"/>
      <c r="I209" s="24">
        <f t="shared" si="39"/>
        <v>1</v>
      </c>
      <c r="J209" s="719"/>
      <c r="K209" s="24">
        <f t="shared" si="40"/>
        <v>1</v>
      </c>
      <c r="L209" s="719"/>
      <c r="M209" s="24">
        <f t="shared" si="41"/>
        <v>1</v>
      </c>
      <c r="N209" s="719"/>
      <c r="O209" s="24">
        <f t="shared" si="42"/>
        <v>1</v>
      </c>
      <c r="P209" s="719" t="s">
        <v>3120</v>
      </c>
      <c r="Q209" s="24">
        <f t="shared" si="43"/>
        <v>1</v>
      </c>
      <c r="R209" s="715">
        <f t="shared" ca="1" si="44"/>
        <v>27100</v>
      </c>
      <c r="S209" s="361">
        <f t="shared" ca="1" si="45"/>
        <v>385</v>
      </c>
      <c r="U209" s="3056" t="str">
        <f>Sheet1!C188</f>
        <v>24-19</v>
      </c>
      <c r="V209" s="799">
        <f>Sheet1!E188</f>
        <v>142.16999999999999</v>
      </c>
      <c r="W209" s="799">
        <f t="shared" si="35"/>
        <v>0</v>
      </c>
    </row>
    <row r="210" spans="1:23">
      <c r="A210" s="3043" t="str">
        <f>Sheet1!C189</f>
        <v>24-20</v>
      </c>
      <c r="B210" s="717">
        <f>Sheet1!E189</f>
        <v>82.67</v>
      </c>
      <c r="C210" s="24">
        <f t="shared" si="36"/>
        <v>1</v>
      </c>
      <c r="D210" s="719"/>
      <c r="E210" s="24">
        <f t="shared" si="37"/>
        <v>1</v>
      </c>
      <c r="F210" s="719"/>
      <c r="G210" s="24">
        <f t="shared" si="38"/>
        <v>1</v>
      </c>
      <c r="H210" s="719"/>
      <c r="I210" s="24">
        <f t="shared" si="39"/>
        <v>1</v>
      </c>
      <c r="J210" s="719"/>
      <c r="K210" s="24">
        <f t="shared" si="40"/>
        <v>1</v>
      </c>
      <c r="L210" s="719"/>
      <c r="M210" s="24">
        <f t="shared" si="41"/>
        <v>1</v>
      </c>
      <c r="N210" s="719"/>
      <c r="O210" s="24">
        <f t="shared" si="42"/>
        <v>1</v>
      </c>
      <c r="P210" s="719" t="s">
        <v>3120</v>
      </c>
      <c r="Q210" s="24">
        <f t="shared" si="43"/>
        <v>1</v>
      </c>
      <c r="R210" s="715">
        <f t="shared" ca="1" si="44"/>
        <v>27374</v>
      </c>
      <c r="S210" s="361">
        <f t="shared" ca="1" si="45"/>
        <v>226</v>
      </c>
      <c r="U210" s="3056" t="str">
        <f>Sheet1!C189</f>
        <v>24-20</v>
      </c>
      <c r="V210" s="799">
        <f>Sheet1!E189</f>
        <v>82.67</v>
      </c>
      <c r="W210" s="799">
        <f t="shared" si="35"/>
        <v>0</v>
      </c>
    </row>
    <row r="211" spans="1:23">
      <c r="A211" s="3043" t="str">
        <f>Sheet1!C190</f>
        <v>24-21</v>
      </c>
      <c r="B211" s="717">
        <f>Sheet1!E190</f>
        <v>75.16</v>
      </c>
      <c r="C211" s="24">
        <f t="shared" si="36"/>
        <v>1</v>
      </c>
      <c r="D211" s="719"/>
      <c r="E211" s="24">
        <f t="shared" si="37"/>
        <v>1</v>
      </c>
      <c r="F211" s="719"/>
      <c r="G211" s="24">
        <f t="shared" si="38"/>
        <v>1</v>
      </c>
      <c r="H211" s="719"/>
      <c r="I211" s="24">
        <f t="shared" si="39"/>
        <v>1</v>
      </c>
      <c r="J211" s="719"/>
      <c r="K211" s="24">
        <f t="shared" si="40"/>
        <v>1</v>
      </c>
      <c r="L211" s="719"/>
      <c r="M211" s="24">
        <f t="shared" si="41"/>
        <v>1</v>
      </c>
      <c r="N211" s="719"/>
      <c r="O211" s="24">
        <f t="shared" si="42"/>
        <v>1</v>
      </c>
      <c r="P211" s="719" t="s">
        <v>3120</v>
      </c>
      <c r="Q211" s="24">
        <f t="shared" si="43"/>
        <v>1</v>
      </c>
      <c r="R211" s="715">
        <f t="shared" ca="1" si="44"/>
        <v>27374</v>
      </c>
      <c r="S211" s="361">
        <f t="shared" ca="1" si="45"/>
        <v>206</v>
      </c>
      <c r="U211" s="3056" t="str">
        <f>Sheet1!C190</f>
        <v>24-21</v>
      </c>
      <c r="V211" s="799">
        <f>Sheet1!E190</f>
        <v>75.16</v>
      </c>
      <c r="W211" s="799">
        <f t="shared" si="35"/>
        <v>0</v>
      </c>
    </row>
    <row r="212" spans="1:23">
      <c r="A212" s="3043" t="str">
        <f>Sheet1!C191</f>
        <v>25-1</v>
      </c>
      <c r="B212" s="717">
        <f>Sheet1!E191</f>
        <v>58.19</v>
      </c>
      <c r="C212" s="24">
        <f t="shared" si="36"/>
        <v>1</v>
      </c>
      <c r="D212" s="719"/>
      <c r="E212" s="24">
        <f t="shared" si="37"/>
        <v>1</v>
      </c>
      <c r="F212" s="719"/>
      <c r="G212" s="24">
        <f t="shared" si="38"/>
        <v>1</v>
      </c>
      <c r="H212" s="719"/>
      <c r="I212" s="24">
        <f t="shared" si="39"/>
        <v>1</v>
      </c>
      <c r="J212" s="719"/>
      <c r="K212" s="24">
        <f t="shared" si="40"/>
        <v>1</v>
      </c>
      <c r="L212" s="719"/>
      <c r="M212" s="24">
        <f t="shared" si="41"/>
        <v>1</v>
      </c>
      <c r="N212" s="719"/>
      <c r="O212" s="24">
        <f t="shared" si="42"/>
        <v>1</v>
      </c>
      <c r="P212" s="719" t="s">
        <v>3120</v>
      </c>
      <c r="Q212" s="24">
        <f t="shared" si="43"/>
        <v>1</v>
      </c>
      <c r="R212" s="715">
        <f t="shared" ca="1" si="44"/>
        <v>27374</v>
      </c>
      <c r="S212" s="361">
        <f t="shared" ca="1" si="45"/>
        <v>159</v>
      </c>
      <c r="U212" s="3056" t="str">
        <f>Sheet1!C191</f>
        <v>25-1</v>
      </c>
      <c r="V212" s="799">
        <f>Sheet1!E191</f>
        <v>58.19</v>
      </c>
      <c r="W212" s="799">
        <f t="shared" si="35"/>
        <v>0</v>
      </c>
    </row>
    <row r="213" spans="1:23">
      <c r="A213" s="3043" t="str">
        <f>Sheet1!C192</f>
        <v>25-2</v>
      </c>
      <c r="B213" s="717">
        <f>Sheet1!E192</f>
        <v>58.19</v>
      </c>
      <c r="C213" s="24">
        <f t="shared" si="36"/>
        <v>1</v>
      </c>
      <c r="D213" s="719"/>
      <c r="E213" s="24">
        <f t="shared" si="37"/>
        <v>1</v>
      </c>
      <c r="F213" s="719"/>
      <c r="G213" s="24">
        <f t="shared" si="38"/>
        <v>1</v>
      </c>
      <c r="H213" s="719"/>
      <c r="I213" s="24">
        <f t="shared" si="39"/>
        <v>1</v>
      </c>
      <c r="J213" s="719"/>
      <c r="K213" s="24">
        <f t="shared" si="40"/>
        <v>1</v>
      </c>
      <c r="L213" s="719"/>
      <c r="M213" s="24">
        <f t="shared" si="41"/>
        <v>1</v>
      </c>
      <c r="N213" s="719"/>
      <c r="O213" s="24">
        <f t="shared" si="42"/>
        <v>1</v>
      </c>
      <c r="P213" s="719" t="s">
        <v>3120</v>
      </c>
      <c r="Q213" s="24">
        <f t="shared" si="43"/>
        <v>1</v>
      </c>
      <c r="R213" s="715">
        <f t="shared" ca="1" si="44"/>
        <v>27374</v>
      </c>
      <c r="S213" s="361">
        <f t="shared" ca="1" si="45"/>
        <v>159</v>
      </c>
      <c r="U213" s="3056" t="str">
        <f>Sheet1!C192</f>
        <v>25-2</v>
      </c>
      <c r="V213" s="799">
        <f>Sheet1!E192</f>
        <v>58.19</v>
      </c>
      <c r="W213" s="799">
        <f t="shared" si="35"/>
        <v>0</v>
      </c>
    </row>
    <row r="214" spans="1:23">
      <c r="A214" s="3043" t="str">
        <f>Sheet1!C193</f>
        <v>25-3</v>
      </c>
      <c r="B214" s="717">
        <f>Sheet1!E193</f>
        <v>94.24</v>
      </c>
      <c r="C214" s="24">
        <f t="shared" si="36"/>
        <v>1</v>
      </c>
      <c r="D214" s="719"/>
      <c r="E214" s="24">
        <f t="shared" si="37"/>
        <v>1</v>
      </c>
      <c r="F214" s="719"/>
      <c r="G214" s="24">
        <f t="shared" si="38"/>
        <v>1</v>
      </c>
      <c r="H214" s="719"/>
      <c r="I214" s="24">
        <f t="shared" si="39"/>
        <v>1</v>
      </c>
      <c r="J214" s="719"/>
      <c r="K214" s="24">
        <f t="shared" si="40"/>
        <v>1</v>
      </c>
      <c r="L214" s="719"/>
      <c r="M214" s="24">
        <f t="shared" si="41"/>
        <v>1</v>
      </c>
      <c r="N214" s="719"/>
      <c r="O214" s="24">
        <f t="shared" si="42"/>
        <v>1</v>
      </c>
      <c r="P214" s="719" t="s">
        <v>3120</v>
      </c>
      <c r="Q214" s="24">
        <f t="shared" si="43"/>
        <v>1</v>
      </c>
      <c r="R214" s="715">
        <f t="shared" ca="1" si="44"/>
        <v>27374</v>
      </c>
      <c r="S214" s="361">
        <f t="shared" ca="1" si="45"/>
        <v>258</v>
      </c>
      <c r="U214" s="3056" t="str">
        <f>Sheet1!C193</f>
        <v>25-3</v>
      </c>
      <c r="V214" s="799">
        <f>Sheet1!E193</f>
        <v>94.24</v>
      </c>
      <c r="W214" s="799">
        <f t="shared" si="35"/>
        <v>0</v>
      </c>
    </row>
    <row r="215" spans="1:23">
      <c r="A215" s="3043" t="str">
        <f>Sheet1!C194</f>
        <v>25-4</v>
      </c>
      <c r="B215" s="717">
        <f>Sheet1!E194</f>
        <v>103.18</v>
      </c>
      <c r="C215" s="24">
        <f t="shared" si="36"/>
        <v>0.99</v>
      </c>
      <c r="D215" s="719"/>
      <c r="E215" s="24">
        <f t="shared" si="37"/>
        <v>1</v>
      </c>
      <c r="F215" s="719"/>
      <c r="G215" s="24">
        <f t="shared" si="38"/>
        <v>1</v>
      </c>
      <c r="H215" s="719"/>
      <c r="I215" s="24">
        <f t="shared" si="39"/>
        <v>1</v>
      </c>
      <c r="J215" s="719"/>
      <c r="K215" s="24">
        <f t="shared" si="40"/>
        <v>1</v>
      </c>
      <c r="L215" s="719"/>
      <c r="M215" s="24">
        <f t="shared" si="41"/>
        <v>1</v>
      </c>
      <c r="N215" s="719"/>
      <c r="O215" s="24">
        <f t="shared" si="42"/>
        <v>1</v>
      </c>
      <c r="P215" s="719" t="s">
        <v>3120</v>
      </c>
      <c r="Q215" s="24">
        <f t="shared" si="43"/>
        <v>1</v>
      </c>
      <c r="R215" s="715">
        <f t="shared" ca="1" si="44"/>
        <v>27100</v>
      </c>
      <c r="S215" s="361">
        <f t="shared" ca="1" si="45"/>
        <v>280</v>
      </c>
      <c r="U215" s="3056" t="str">
        <f>Sheet1!C194</f>
        <v>25-4</v>
      </c>
      <c r="V215" s="799">
        <f>Sheet1!E194</f>
        <v>103.18</v>
      </c>
      <c r="W215" s="799">
        <f t="shared" si="35"/>
        <v>0</v>
      </c>
    </row>
    <row r="216" spans="1:23">
      <c r="A216" s="3043" t="str">
        <f>Sheet1!C195</f>
        <v>25-5</v>
      </c>
      <c r="B216" s="717">
        <f>Sheet1!E195</f>
        <v>83.61</v>
      </c>
      <c r="C216" s="24">
        <f t="shared" si="36"/>
        <v>1</v>
      </c>
      <c r="D216" s="719"/>
      <c r="E216" s="24">
        <f t="shared" si="37"/>
        <v>1</v>
      </c>
      <c r="F216" s="719"/>
      <c r="G216" s="24">
        <f t="shared" si="38"/>
        <v>1</v>
      </c>
      <c r="H216" s="719"/>
      <c r="I216" s="24">
        <f t="shared" si="39"/>
        <v>1</v>
      </c>
      <c r="J216" s="719"/>
      <c r="K216" s="24">
        <f t="shared" si="40"/>
        <v>1</v>
      </c>
      <c r="L216" s="719"/>
      <c r="M216" s="24">
        <f t="shared" si="41"/>
        <v>1</v>
      </c>
      <c r="N216" s="719"/>
      <c r="O216" s="24">
        <f t="shared" si="42"/>
        <v>1</v>
      </c>
      <c r="P216" s="719" t="s">
        <v>3120</v>
      </c>
      <c r="Q216" s="24">
        <f t="shared" si="43"/>
        <v>1</v>
      </c>
      <c r="R216" s="715">
        <f t="shared" ca="1" si="44"/>
        <v>27374</v>
      </c>
      <c r="S216" s="361">
        <f t="shared" ca="1" si="45"/>
        <v>229</v>
      </c>
      <c r="U216" s="3056" t="str">
        <f>Sheet1!C195</f>
        <v>25-5</v>
      </c>
      <c r="V216" s="799">
        <f>Sheet1!E195</f>
        <v>83.61</v>
      </c>
      <c r="W216" s="799">
        <f t="shared" si="35"/>
        <v>0</v>
      </c>
    </row>
    <row r="217" spans="1:23">
      <c r="A217" s="3043" t="str">
        <f>Sheet1!C196</f>
        <v>25-6</v>
      </c>
      <c r="B217" s="717">
        <f>Sheet1!E196</f>
        <v>94.24</v>
      </c>
      <c r="C217" s="24">
        <f t="shared" si="36"/>
        <v>1</v>
      </c>
      <c r="D217" s="719"/>
      <c r="E217" s="24">
        <f t="shared" si="37"/>
        <v>1</v>
      </c>
      <c r="F217" s="719"/>
      <c r="G217" s="24">
        <f t="shared" si="38"/>
        <v>1</v>
      </c>
      <c r="H217" s="719"/>
      <c r="I217" s="24">
        <f t="shared" si="39"/>
        <v>1</v>
      </c>
      <c r="J217" s="719"/>
      <c r="K217" s="24">
        <f t="shared" si="40"/>
        <v>1</v>
      </c>
      <c r="L217" s="719"/>
      <c r="M217" s="24">
        <f t="shared" si="41"/>
        <v>1</v>
      </c>
      <c r="N217" s="719"/>
      <c r="O217" s="24">
        <f t="shared" si="42"/>
        <v>1</v>
      </c>
      <c r="P217" s="719" t="s">
        <v>3120</v>
      </c>
      <c r="Q217" s="24">
        <f t="shared" si="43"/>
        <v>1</v>
      </c>
      <c r="R217" s="715">
        <f t="shared" ca="1" si="44"/>
        <v>27374</v>
      </c>
      <c r="S217" s="361">
        <f t="shared" ca="1" si="45"/>
        <v>258</v>
      </c>
      <c r="U217" s="3056" t="str">
        <f>Sheet1!C196</f>
        <v>25-6</v>
      </c>
      <c r="V217" s="799">
        <f>Sheet1!E196</f>
        <v>94.24</v>
      </c>
      <c r="W217" s="799">
        <f t="shared" ref="W217:W280" si="46">B217-V217</f>
        <v>0</v>
      </c>
    </row>
    <row r="218" spans="1:23">
      <c r="A218" s="3043" t="str">
        <f>Sheet1!C197</f>
        <v>25-7</v>
      </c>
      <c r="B218" s="717">
        <f>Sheet1!E197</f>
        <v>94.24</v>
      </c>
      <c r="C218" s="24">
        <f t="shared" ref="C218:C281" si="47">IF(B218="",1,(LOOKUP(B218,$3:$3,$4:$4)-LOOKUP($B$24,$3:$3,$4:$4)+100)/100)</f>
        <v>1</v>
      </c>
      <c r="D218" s="719"/>
      <c r="E218" s="24">
        <f t="shared" ref="E218:E281" si="48">(SUMIF($5:$5,D218,$6:$6)-SUMIF($5:$5,$D$24,$6:$6)+100)/100</f>
        <v>1</v>
      </c>
      <c r="F218" s="719"/>
      <c r="G218" s="24">
        <f t="shared" ref="G218:G281" si="49">(SUMIF($7:$7,F218,$8:$8)-SUMIF($7:$7,$F$24,$8:$8)+100)/100</f>
        <v>1</v>
      </c>
      <c r="H218" s="719"/>
      <c r="I218" s="24">
        <f t="shared" ref="I218:I281" si="50">(SUMIF($9:$9,H218,$10:$10)-SUMIF($9:$9,$H$24,$10:$10)+100)/100</f>
        <v>1</v>
      </c>
      <c r="J218" s="719"/>
      <c r="K218" s="24">
        <f t="shared" ref="K218:K281" si="51">(SUMIF($11:$11,J218,$12:$12)-SUMIF($11:$11,$J$24,$12:$12)+100)/100</f>
        <v>1</v>
      </c>
      <c r="L218" s="719"/>
      <c r="M218" s="24">
        <f t="shared" ref="M218:M281" si="52">(SUMIF($13:$13,L218,$14:$14)-SUMIF($13:$13,$L$24,$14:$14)+100)/100</f>
        <v>1</v>
      </c>
      <c r="N218" s="719"/>
      <c r="O218" s="24">
        <f t="shared" ref="O218:O281" si="53">(SUMIF($15:$15,N218,$16:$16)-SUMIF($15:$15,$N$24,$16:$16)+100)/100</f>
        <v>1</v>
      </c>
      <c r="P218" s="719" t="s">
        <v>3120</v>
      </c>
      <c r="Q218" s="24">
        <f t="shared" ref="Q218:Q281" si="54">(SUMIF($17:$17,P218,$18:$18)-SUMIF($17:$17,$P$24,$18:$18)+100)/100</f>
        <v>1</v>
      </c>
      <c r="R218" s="715">
        <f t="shared" ref="R218:R281" ca="1" si="55">IF(B218="",0,ROUND($R$24*C218*E218*G218*I218*K218*M218*O218*Q218,0))</f>
        <v>27374</v>
      </c>
      <c r="S218" s="361">
        <f t="shared" ca="1" si="45"/>
        <v>258</v>
      </c>
      <c r="U218" s="3056" t="str">
        <f>Sheet1!C197</f>
        <v>25-7</v>
      </c>
      <c r="V218" s="799">
        <f>Sheet1!E197</f>
        <v>94.24</v>
      </c>
      <c r="W218" s="799">
        <f t="shared" si="46"/>
        <v>0</v>
      </c>
    </row>
    <row r="219" spans="1:23">
      <c r="A219" s="3043" t="str">
        <f>Sheet1!C198</f>
        <v>25-8</v>
      </c>
      <c r="B219" s="717">
        <f>Sheet1!E198</f>
        <v>103.18</v>
      </c>
      <c r="C219" s="24">
        <f t="shared" si="47"/>
        <v>0.99</v>
      </c>
      <c r="D219" s="719"/>
      <c r="E219" s="24">
        <f t="shared" si="48"/>
        <v>1</v>
      </c>
      <c r="F219" s="719"/>
      <c r="G219" s="24">
        <f t="shared" si="49"/>
        <v>1</v>
      </c>
      <c r="H219" s="719"/>
      <c r="I219" s="24">
        <f t="shared" si="50"/>
        <v>1</v>
      </c>
      <c r="J219" s="719"/>
      <c r="K219" s="24">
        <f t="shared" si="51"/>
        <v>1</v>
      </c>
      <c r="L219" s="719"/>
      <c r="M219" s="24">
        <f t="shared" si="52"/>
        <v>1</v>
      </c>
      <c r="N219" s="719"/>
      <c r="O219" s="24">
        <f t="shared" si="53"/>
        <v>1</v>
      </c>
      <c r="P219" s="719" t="s">
        <v>3120</v>
      </c>
      <c r="Q219" s="24">
        <f t="shared" si="54"/>
        <v>1</v>
      </c>
      <c r="R219" s="715">
        <f t="shared" ca="1" si="55"/>
        <v>27100</v>
      </c>
      <c r="S219" s="361">
        <f t="shared" ca="1" si="45"/>
        <v>280</v>
      </c>
      <c r="U219" s="3056" t="str">
        <f>Sheet1!C198</f>
        <v>25-8</v>
      </c>
      <c r="V219" s="799">
        <f>Sheet1!E198</f>
        <v>103.18</v>
      </c>
      <c r="W219" s="799">
        <f t="shared" si="46"/>
        <v>0</v>
      </c>
    </row>
    <row r="220" spans="1:23">
      <c r="A220" s="3043" t="str">
        <f>Sheet1!C199</f>
        <v>25-9</v>
      </c>
      <c r="B220" s="717">
        <f>Sheet1!E199</f>
        <v>83.61</v>
      </c>
      <c r="C220" s="24">
        <f t="shared" si="47"/>
        <v>1</v>
      </c>
      <c r="D220" s="719"/>
      <c r="E220" s="24">
        <f t="shared" si="48"/>
        <v>1</v>
      </c>
      <c r="F220" s="719"/>
      <c r="G220" s="24">
        <f t="shared" si="49"/>
        <v>1</v>
      </c>
      <c r="H220" s="719"/>
      <c r="I220" s="24">
        <f t="shared" si="50"/>
        <v>1</v>
      </c>
      <c r="J220" s="719"/>
      <c r="K220" s="24">
        <f t="shared" si="51"/>
        <v>1</v>
      </c>
      <c r="L220" s="719"/>
      <c r="M220" s="24">
        <f t="shared" si="52"/>
        <v>1</v>
      </c>
      <c r="N220" s="719"/>
      <c r="O220" s="24">
        <f t="shared" si="53"/>
        <v>1</v>
      </c>
      <c r="P220" s="719" t="s">
        <v>3120</v>
      </c>
      <c r="Q220" s="24">
        <f t="shared" si="54"/>
        <v>1</v>
      </c>
      <c r="R220" s="715">
        <f t="shared" ca="1" si="55"/>
        <v>27374</v>
      </c>
      <c r="S220" s="361">
        <f t="shared" ca="1" si="45"/>
        <v>229</v>
      </c>
      <c r="U220" s="3056" t="str">
        <f>Sheet1!C199</f>
        <v>25-9</v>
      </c>
      <c r="V220" s="799">
        <f>Sheet1!E199</f>
        <v>83.61</v>
      </c>
      <c r="W220" s="799">
        <f t="shared" si="46"/>
        <v>0</v>
      </c>
    </row>
    <row r="221" spans="1:23">
      <c r="A221" s="3043" t="str">
        <f>Sheet1!C200</f>
        <v>25-10</v>
      </c>
      <c r="B221" s="717">
        <f>Sheet1!E200</f>
        <v>94.24</v>
      </c>
      <c r="C221" s="24">
        <f t="shared" si="47"/>
        <v>1</v>
      </c>
      <c r="D221" s="719"/>
      <c r="E221" s="24">
        <f t="shared" si="48"/>
        <v>1</v>
      </c>
      <c r="F221" s="719"/>
      <c r="G221" s="24">
        <f t="shared" si="49"/>
        <v>1</v>
      </c>
      <c r="H221" s="719"/>
      <c r="I221" s="24">
        <f t="shared" si="50"/>
        <v>1</v>
      </c>
      <c r="J221" s="719"/>
      <c r="K221" s="24">
        <f t="shared" si="51"/>
        <v>1</v>
      </c>
      <c r="L221" s="719"/>
      <c r="M221" s="24">
        <f t="shared" si="52"/>
        <v>1</v>
      </c>
      <c r="N221" s="719"/>
      <c r="O221" s="24">
        <f t="shared" si="53"/>
        <v>1</v>
      </c>
      <c r="P221" s="719" t="s">
        <v>3120</v>
      </c>
      <c r="Q221" s="24">
        <f t="shared" si="54"/>
        <v>1</v>
      </c>
      <c r="R221" s="715">
        <f t="shared" ca="1" si="55"/>
        <v>27374</v>
      </c>
      <c r="S221" s="361">
        <f t="shared" ca="1" si="45"/>
        <v>258</v>
      </c>
      <c r="U221" s="3056" t="str">
        <f>Sheet1!C200</f>
        <v>25-10</v>
      </c>
      <c r="V221" s="799">
        <f>Sheet1!E200</f>
        <v>94.24</v>
      </c>
      <c r="W221" s="799">
        <f t="shared" si="46"/>
        <v>0</v>
      </c>
    </row>
    <row r="222" spans="1:23">
      <c r="A222" s="3043" t="str">
        <f>Sheet1!C201</f>
        <v>26-1</v>
      </c>
      <c r="B222" s="717">
        <f>Sheet1!E201</f>
        <v>97.33</v>
      </c>
      <c r="C222" s="24">
        <f t="shared" si="47"/>
        <v>1</v>
      </c>
      <c r="D222" s="719"/>
      <c r="E222" s="24">
        <f t="shared" si="48"/>
        <v>1</v>
      </c>
      <c r="F222" s="719"/>
      <c r="G222" s="24">
        <f t="shared" si="49"/>
        <v>1</v>
      </c>
      <c r="H222" s="719"/>
      <c r="I222" s="24">
        <f t="shared" si="50"/>
        <v>1</v>
      </c>
      <c r="J222" s="719"/>
      <c r="K222" s="24">
        <f t="shared" si="51"/>
        <v>1</v>
      </c>
      <c r="L222" s="719"/>
      <c r="M222" s="24">
        <f t="shared" si="52"/>
        <v>1</v>
      </c>
      <c r="N222" s="719"/>
      <c r="O222" s="24">
        <f t="shared" si="53"/>
        <v>1</v>
      </c>
      <c r="P222" s="719" t="s">
        <v>3120</v>
      </c>
      <c r="Q222" s="24">
        <f t="shared" si="54"/>
        <v>1</v>
      </c>
      <c r="R222" s="715">
        <f t="shared" ca="1" si="55"/>
        <v>27374</v>
      </c>
      <c r="S222" s="361">
        <f t="shared" ca="1" si="45"/>
        <v>266</v>
      </c>
      <c r="U222" s="3056" t="str">
        <f>Sheet1!C201</f>
        <v>26-1</v>
      </c>
      <c r="V222" s="799">
        <f>Sheet1!E201</f>
        <v>97.33</v>
      </c>
      <c r="W222" s="799">
        <f t="shared" si="46"/>
        <v>0</v>
      </c>
    </row>
    <row r="223" spans="1:23">
      <c r="A223" s="3043" t="str">
        <f>Sheet1!C202</f>
        <v>26-2</v>
      </c>
      <c r="B223" s="717">
        <f>Sheet1!E202</f>
        <v>106.34</v>
      </c>
      <c r="C223" s="24">
        <f t="shared" si="47"/>
        <v>0.99</v>
      </c>
      <c r="D223" s="719"/>
      <c r="E223" s="24">
        <f t="shared" si="48"/>
        <v>1</v>
      </c>
      <c r="F223" s="719"/>
      <c r="G223" s="24">
        <f t="shared" si="49"/>
        <v>1</v>
      </c>
      <c r="H223" s="719"/>
      <c r="I223" s="24">
        <f t="shared" si="50"/>
        <v>1</v>
      </c>
      <c r="J223" s="719"/>
      <c r="K223" s="24">
        <f t="shared" si="51"/>
        <v>1</v>
      </c>
      <c r="L223" s="719"/>
      <c r="M223" s="24">
        <f t="shared" si="52"/>
        <v>1</v>
      </c>
      <c r="N223" s="719"/>
      <c r="O223" s="24">
        <f t="shared" si="53"/>
        <v>1</v>
      </c>
      <c r="P223" s="719" t="s">
        <v>3120</v>
      </c>
      <c r="Q223" s="24">
        <f t="shared" si="54"/>
        <v>1</v>
      </c>
      <c r="R223" s="715">
        <f t="shared" ca="1" si="55"/>
        <v>27100</v>
      </c>
      <c r="S223" s="361">
        <f t="shared" ref="S223:S286" ca="1" si="56">ROUND(R223*B223/10000,0)</f>
        <v>288</v>
      </c>
      <c r="U223" s="3056" t="str">
        <f>Sheet1!C202</f>
        <v>26-2</v>
      </c>
      <c r="V223" s="799">
        <f>Sheet1!E202</f>
        <v>106.34</v>
      </c>
      <c r="W223" s="799">
        <f t="shared" si="46"/>
        <v>0</v>
      </c>
    </row>
    <row r="224" spans="1:23">
      <c r="A224" s="3043" t="str">
        <f>Sheet1!C203</f>
        <v>26-3</v>
      </c>
      <c r="B224" s="717">
        <f>Sheet1!E203</f>
        <v>86.4</v>
      </c>
      <c r="C224" s="24">
        <f t="shared" si="47"/>
        <v>1</v>
      </c>
      <c r="D224" s="719"/>
      <c r="E224" s="24">
        <f t="shared" si="48"/>
        <v>1</v>
      </c>
      <c r="F224" s="719"/>
      <c r="G224" s="24">
        <f t="shared" si="49"/>
        <v>1</v>
      </c>
      <c r="H224" s="719"/>
      <c r="I224" s="24">
        <f t="shared" si="50"/>
        <v>1</v>
      </c>
      <c r="J224" s="719"/>
      <c r="K224" s="24">
        <f t="shared" si="51"/>
        <v>1</v>
      </c>
      <c r="L224" s="719"/>
      <c r="M224" s="24">
        <f t="shared" si="52"/>
        <v>1</v>
      </c>
      <c r="N224" s="719"/>
      <c r="O224" s="24">
        <f t="shared" si="53"/>
        <v>1</v>
      </c>
      <c r="P224" s="719" t="s">
        <v>3120</v>
      </c>
      <c r="Q224" s="24">
        <f t="shared" si="54"/>
        <v>1</v>
      </c>
      <c r="R224" s="715">
        <f t="shared" ca="1" si="55"/>
        <v>27374</v>
      </c>
      <c r="S224" s="361">
        <f t="shared" ca="1" si="56"/>
        <v>237</v>
      </c>
      <c r="U224" s="3056" t="str">
        <f>Sheet1!C203</f>
        <v>26-3</v>
      </c>
      <c r="V224" s="799">
        <f>Sheet1!E203</f>
        <v>86.4</v>
      </c>
      <c r="W224" s="799">
        <f t="shared" si="46"/>
        <v>0</v>
      </c>
    </row>
    <row r="225" spans="1:23">
      <c r="A225" s="3043" t="str">
        <f>Sheet1!C204</f>
        <v>26-4</v>
      </c>
      <c r="B225" s="717">
        <f>Sheet1!E204</f>
        <v>97.33</v>
      </c>
      <c r="C225" s="24">
        <f t="shared" si="47"/>
        <v>1</v>
      </c>
      <c r="D225" s="719"/>
      <c r="E225" s="24">
        <f t="shared" si="48"/>
        <v>1</v>
      </c>
      <c r="F225" s="719"/>
      <c r="G225" s="24">
        <f t="shared" si="49"/>
        <v>1</v>
      </c>
      <c r="H225" s="719"/>
      <c r="I225" s="24">
        <f t="shared" si="50"/>
        <v>1</v>
      </c>
      <c r="J225" s="719"/>
      <c r="K225" s="24">
        <f t="shared" si="51"/>
        <v>1</v>
      </c>
      <c r="L225" s="719"/>
      <c r="M225" s="24">
        <f t="shared" si="52"/>
        <v>1</v>
      </c>
      <c r="N225" s="719"/>
      <c r="O225" s="24">
        <f t="shared" si="53"/>
        <v>1</v>
      </c>
      <c r="P225" s="719" t="s">
        <v>3120</v>
      </c>
      <c r="Q225" s="24">
        <f t="shared" si="54"/>
        <v>1</v>
      </c>
      <c r="R225" s="715">
        <f t="shared" ca="1" si="55"/>
        <v>27374</v>
      </c>
      <c r="S225" s="361">
        <f t="shared" ca="1" si="56"/>
        <v>266</v>
      </c>
      <c r="U225" s="3056" t="str">
        <f>Sheet1!C204</f>
        <v>26-4</v>
      </c>
      <c r="V225" s="799">
        <f>Sheet1!E204</f>
        <v>97.33</v>
      </c>
      <c r="W225" s="799">
        <f t="shared" si="46"/>
        <v>0</v>
      </c>
    </row>
    <row r="226" spans="1:23">
      <c r="A226" s="3043" t="str">
        <f>Sheet1!C205</f>
        <v>26-5</v>
      </c>
      <c r="B226" s="717">
        <f>Sheet1!E205</f>
        <v>97.33</v>
      </c>
      <c r="C226" s="24">
        <f t="shared" si="47"/>
        <v>1</v>
      </c>
      <c r="D226" s="719"/>
      <c r="E226" s="24">
        <f t="shared" si="48"/>
        <v>1</v>
      </c>
      <c r="F226" s="719"/>
      <c r="G226" s="24">
        <f t="shared" si="49"/>
        <v>1</v>
      </c>
      <c r="H226" s="719"/>
      <c r="I226" s="24">
        <f t="shared" si="50"/>
        <v>1</v>
      </c>
      <c r="J226" s="719"/>
      <c r="K226" s="24">
        <f t="shared" si="51"/>
        <v>1</v>
      </c>
      <c r="L226" s="719"/>
      <c r="M226" s="24">
        <f t="shared" si="52"/>
        <v>1</v>
      </c>
      <c r="N226" s="719"/>
      <c r="O226" s="24">
        <f t="shared" si="53"/>
        <v>1</v>
      </c>
      <c r="P226" s="719" t="s">
        <v>3120</v>
      </c>
      <c r="Q226" s="24">
        <f t="shared" si="54"/>
        <v>1</v>
      </c>
      <c r="R226" s="715">
        <f t="shared" ca="1" si="55"/>
        <v>27374</v>
      </c>
      <c r="S226" s="361">
        <f t="shared" ca="1" si="56"/>
        <v>266</v>
      </c>
      <c r="U226" s="3056" t="str">
        <f>Sheet1!C205</f>
        <v>26-5</v>
      </c>
      <c r="V226" s="799">
        <f>Sheet1!E205</f>
        <v>97.33</v>
      </c>
      <c r="W226" s="799">
        <f t="shared" si="46"/>
        <v>0</v>
      </c>
    </row>
    <row r="227" spans="1:23">
      <c r="A227" s="3043" t="str">
        <f>Sheet1!C206</f>
        <v>26-6</v>
      </c>
      <c r="B227" s="717">
        <f>Sheet1!E206</f>
        <v>106.34</v>
      </c>
      <c r="C227" s="24">
        <f t="shared" si="47"/>
        <v>0.99</v>
      </c>
      <c r="D227" s="719"/>
      <c r="E227" s="24">
        <f t="shared" si="48"/>
        <v>1</v>
      </c>
      <c r="F227" s="719"/>
      <c r="G227" s="24">
        <f t="shared" si="49"/>
        <v>1</v>
      </c>
      <c r="H227" s="719"/>
      <c r="I227" s="24">
        <f t="shared" si="50"/>
        <v>1</v>
      </c>
      <c r="J227" s="719"/>
      <c r="K227" s="24">
        <f t="shared" si="51"/>
        <v>1</v>
      </c>
      <c r="L227" s="719"/>
      <c r="M227" s="24">
        <f t="shared" si="52"/>
        <v>1</v>
      </c>
      <c r="N227" s="719"/>
      <c r="O227" s="24">
        <f t="shared" si="53"/>
        <v>1</v>
      </c>
      <c r="P227" s="719" t="s">
        <v>3120</v>
      </c>
      <c r="Q227" s="24">
        <f t="shared" si="54"/>
        <v>1</v>
      </c>
      <c r="R227" s="715">
        <f t="shared" ca="1" si="55"/>
        <v>27100</v>
      </c>
      <c r="S227" s="361">
        <f t="shared" ca="1" si="56"/>
        <v>288</v>
      </c>
      <c r="U227" s="3056" t="str">
        <f>Sheet1!C206</f>
        <v>26-6</v>
      </c>
      <c r="V227" s="799">
        <f>Sheet1!E206</f>
        <v>106.34</v>
      </c>
      <c r="W227" s="799">
        <f t="shared" si="46"/>
        <v>0</v>
      </c>
    </row>
    <row r="228" spans="1:23">
      <c r="A228" s="3043" t="str">
        <f>Sheet1!C207</f>
        <v>26-7</v>
      </c>
      <c r="B228" s="717">
        <f>Sheet1!E207</f>
        <v>86.4</v>
      </c>
      <c r="C228" s="24">
        <f t="shared" si="47"/>
        <v>1</v>
      </c>
      <c r="D228" s="719"/>
      <c r="E228" s="24">
        <f t="shared" si="48"/>
        <v>1</v>
      </c>
      <c r="F228" s="719"/>
      <c r="G228" s="24">
        <f t="shared" si="49"/>
        <v>1</v>
      </c>
      <c r="H228" s="719"/>
      <c r="I228" s="24">
        <f t="shared" si="50"/>
        <v>1</v>
      </c>
      <c r="J228" s="719"/>
      <c r="K228" s="24">
        <f t="shared" si="51"/>
        <v>1</v>
      </c>
      <c r="L228" s="719"/>
      <c r="M228" s="24">
        <f t="shared" si="52"/>
        <v>1</v>
      </c>
      <c r="N228" s="719"/>
      <c r="O228" s="24">
        <f t="shared" si="53"/>
        <v>1</v>
      </c>
      <c r="P228" s="719" t="s">
        <v>3120</v>
      </c>
      <c r="Q228" s="24">
        <f t="shared" si="54"/>
        <v>1</v>
      </c>
      <c r="R228" s="715">
        <f t="shared" ca="1" si="55"/>
        <v>27374</v>
      </c>
      <c r="S228" s="361">
        <f t="shared" ca="1" si="56"/>
        <v>237</v>
      </c>
      <c r="U228" s="3056" t="str">
        <f>Sheet1!C207</f>
        <v>26-7</v>
      </c>
      <c r="V228" s="799">
        <f>Sheet1!E207</f>
        <v>86.4</v>
      </c>
      <c r="W228" s="799">
        <f t="shared" si="46"/>
        <v>0</v>
      </c>
    </row>
    <row r="229" spans="1:23">
      <c r="A229" s="3043" t="str">
        <f>Sheet1!C208</f>
        <v>26-8</v>
      </c>
      <c r="B229" s="717">
        <f>Sheet1!E208</f>
        <v>97.33</v>
      </c>
      <c r="C229" s="24">
        <f t="shared" si="47"/>
        <v>1</v>
      </c>
      <c r="D229" s="719"/>
      <c r="E229" s="24">
        <f t="shared" si="48"/>
        <v>1</v>
      </c>
      <c r="F229" s="719"/>
      <c r="G229" s="24">
        <f t="shared" si="49"/>
        <v>1</v>
      </c>
      <c r="H229" s="719"/>
      <c r="I229" s="24">
        <f t="shared" si="50"/>
        <v>1</v>
      </c>
      <c r="J229" s="719"/>
      <c r="K229" s="24">
        <f t="shared" si="51"/>
        <v>1</v>
      </c>
      <c r="L229" s="719"/>
      <c r="M229" s="24">
        <f t="shared" si="52"/>
        <v>1</v>
      </c>
      <c r="N229" s="719"/>
      <c r="O229" s="24">
        <f t="shared" si="53"/>
        <v>1</v>
      </c>
      <c r="P229" s="719" t="s">
        <v>3120</v>
      </c>
      <c r="Q229" s="24">
        <f t="shared" si="54"/>
        <v>1</v>
      </c>
      <c r="R229" s="715">
        <f t="shared" ca="1" si="55"/>
        <v>27374</v>
      </c>
      <c r="S229" s="361">
        <f t="shared" ca="1" si="56"/>
        <v>266</v>
      </c>
      <c r="U229" s="3056" t="str">
        <f>Sheet1!C208</f>
        <v>26-8</v>
      </c>
      <c r="V229" s="799">
        <f>Sheet1!E208</f>
        <v>97.33</v>
      </c>
      <c r="W229" s="799">
        <f t="shared" si="46"/>
        <v>0</v>
      </c>
    </row>
    <row r="230" spans="1:23">
      <c r="A230" s="3043" t="str">
        <f>Sheet1!C209</f>
        <v>26-9</v>
      </c>
      <c r="B230" s="717">
        <f>Sheet1!E209</f>
        <v>79.819999999999993</v>
      </c>
      <c r="C230" s="24">
        <f t="shared" si="47"/>
        <v>1</v>
      </c>
      <c r="D230" s="719"/>
      <c r="E230" s="24">
        <f t="shared" si="48"/>
        <v>1</v>
      </c>
      <c r="F230" s="719"/>
      <c r="G230" s="24">
        <f t="shared" si="49"/>
        <v>1</v>
      </c>
      <c r="H230" s="719"/>
      <c r="I230" s="24">
        <f t="shared" si="50"/>
        <v>1</v>
      </c>
      <c r="J230" s="719"/>
      <c r="K230" s="24">
        <f t="shared" si="51"/>
        <v>1</v>
      </c>
      <c r="L230" s="719"/>
      <c r="M230" s="24">
        <f t="shared" si="52"/>
        <v>1</v>
      </c>
      <c r="N230" s="719"/>
      <c r="O230" s="24">
        <f t="shared" si="53"/>
        <v>1</v>
      </c>
      <c r="P230" s="719" t="s">
        <v>3120</v>
      </c>
      <c r="Q230" s="24">
        <f t="shared" si="54"/>
        <v>1</v>
      </c>
      <c r="R230" s="715">
        <f t="shared" ca="1" si="55"/>
        <v>27374</v>
      </c>
      <c r="S230" s="361">
        <f t="shared" ca="1" si="56"/>
        <v>218</v>
      </c>
      <c r="U230" s="3056" t="str">
        <f>Sheet1!C209</f>
        <v>26-9</v>
      </c>
      <c r="V230" s="799">
        <f>Sheet1!E209</f>
        <v>79.819999999999993</v>
      </c>
      <c r="W230" s="799">
        <f t="shared" si="46"/>
        <v>0</v>
      </c>
    </row>
    <row r="231" spans="1:23">
      <c r="A231" s="3043" t="str">
        <f>Sheet1!C210</f>
        <v>27-1</v>
      </c>
      <c r="B231" s="717">
        <f>Sheet1!E210</f>
        <v>131.16</v>
      </c>
      <c r="C231" s="24">
        <f t="shared" si="47"/>
        <v>0.99</v>
      </c>
      <c r="D231" s="719"/>
      <c r="E231" s="24">
        <f t="shared" si="48"/>
        <v>1</v>
      </c>
      <c r="F231" s="719"/>
      <c r="G231" s="24">
        <f t="shared" si="49"/>
        <v>1</v>
      </c>
      <c r="H231" s="719"/>
      <c r="I231" s="24">
        <f t="shared" si="50"/>
        <v>1</v>
      </c>
      <c r="J231" s="719"/>
      <c r="K231" s="24">
        <f t="shared" si="51"/>
        <v>1</v>
      </c>
      <c r="L231" s="719"/>
      <c r="M231" s="24">
        <f t="shared" si="52"/>
        <v>1</v>
      </c>
      <c r="N231" s="719"/>
      <c r="O231" s="24">
        <f t="shared" si="53"/>
        <v>1</v>
      </c>
      <c r="P231" s="719" t="s">
        <v>3120</v>
      </c>
      <c r="Q231" s="24">
        <f t="shared" si="54"/>
        <v>1</v>
      </c>
      <c r="R231" s="715">
        <f t="shared" ca="1" si="55"/>
        <v>27100</v>
      </c>
      <c r="S231" s="361">
        <f t="shared" ca="1" si="56"/>
        <v>355</v>
      </c>
      <c r="U231" s="3056" t="str">
        <f>Sheet1!C210</f>
        <v>27-1</v>
      </c>
      <c r="V231" s="799">
        <f>Sheet1!E210</f>
        <v>131.16</v>
      </c>
      <c r="W231" s="799">
        <f t="shared" si="46"/>
        <v>0</v>
      </c>
    </row>
    <row r="232" spans="1:23">
      <c r="A232" s="3043" t="str">
        <f>Sheet1!C211</f>
        <v>27-2</v>
      </c>
      <c r="B232" s="717">
        <f>Sheet1!E211</f>
        <v>47.08</v>
      </c>
      <c r="C232" s="24">
        <f t="shared" si="47"/>
        <v>1</v>
      </c>
      <c r="D232" s="719"/>
      <c r="E232" s="24">
        <f t="shared" si="48"/>
        <v>1</v>
      </c>
      <c r="F232" s="719"/>
      <c r="G232" s="24">
        <f t="shared" si="49"/>
        <v>1</v>
      </c>
      <c r="H232" s="719"/>
      <c r="I232" s="24">
        <f t="shared" si="50"/>
        <v>1</v>
      </c>
      <c r="J232" s="719"/>
      <c r="K232" s="24">
        <f t="shared" si="51"/>
        <v>1</v>
      </c>
      <c r="L232" s="719"/>
      <c r="M232" s="24">
        <f t="shared" si="52"/>
        <v>1</v>
      </c>
      <c r="N232" s="719"/>
      <c r="O232" s="24">
        <f t="shared" si="53"/>
        <v>1</v>
      </c>
      <c r="P232" s="719" t="s">
        <v>3120</v>
      </c>
      <c r="Q232" s="24">
        <f t="shared" si="54"/>
        <v>1</v>
      </c>
      <c r="R232" s="715">
        <f t="shared" ca="1" si="55"/>
        <v>27374</v>
      </c>
      <c r="S232" s="361">
        <f t="shared" ca="1" si="56"/>
        <v>129</v>
      </c>
      <c r="U232" s="3056" t="str">
        <f>Sheet1!C211</f>
        <v>27-2</v>
      </c>
      <c r="V232" s="799">
        <f>Sheet1!E211</f>
        <v>47.08</v>
      </c>
      <c r="W232" s="799">
        <f t="shared" si="46"/>
        <v>0</v>
      </c>
    </row>
    <row r="233" spans="1:23">
      <c r="A233" s="3043" t="str">
        <f>Sheet1!C212</f>
        <v>27-3</v>
      </c>
      <c r="B233" s="717">
        <f>Sheet1!E212</f>
        <v>60.17</v>
      </c>
      <c r="C233" s="24">
        <f t="shared" si="47"/>
        <v>1</v>
      </c>
      <c r="D233" s="719"/>
      <c r="E233" s="24">
        <f t="shared" si="48"/>
        <v>1</v>
      </c>
      <c r="F233" s="719"/>
      <c r="G233" s="24">
        <f t="shared" si="49"/>
        <v>1</v>
      </c>
      <c r="H233" s="719"/>
      <c r="I233" s="24">
        <f t="shared" si="50"/>
        <v>1</v>
      </c>
      <c r="J233" s="719"/>
      <c r="K233" s="24">
        <f t="shared" si="51"/>
        <v>1</v>
      </c>
      <c r="L233" s="719"/>
      <c r="M233" s="24">
        <f t="shared" si="52"/>
        <v>1</v>
      </c>
      <c r="N233" s="719"/>
      <c r="O233" s="24">
        <f t="shared" si="53"/>
        <v>1</v>
      </c>
      <c r="P233" s="719" t="s">
        <v>3120</v>
      </c>
      <c r="Q233" s="24">
        <f t="shared" si="54"/>
        <v>1</v>
      </c>
      <c r="R233" s="715">
        <f t="shared" ca="1" si="55"/>
        <v>27374</v>
      </c>
      <c r="S233" s="361">
        <f t="shared" ca="1" si="56"/>
        <v>165</v>
      </c>
      <c r="U233" s="3056" t="str">
        <f>Sheet1!C212</f>
        <v>27-3</v>
      </c>
      <c r="V233" s="799">
        <f>Sheet1!E212</f>
        <v>60.17</v>
      </c>
      <c r="W233" s="799">
        <f t="shared" si="46"/>
        <v>0</v>
      </c>
    </row>
    <row r="234" spans="1:23">
      <c r="A234" s="3043" t="str">
        <f>Sheet1!C213</f>
        <v>27-4</v>
      </c>
      <c r="B234" s="717">
        <f>Sheet1!E213</f>
        <v>69.31</v>
      </c>
      <c r="C234" s="24">
        <f t="shared" si="47"/>
        <v>1</v>
      </c>
      <c r="D234" s="719"/>
      <c r="E234" s="24">
        <f t="shared" si="48"/>
        <v>1</v>
      </c>
      <c r="F234" s="719"/>
      <c r="G234" s="24">
        <f t="shared" si="49"/>
        <v>1</v>
      </c>
      <c r="H234" s="719"/>
      <c r="I234" s="24">
        <f t="shared" si="50"/>
        <v>1</v>
      </c>
      <c r="J234" s="719"/>
      <c r="K234" s="24">
        <f t="shared" si="51"/>
        <v>1</v>
      </c>
      <c r="L234" s="719"/>
      <c r="M234" s="24">
        <f t="shared" si="52"/>
        <v>1</v>
      </c>
      <c r="N234" s="719"/>
      <c r="O234" s="24">
        <f t="shared" si="53"/>
        <v>1</v>
      </c>
      <c r="P234" s="719" t="s">
        <v>3120</v>
      </c>
      <c r="Q234" s="24">
        <f t="shared" si="54"/>
        <v>1</v>
      </c>
      <c r="R234" s="715">
        <f t="shared" ca="1" si="55"/>
        <v>27374</v>
      </c>
      <c r="S234" s="361">
        <f t="shared" ca="1" si="56"/>
        <v>190</v>
      </c>
      <c r="U234" s="3056" t="str">
        <f>Sheet1!C213</f>
        <v>27-4</v>
      </c>
      <c r="V234" s="799">
        <f>Sheet1!E213</f>
        <v>69.31</v>
      </c>
      <c r="W234" s="799">
        <f t="shared" si="46"/>
        <v>0</v>
      </c>
    </row>
    <row r="235" spans="1:23">
      <c r="A235" s="3043" t="str">
        <f>Sheet1!C214</f>
        <v>27-5</v>
      </c>
      <c r="B235" s="717">
        <f>Sheet1!E214</f>
        <v>69.31</v>
      </c>
      <c r="C235" s="24">
        <f t="shared" si="47"/>
        <v>1</v>
      </c>
      <c r="D235" s="719"/>
      <c r="E235" s="24">
        <f t="shared" si="48"/>
        <v>1</v>
      </c>
      <c r="F235" s="719"/>
      <c r="G235" s="24">
        <f t="shared" si="49"/>
        <v>1</v>
      </c>
      <c r="H235" s="719"/>
      <c r="I235" s="24">
        <f t="shared" si="50"/>
        <v>1</v>
      </c>
      <c r="J235" s="719"/>
      <c r="K235" s="24">
        <f t="shared" si="51"/>
        <v>1</v>
      </c>
      <c r="L235" s="719"/>
      <c r="M235" s="24">
        <f t="shared" si="52"/>
        <v>1</v>
      </c>
      <c r="N235" s="719"/>
      <c r="O235" s="24">
        <f t="shared" si="53"/>
        <v>1</v>
      </c>
      <c r="P235" s="719" t="s">
        <v>3120</v>
      </c>
      <c r="Q235" s="24">
        <f t="shared" si="54"/>
        <v>1</v>
      </c>
      <c r="R235" s="715">
        <f t="shared" ca="1" si="55"/>
        <v>27374</v>
      </c>
      <c r="S235" s="361">
        <f t="shared" ca="1" si="56"/>
        <v>190</v>
      </c>
      <c r="U235" s="3056" t="str">
        <f>Sheet1!C214</f>
        <v>27-5</v>
      </c>
      <c r="V235" s="799">
        <f>Sheet1!E214</f>
        <v>69.31</v>
      </c>
      <c r="W235" s="799">
        <f t="shared" si="46"/>
        <v>0</v>
      </c>
    </row>
    <row r="236" spans="1:23">
      <c r="A236" s="3043" t="str">
        <f>Sheet1!C215</f>
        <v>27-6</v>
      </c>
      <c r="B236" s="717">
        <f>Sheet1!E215</f>
        <v>60.17</v>
      </c>
      <c r="C236" s="24">
        <f t="shared" si="47"/>
        <v>1</v>
      </c>
      <c r="D236" s="719"/>
      <c r="E236" s="24">
        <f t="shared" si="48"/>
        <v>1</v>
      </c>
      <c r="F236" s="719"/>
      <c r="G236" s="24">
        <f t="shared" si="49"/>
        <v>1</v>
      </c>
      <c r="H236" s="719"/>
      <c r="I236" s="24">
        <f t="shared" si="50"/>
        <v>1</v>
      </c>
      <c r="J236" s="719"/>
      <c r="K236" s="24">
        <f t="shared" si="51"/>
        <v>1</v>
      </c>
      <c r="L236" s="719"/>
      <c r="M236" s="24">
        <f t="shared" si="52"/>
        <v>1</v>
      </c>
      <c r="N236" s="719"/>
      <c r="O236" s="24">
        <f t="shared" si="53"/>
        <v>1</v>
      </c>
      <c r="P236" s="719" t="s">
        <v>3120</v>
      </c>
      <c r="Q236" s="24">
        <f t="shared" si="54"/>
        <v>1</v>
      </c>
      <c r="R236" s="715">
        <f t="shared" ca="1" si="55"/>
        <v>27374</v>
      </c>
      <c r="S236" s="361">
        <f t="shared" ca="1" si="56"/>
        <v>165</v>
      </c>
      <c r="U236" s="3056" t="str">
        <f>Sheet1!C215</f>
        <v>27-6</v>
      </c>
      <c r="V236" s="799">
        <f>Sheet1!E215</f>
        <v>60.17</v>
      </c>
      <c r="W236" s="799">
        <f t="shared" si="46"/>
        <v>0</v>
      </c>
    </row>
    <row r="237" spans="1:23">
      <c r="A237" s="3043" t="str">
        <f>Sheet1!C216</f>
        <v>27-7</v>
      </c>
      <c r="B237" s="717">
        <f>Sheet1!E216</f>
        <v>47.08</v>
      </c>
      <c r="C237" s="24">
        <f t="shared" si="47"/>
        <v>1</v>
      </c>
      <c r="D237" s="719"/>
      <c r="E237" s="24">
        <f t="shared" si="48"/>
        <v>1</v>
      </c>
      <c r="F237" s="719"/>
      <c r="G237" s="24">
        <f t="shared" si="49"/>
        <v>1</v>
      </c>
      <c r="H237" s="719"/>
      <c r="I237" s="24">
        <f t="shared" si="50"/>
        <v>1</v>
      </c>
      <c r="J237" s="719"/>
      <c r="K237" s="24">
        <f t="shared" si="51"/>
        <v>1</v>
      </c>
      <c r="L237" s="719"/>
      <c r="M237" s="24">
        <f t="shared" si="52"/>
        <v>1</v>
      </c>
      <c r="N237" s="719"/>
      <c r="O237" s="24">
        <f t="shared" si="53"/>
        <v>1</v>
      </c>
      <c r="P237" s="719" t="s">
        <v>3120</v>
      </c>
      <c r="Q237" s="24">
        <f t="shared" si="54"/>
        <v>1</v>
      </c>
      <c r="R237" s="715">
        <f t="shared" ca="1" si="55"/>
        <v>27374</v>
      </c>
      <c r="S237" s="361">
        <f t="shared" ca="1" si="56"/>
        <v>129</v>
      </c>
      <c r="U237" s="3056" t="str">
        <f>Sheet1!C216</f>
        <v>27-7</v>
      </c>
      <c r="V237" s="799">
        <f>Sheet1!E216</f>
        <v>47.08</v>
      </c>
      <c r="W237" s="799">
        <f t="shared" si="46"/>
        <v>0</v>
      </c>
    </row>
    <row r="238" spans="1:23">
      <c r="A238" s="3043" t="str">
        <f>Sheet1!C217</f>
        <v>27-8</v>
      </c>
      <c r="B238" s="717">
        <f>Sheet1!E217</f>
        <v>60.17</v>
      </c>
      <c r="C238" s="24">
        <f t="shared" si="47"/>
        <v>1</v>
      </c>
      <c r="D238" s="719"/>
      <c r="E238" s="24">
        <f t="shared" si="48"/>
        <v>1</v>
      </c>
      <c r="F238" s="719"/>
      <c r="G238" s="24">
        <f t="shared" si="49"/>
        <v>1</v>
      </c>
      <c r="H238" s="719"/>
      <c r="I238" s="24">
        <f t="shared" si="50"/>
        <v>1</v>
      </c>
      <c r="J238" s="719"/>
      <c r="K238" s="24">
        <f t="shared" si="51"/>
        <v>1</v>
      </c>
      <c r="L238" s="719"/>
      <c r="M238" s="24">
        <f t="shared" si="52"/>
        <v>1</v>
      </c>
      <c r="N238" s="719"/>
      <c r="O238" s="24">
        <f t="shared" si="53"/>
        <v>1</v>
      </c>
      <c r="P238" s="719" t="s">
        <v>3120</v>
      </c>
      <c r="Q238" s="24">
        <f t="shared" si="54"/>
        <v>1</v>
      </c>
      <c r="R238" s="715">
        <f t="shared" ca="1" si="55"/>
        <v>27374</v>
      </c>
      <c r="S238" s="361">
        <f t="shared" ca="1" si="56"/>
        <v>165</v>
      </c>
      <c r="U238" s="3056" t="str">
        <f>Sheet1!C217</f>
        <v>27-8</v>
      </c>
      <c r="V238" s="799">
        <f>Sheet1!E217</f>
        <v>60.17</v>
      </c>
      <c r="W238" s="799">
        <f t="shared" si="46"/>
        <v>0</v>
      </c>
    </row>
    <row r="239" spans="1:23">
      <c r="A239" s="3043" t="str">
        <f>Sheet1!C218</f>
        <v>27-9</v>
      </c>
      <c r="B239" s="717">
        <f>Sheet1!E218</f>
        <v>46.02</v>
      </c>
      <c r="C239" s="24">
        <f t="shared" si="47"/>
        <v>1</v>
      </c>
      <c r="D239" s="719"/>
      <c r="E239" s="24">
        <f t="shared" si="48"/>
        <v>1</v>
      </c>
      <c r="F239" s="719"/>
      <c r="G239" s="24">
        <f t="shared" si="49"/>
        <v>1</v>
      </c>
      <c r="H239" s="719"/>
      <c r="I239" s="24">
        <f t="shared" si="50"/>
        <v>1</v>
      </c>
      <c r="J239" s="719"/>
      <c r="K239" s="24">
        <f t="shared" si="51"/>
        <v>1</v>
      </c>
      <c r="L239" s="719"/>
      <c r="M239" s="24">
        <f t="shared" si="52"/>
        <v>1</v>
      </c>
      <c r="N239" s="719"/>
      <c r="O239" s="24">
        <f t="shared" si="53"/>
        <v>1</v>
      </c>
      <c r="P239" s="719" t="s">
        <v>3120</v>
      </c>
      <c r="Q239" s="24">
        <f t="shared" si="54"/>
        <v>1</v>
      </c>
      <c r="R239" s="715">
        <f t="shared" ca="1" si="55"/>
        <v>27374</v>
      </c>
      <c r="S239" s="361">
        <f t="shared" ca="1" si="56"/>
        <v>126</v>
      </c>
      <c r="U239" s="3056" t="str">
        <f>Sheet1!C218</f>
        <v>27-9</v>
      </c>
      <c r="V239" s="799">
        <f>Sheet1!E218</f>
        <v>46.02</v>
      </c>
      <c r="W239" s="799">
        <f t="shared" si="46"/>
        <v>0</v>
      </c>
    </row>
    <row r="240" spans="1:23">
      <c r="A240" s="3043" t="str">
        <f>Sheet1!C219</f>
        <v>27-10</v>
      </c>
      <c r="B240" s="717">
        <f>Sheet1!E219</f>
        <v>73.02</v>
      </c>
      <c r="C240" s="24">
        <f t="shared" si="47"/>
        <v>1</v>
      </c>
      <c r="D240" s="719"/>
      <c r="E240" s="24">
        <f t="shared" si="48"/>
        <v>1</v>
      </c>
      <c r="F240" s="719"/>
      <c r="G240" s="24">
        <f t="shared" si="49"/>
        <v>1</v>
      </c>
      <c r="H240" s="719"/>
      <c r="I240" s="24">
        <f t="shared" si="50"/>
        <v>1</v>
      </c>
      <c r="J240" s="719"/>
      <c r="K240" s="24">
        <f t="shared" si="51"/>
        <v>1</v>
      </c>
      <c r="L240" s="719"/>
      <c r="M240" s="24">
        <f t="shared" si="52"/>
        <v>1</v>
      </c>
      <c r="N240" s="719"/>
      <c r="O240" s="24">
        <f t="shared" si="53"/>
        <v>1</v>
      </c>
      <c r="P240" s="719" t="s">
        <v>3120</v>
      </c>
      <c r="Q240" s="24">
        <f t="shared" si="54"/>
        <v>1</v>
      </c>
      <c r="R240" s="715">
        <f t="shared" ca="1" si="55"/>
        <v>27374</v>
      </c>
      <c r="S240" s="361">
        <f t="shared" ca="1" si="56"/>
        <v>200</v>
      </c>
      <c r="U240" s="3056" t="str">
        <f>Sheet1!C219</f>
        <v>27-10</v>
      </c>
      <c r="V240" s="799">
        <f>Sheet1!E219</f>
        <v>73.02</v>
      </c>
      <c r="W240" s="799">
        <f t="shared" si="46"/>
        <v>0</v>
      </c>
    </row>
    <row r="241" spans="1:23">
      <c r="A241" s="3043" t="str">
        <f>Sheet1!C220</f>
        <v>27-11</v>
      </c>
      <c r="B241" s="717">
        <f>Sheet1!E220</f>
        <v>76.94</v>
      </c>
      <c r="C241" s="24">
        <f t="shared" si="47"/>
        <v>1</v>
      </c>
      <c r="D241" s="719"/>
      <c r="E241" s="24">
        <f t="shared" si="48"/>
        <v>1</v>
      </c>
      <c r="F241" s="719"/>
      <c r="G241" s="24">
        <f t="shared" si="49"/>
        <v>1</v>
      </c>
      <c r="H241" s="719"/>
      <c r="I241" s="24">
        <f t="shared" si="50"/>
        <v>1</v>
      </c>
      <c r="J241" s="719"/>
      <c r="K241" s="24">
        <f t="shared" si="51"/>
        <v>1</v>
      </c>
      <c r="L241" s="719"/>
      <c r="M241" s="24">
        <f t="shared" si="52"/>
        <v>1</v>
      </c>
      <c r="N241" s="719"/>
      <c r="O241" s="24">
        <f t="shared" si="53"/>
        <v>1</v>
      </c>
      <c r="P241" s="719" t="s">
        <v>3120</v>
      </c>
      <c r="Q241" s="24">
        <f t="shared" si="54"/>
        <v>1</v>
      </c>
      <c r="R241" s="715">
        <f t="shared" ca="1" si="55"/>
        <v>27374</v>
      </c>
      <c r="S241" s="361">
        <f t="shared" ca="1" si="56"/>
        <v>211</v>
      </c>
      <c r="U241" s="3056" t="str">
        <f>Sheet1!C220</f>
        <v>27-11</v>
      </c>
      <c r="V241" s="799">
        <f>Sheet1!E220</f>
        <v>76.94</v>
      </c>
      <c r="W241" s="799">
        <f t="shared" si="46"/>
        <v>0</v>
      </c>
    </row>
    <row r="242" spans="1:23">
      <c r="A242" s="3043" t="str">
        <f>Sheet1!C221</f>
        <v>27-12</v>
      </c>
      <c r="B242" s="717">
        <f>Sheet1!E221</f>
        <v>78.760000000000005</v>
      </c>
      <c r="C242" s="24">
        <f t="shared" si="47"/>
        <v>1</v>
      </c>
      <c r="D242" s="719"/>
      <c r="E242" s="24">
        <f t="shared" si="48"/>
        <v>1</v>
      </c>
      <c r="F242" s="719"/>
      <c r="G242" s="24">
        <f t="shared" si="49"/>
        <v>1</v>
      </c>
      <c r="H242" s="719"/>
      <c r="I242" s="24">
        <f t="shared" si="50"/>
        <v>1</v>
      </c>
      <c r="J242" s="719"/>
      <c r="K242" s="24">
        <f t="shared" si="51"/>
        <v>1</v>
      </c>
      <c r="L242" s="719"/>
      <c r="M242" s="24">
        <f t="shared" si="52"/>
        <v>1</v>
      </c>
      <c r="N242" s="719"/>
      <c r="O242" s="24">
        <f t="shared" si="53"/>
        <v>1</v>
      </c>
      <c r="P242" s="719" t="s">
        <v>3120</v>
      </c>
      <c r="Q242" s="24">
        <f t="shared" si="54"/>
        <v>1</v>
      </c>
      <c r="R242" s="715">
        <f t="shared" ca="1" si="55"/>
        <v>27374</v>
      </c>
      <c r="S242" s="361">
        <f t="shared" ca="1" si="56"/>
        <v>216</v>
      </c>
      <c r="U242" s="3056" t="str">
        <f>Sheet1!C221</f>
        <v>27-12</v>
      </c>
      <c r="V242" s="799">
        <f>Sheet1!E221</f>
        <v>78.760000000000005</v>
      </c>
      <c r="W242" s="799">
        <f t="shared" si="46"/>
        <v>0</v>
      </c>
    </row>
    <row r="243" spans="1:23">
      <c r="A243" s="3043" t="str">
        <f>Sheet1!C222</f>
        <v>27-13</v>
      </c>
      <c r="B243" s="717">
        <f>Sheet1!E222</f>
        <v>77.22</v>
      </c>
      <c r="C243" s="24">
        <f t="shared" si="47"/>
        <v>1</v>
      </c>
      <c r="D243" s="719"/>
      <c r="E243" s="24">
        <f t="shared" si="48"/>
        <v>1</v>
      </c>
      <c r="F243" s="719"/>
      <c r="G243" s="24">
        <f t="shared" si="49"/>
        <v>1</v>
      </c>
      <c r="H243" s="719"/>
      <c r="I243" s="24">
        <f t="shared" si="50"/>
        <v>1</v>
      </c>
      <c r="J243" s="719"/>
      <c r="K243" s="24">
        <f t="shared" si="51"/>
        <v>1</v>
      </c>
      <c r="L243" s="719"/>
      <c r="M243" s="24">
        <f t="shared" si="52"/>
        <v>1</v>
      </c>
      <c r="N243" s="719"/>
      <c r="O243" s="24">
        <f t="shared" si="53"/>
        <v>1</v>
      </c>
      <c r="P243" s="719" t="s">
        <v>3120</v>
      </c>
      <c r="Q243" s="24">
        <f t="shared" si="54"/>
        <v>1</v>
      </c>
      <c r="R243" s="715">
        <f t="shared" ca="1" si="55"/>
        <v>27374</v>
      </c>
      <c r="S243" s="361">
        <f t="shared" ca="1" si="56"/>
        <v>211</v>
      </c>
      <c r="U243" s="3056" t="str">
        <f>Sheet1!C222</f>
        <v>27-13</v>
      </c>
      <c r="V243" s="799">
        <f>Sheet1!E222</f>
        <v>77.22</v>
      </c>
      <c r="W243" s="799">
        <f t="shared" si="46"/>
        <v>0</v>
      </c>
    </row>
    <row r="244" spans="1:23">
      <c r="A244" s="3043" t="str">
        <f>Sheet1!C223</f>
        <v>27-14</v>
      </c>
      <c r="B244" s="717">
        <f>Sheet1!E223</f>
        <v>77.22</v>
      </c>
      <c r="C244" s="24">
        <f t="shared" si="47"/>
        <v>1</v>
      </c>
      <c r="D244" s="719"/>
      <c r="E244" s="24">
        <f t="shared" si="48"/>
        <v>1</v>
      </c>
      <c r="F244" s="719"/>
      <c r="G244" s="24">
        <f t="shared" si="49"/>
        <v>1</v>
      </c>
      <c r="H244" s="719"/>
      <c r="I244" s="24">
        <f t="shared" si="50"/>
        <v>1</v>
      </c>
      <c r="J244" s="719"/>
      <c r="K244" s="24">
        <f t="shared" si="51"/>
        <v>1</v>
      </c>
      <c r="L244" s="719"/>
      <c r="M244" s="24">
        <f t="shared" si="52"/>
        <v>1</v>
      </c>
      <c r="N244" s="719"/>
      <c r="O244" s="24">
        <f t="shared" si="53"/>
        <v>1</v>
      </c>
      <c r="P244" s="719" t="s">
        <v>3120</v>
      </c>
      <c r="Q244" s="24">
        <f t="shared" si="54"/>
        <v>1</v>
      </c>
      <c r="R244" s="715">
        <f t="shared" ca="1" si="55"/>
        <v>27374</v>
      </c>
      <c r="S244" s="361">
        <f t="shared" ca="1" si="56"/>
        <v>211</v>
      </c>
      <c r="U244" s="3056" t="str">
        <f>Sheet1!C223</f>
        <v>27-14</v>
      </c>
      <c r="V244" s="799">
        <f>Sheet1!E223</f>
        <v>77.22</v>
      </c>
      <c r="W244" s="799">
        <f t="shared" si="46"/>
        <v>0</v>
      </c>
    </row>
    <row r="245" spans="1:23">
      <c r="A245" s="3043" t="str">
        <f>Sheet1!C224</f>
        <v>28-1</v>
      </c>
      <c r="B245" s="717">
        <f>Sheet1!E224</f>
        <v>102.45</v>
      </c>
      <c r="C245" s="24">
        <f t="shared" si="47"/>
        <v>0.99</v>
      </c>
      <c r="D245" s="719"/>
      <c r="E245" s="24">
        <f t="shared" si="48"/>
        <v>1</v>
      </c>
      <c r="F245" s="719"/>
      <c r="G245" s="24">
        <f t="shared" si="49"/>
        <v>1</v>
      </c>
      <c r="H245" s="719"/>
      <c r="I245" s="24">
        <f t="shared" si="50"/>
        <v>1</v>
      </c>
      <c r="J245" s="719"/>
      <c r="K245" s="24">
        <f t="shared" si="51"/>
        <v>1</v>
      </c>
      <c r="L245" s="719"/>
      <c r="M245" s="24">
        <f t="shared" si="52"/>
        <v>1</v>
      </c>
      <c r="N245" s="719"/>
      <c r="O245" s="24">
        <f t="shared" si="53"/>
        <v>1</v>
      </c>
      <c r="P245" s="719" t="s">
        <v>3120</v>
      </c>
      <c r="Q245" s="24">
        <f t="shared" si="54"/>
        <v>1</v>
      </c>
      <c r="R245" s="715">
        <f t="shared" ca="1" si="55"/>
        <v>27100</v>
      </c>
      <c r="S245" s="361">
        <f t="shared" ca="1" si="56"/>
        <v>278</v>
      </c>
      <c r="U245" s="3056" t="str">
        <f>Sheet1!C224</f>
        <v>28-1</v>
      </c>
      <c r="V245" s="799">
        <f>Sheet1!E224</f>
        <v>102.45</v>
      </c>
      <c r="W245" s="799">
        <f t="shared" si="46"/>
        <v>0</v>
      </c>
    </row>
    <row r="246" spans="1:23">
      <c r="A246" s="3043" t="str">
        <f>Sheet1!C225</f>
        <v>28-2</v>
      </c>
      <c r="B246" s="717">
        <f>Sheet1!E225</f>
        <v>77.16</v>
      </c>
      <c r="C246" s="24">
        <f t="shared" si="47"/>
        <v>1</v>
      </c>
      <c r="D246" s="719"/>
      <c r="E246" s="24">
        <f t="shared" si="48"/>
        <v>1</v>
      </c>
      <c r="F246" s="719"/>
      <c r="G246" s="24">
        <f t="shared" si="49"/>
        <v>1</v>
      </c>
      <c r="H246" s="719"/>
      <c r="I246" s="24">
        <f t="shared" si="50"/>
        <v>1</v>
      </c>
      <c r="J246" s="719"/>
      <c r="K246" s="24">
        <f t="shared" si="51"/>
        <v>1</v>
      </c>
      <c r="L246" s="719"/>
      <c r="M246" s="24">
        <f t="shared" si="52"/>
        <v>1</v>
      </c>
      <c r="N246" s="719"/>
      <c r="O246" s="24">
        <f t="shared" si="53"/>
        <v>1</v>
      </c>
      <c r="P246" s="719" t="s">
        <v>3120</v>
      </c>
      <c r="Q246" s="24">
        <f t="shared" si="54"/>
        <v>1</v>
      </c>
      <c r="R246" s="715">
        <f t="shared" ca="1" si="55"/>
        <v>27374</v>
      </c>
      <c r="S246" s="361">
        <f t="shared" ca="1" si="56"/>
        <v>211</v>
      </c>
      <c r="U246" s="3056" t="str">
        <f>Sheet1!C225</f>
        <v>28-2</v>
      </c>
      <c r="V246" s="799">
        <f>Sheet1!E225</f>
        <v>77.16</v>
      </c>
      <c r="W246" s="799">
        <f t="shared" si="46"/>
        <v>0</v>
      </c>
    </row>
    <row r="247" spans="1:23">
      <c r="A247" s="3043" t="str">
        <f>Sheet1!C226</f>
        <v>28-3</v>
      </c>
      <c r="B247" s="717">
        <f>Sheet1!E226</f>
        <v>47.22</v>
      </c>
      <c r="C247" s="24">
        <f t="shared" si="47"/>
        <v>1</v>
      </c>
      <c r="D247" s="719"/>
      <c r="E247" s="24">
        <f t="shared" si="48"/>
        <v>1</v>
      </c>
      <c r="F247" s="719"/>
      <c r="G247" s="24">
        <f t="shared" si="49"/>
        <v>1</v>
      </c>
      <c r="H247" s="719"/>
      <c r="I247" s="24">
        <f t="shared" si="50"/>
        <v>1</v>
      </c>
      <c r="J247" s="719"/>
      <c r="K247" s="24">
        <f t="shared" si="51"/>
        <v>1</v>
      </c>
      <c r="L247" s="719"/>
      <c r="M247" s="24">
        <f t="shared" si="52"/>
        <v>1</v>
      </c>
      <c r="N247" s="719"/>
      <c r="O247" s="24">
        <f t="shared" si="53"/>
        <v>1</v>
      </c>
      <c r="P247" s="719" t="s">
        <v>3120</v>
      </c>
      <c r="Q247" s="24">
        <f t="shared" si="54"/>
        <v>1</v>
      </c>
      <c r="R247" s="715">
        <f t="shared" ca="1" si="55"/>
        <v>27374</v>
      </c>
      <c r="S247" s="361">
        <f t="shared" ca="1" si="56"/>
        <v>129</v>
      </c>
      <c r="U247" s="3056" t="str">
        <f>Sheet1!C226</f>
        <v>28-3</v>
      </c>
      <c r="V247" s="799">
        <f>Sheet1!E226</f>
        <v>47.22</v>
      </c>
      <c r="W247" s="799">
        <f t="shared" si="46"/>
        <v>0</v>
      </c>
    </row>
    <row r="248" spans="1:23">
      <c r="A248" s="3043" t="str">
        <f>Sheet1!C227</f>
        <v>28-4</v>
      </c>
      <c r="B248" s="717">
        <f>Sheet1!E227</f>
        <v>77.16</v>
      </c>
      <c r="C248" s="24">
        <f t="shared" si="47"/>
        <v>1</v>
      </c>
      <c r="D248" s="719"/>
      <c r="E248" s="24">
        <f t="shared" si="48"/>
        <v>1</v>
      </c>
      <c r="F248" s="719"/>
      <c r="G248" s="24">
        <f t="shared" si="49"/>
        <v>1</v>
      </c>
      <c r="H248" s="719"/>
      <c r="I248" s="24">
        <f t="shared" si="50"/>
        <v>1</v>
      </c>
      <c r="J248" s="719"/>
      <c r="K248" s="24">
        <f t="shared" si="51"/>
        <v>1</v>
      </c>
      <c r="L248" s="719"/>
      <c r="M248" s="24">
        <f t="shared" si="52"/>
        <v>1</v>
      </c>
      <c r="N248" s="719"/>
      <c r="O248" s="24">
        <f t="shared" si="53"/>
        <v>1</v>
      </c>
      <c r="P248" s="719" t="s">
        <v>3120</v>
      </c>
      <c r="Q248" s="24">
        <f t="shared" si="54"/>
        <v>1</v>
      </c>
      <c r="R248" s="715">
        <f t="shared" ca="1" si="55"/>
        <v>27374</v>
      </c>
      <c r="S248" s="361">
        <f t="shared" ca="1" si="56"/>
        <v>211</v>
      </c>
      <c r="U248" s="3056" t="str">
        <f>Sheet1!C227</f>
        <v>28-4</v>
      </c>
      <c r="V248" s="799">
        <f>Sheet1!E227</f>
        <v>77.16</v>
      </c>
      <c r="W248" s="799">
        <f t="shared" si="46"/>
        <v>0</v>
      </c>
    </row>
    <row r="249" spans="1:23">
      <c r="A249" s="3043" t="str">
        <f>Sheet1!C228</f>
        <v>28-5</v>
      </c>
      <c r="B249" s="717">
        <f>Sheet1!E228</f>
        <v>102.45</v>
      </c>
      <c r="C249" s="24">
        <f t="shared" si="47"/>
        <v>0.99</v>
      </c>
      <c r="D249" s="719"/>
      <c r="E249" s="24">
        <f t="shared" si="48"/>
        <v>1</v>
      </c>
      <c r="F249" s="719"/>
      <c r="G249" s="24">
        <f t="shared" si="49"/>
        <v>1</v>
      </c>
      <c r="H249" s="719"/>
      <c r="I249" s="24">
        <f t="shared" si="50"/>
        <v>1</v>
      </c>
      <c r="J249" s="719"/>
      <c r="K249" s="24">
        <f t="shared" si="51"/>
        <v>1</v>
      </c>
      <c r="L249" s="719"/>
      <c r="M249" s="24">
        <f t="shared" si="52"/>
        <v>1</v>
      </c>
      <c r="N249" s="719"/>
      <c r="O249" s="24">
        <f t="shared" si="53"/>
        <v>1</v>
      </c>
      <c r="P249" s="719" t="s">
        <v>3120</v>
      </c>
      <c r="Q249" s="24">
        <f t="shared" si="54"/>
        <v>1</v>
      </c>
      <c r="R249" s="715">
        <f t="shared" ca="1" si="55"/>
        <v>27100</v>
      </c>
      <c r="S249" s="361">
        <f t="shared" ca="1" si="56"/>
        <v>278</v>
      </c>
      <c r="U249" s="3056" t="str">
        <f>Sheet1!C228</f>
        <v>28-5</v>
      </c>
      <c r="V249" s="799">
        <f>Sheet1!E228</f>
        <v>102.45</v>
      </c>
      <c r="W249" s="799">
        <f t="shared" si="46"/>
        <v>0</v>
      </c>
    </row>
    <row r="250" spans="1:23">
      <c r="A250" s="3043" t="str">
        <f>Sheet1!C229</f>
        <v>28-6</v>
      </c>
      <c r="B250" s="717">
        <f>Sheet1!E229</f>
        <v>102.45</v>
      </c>
      <c r="C250" s="24">
        <f t="shared" si="47"/>
        <v>0.99</v>
      </c>
      <c r="D250" s="719"/>
      <c r="E250" s="24">
        <f t="shared" si="48"/>
        <v>1</v>
      </c>
      <c r="F250" s="719"/>
      <c r="G250" s="24">
        <f t="shared" si="49"/>
        <v>1</v>
      </c>
      <c r="H250" s="719"/>
      <c r="I250" s="24">
        <f t="shared" si="50"/>
        <v>1</v>
      </c>
      <c r="J250" s="719"/>
      <c r="K250" s="24">
        <f t="shared" si="51"/>
        <v>1</v>
      </c>
      <c r="L250" s="719"/>
      <c r="M250" s="24">
        <f t="shared" si="52"/>
        <v>1</v>
      </c>
      <c r="N250" s="719"/>
      <c r="O250" s="24">
        <f t="shared" si="53"/>
        <v>1</v>
      </c>
      <c r="P250" s="719" t="s">
        <v>3120</v>
      </c>
      <c r="Q250" s="24">
        <f t="shared" si="54"/>
        <v>1</v>
      </c>
      <c r="R250" s="715">
        <f t="shared" ca="1" si="55"/>
        <v>27100</v>
      </c>
      <c r="S250" s="361">
        <f t="shared" ca="1" si="56"/>
        <v>278</v>
      </c>
      <c r="U250" s="3056" t="str">
        <f>Sheet1!C229</f>
        <v>28-6</v>
      </c>
      <c r="V250" s="799">
        <f>Sheet1!E229</f>
        <v>102.45</v>
      </c>
      <c r="W250" s="799">
        <f t="shared" si="46"/>
        <v>0</v>
      </c>
    </row>
    <row r="251" spans="1:23">
      <c r="A251" s="3043" t="str">
        <f>Sheet1!C230</f>
        <v>28-7</v>
      </c>
      <c r="B251" s="717">
        <f>Sheet1!E230</f>
        <v>77.16</v>
      </c>
      <c r="C251" s="24">
        <f t="shared" si="47"/>
        <v>1</v>
      </c>
      <c r="D251" s="719"/>
      <c r="E251" s="24">
        <f t="shared" si="48"/>
        <v>1</v>
      </c>
      <c r="F251" s="719"/>
      <c r="G251" s="24">
        <f t="shared" si="49"/>
        <v>1</v>
      </c>
      <c r="H251" s="719"/>
      <c r="I251" s="24">
        <f t="shared" si="50"/>
        <v>1</v>
      </c>
      <c r="J251" s="719"/>
      <c r="K251" s="24">
        <f t="shared" si="51"/>
        <v>1</v>
      </c>
      <c r="L251" s="719"/>
      <c r="M251" s="24">
        <f t="shared" si="52"/>
        <v>1</v>
      </c>
      <c r="N251" s="719"/>
      <c r="O251" s="24">
        <f t="shared" si="53"/>
        <v>1</v>
      </c>
      <c r="P251" s="719" t="s">
        <v>3120</v>
      </c>
      <c r="Q251" s="24">
        <f t="shared" si="54"/>
        <v>1</v>
      </c>
      <c r="R251" s="715">
        <f t="shared" ca="1" si="55"/>
        <v>27374</v>
      </c>
      <c r="S251" s="361">
        <f t="shared" ca="1" si="56"/>
        <v>211</v>
      </c>
      <c r="U251" s="3056" t="str">
        <f>Sheet1!C230</f>
        <v>28-7</v>
      </c>
      <c r="V251" s="799">
        <f>Sheet1!E230</f>
        <v>77.16</v>
      </c>
      <c r="W251" s="799">
        <f t="shared" si="46"/>
        <v>0</v>
      </c>
    </row>
    <row r="252" spans="1:23">
      <c r="A252" s="3043" t="str">
        <f>Sheet1!C231</f>
        <v>28-8</v>
      </c>
      <c r="B252" s="717">
        <f>Sheet1!E231</f>
        <v>47.22</v>
      </c>
      <c r="C252" s="24">
        <f t="shared" si="47"/>
        <v>1</v>
      </c>
      <c r="D252" s="719"/>
      <c r="E252" s="24">
        <f t="shared" si="48"/>
        <v>1</v>
      </c>
      <c r="F252" s="719"/>
      <c r="G252" s="24">
        <f t="shared" si="49"/>
        <v>1</v>
      </c>
      <c r="H252" s="719"/>
      <c r="I252" s="24">
        <f t="shared" si="50"/>
        <v>1</v>
      </c>
      <c r="J252" s="719"/>
      <c r="K252" s="24">
        <f t="shared" si="51"/>
        <v>1</v>
      </c>
      <c r="L252" s="719"/>
      <c r="M252" s="24">
        <f t="shared" si="52"/>
        <v>1</v>
      </c>
      <c r="N252" s="719"/>
      <c r="O252" s="24">
        <f t="shared" si="53"/>
        <v>1</v>
      </c>
      <c r="P252" s="719" t="s">
        <v>3120</v>
      </c>
      <c r="Q252" s="24">
        <f t="shared" si="54"/>
        <v>1</v>
      </c>
      <c r="R252" s="715">
        <f t="shared" ca="1" si="55"/>
        <v>27374</v>
      </c>
      <c r="S252" s="361">
        <f t="shared" ca="1" si="56"/>
        <v>129</v>
      </c>
      <c r="U252" s="3056" t="str">
        <f>Sheet1!C231</f>
        <v>28-8</v>
      </c>
      <c r="V252" s="799">
        <f>Sheet1!E231</f>
        <v>47.22</v>
      </c>
      <c r="W252" s="799">
        <f t="shared" si="46"/>
        <v>0</v>
      </c>
    </row>
    <row r="253" spans="1:23">
      <c r="A253" s="3043" t="str">
        <f>Sheet1!C232</f>
        <v>28-9</v>
      </c>
      <c r="B253" s="717">
        <f>Sheet1!E232</f>
        <v>77.16</v>
      </c>
      <c r="C253" s="24">
        <f t="shared" si="47"/>
        <v>1</v>
      </c>
      <c r="D253" s="719"/>
      <c r="E253" s="24">
        <f t="shared" si="48"/>
        <v>1</v>
      </c>
      <c r="F253" s="719"/>
      <c r="G253" s="24">
        <f t="shared" si="49"/>
        <v>1</v>
      </c>
      <c r="H253" s="719"/>
      <c r="I253" s="24">
        <f t="shared" si="50"/>
        <v>1</v>
      </c>
      <c r="J253" s="719"/>
      <c r="K253" s="24">
        <f t="shared" si="51"/>
        <v>1</v>
      </c>
      <c r="L253" s="719"/>
      <c r="M253" s="24">
        <f t="shared" si="52"/>
        <v>1</v>
      </c>
      <c r="N253" s="719"/>
      <c r="O253" s="24">
        <f t="shared" si="53"/>
        <v>1</v>
      </c>
      <c r="P253" s="719" t="s">
        <v>3120</v>
      </c>
      <c r="Q253" s="24">
        <f t="shared" si="54"/>
        <v>1</v>
      </c>
      <c r="R253" s="715">
        <f t="shared" ca="1" si="55"/>
        <v>27374</v>
      </c>
      <c r="S253" s="361">
        <f t="shared" ca="1" si="56"/>
        <v>211</v>
      </c>
      <c r="U253" s="3056" t="str">
        <f>Sheet1!C232</f>
        <v>28-9</v>
      </c>
      <c r="V253" s="799">
        <f>Sheet1!E232</f>
        <v>77.16</v>
      </c>
      <c r="W253" s="799">
        <f t="shared" si="46"/>
        <v>0</v>
      </c>
    </row>
    <row r="254" spans="1:23">
      <c r="A254" s="3043" t="str">
        <f>Sheet1!C233</f>
        <v>28-10</v>
      </c>
      <c r="B254" s="717">
        <f>Sheet1!E233</f>
        <v>102.45</v>
      </c>
      <c r="C254" s="24">
        <f t="shared" si="47"/>
        <v>0.99</v>
      </c>
      <c r="D254" s="719"/>
      <c r="E254" s="24">
        <f t="shared" si="48"/>
        <v>1</v>
      </c>
      <c r="F254" s="719"/>
      <c r="G254" s="24">
        <f t="shared" si="49"/>
        <v>1</v>
      </c>
      <c r="H254" s="719"/>
      <c r="I254" s="24">
        <f t="shared" si="50"/>
        <v>1</v>
      </c>
      <c r="J254" s="719"/>
      <c r="K254" s="24">
        <f t="shared" si="51"/>
        <v>1</v>
      </c>
      <c r="L254" s="719"/>
      <c r="M254" s="24">
        <f t="shared" si="52"/>
        <v>1</v>
      </c>
      <c r="N254" s="719"/>
      <c r="O254" s="24">
        <f t="shared" si="53"/>
        <v>1</v>
      </c>
      <c r="P254" s="719" t="s">
        <v>3120</v>
      </c>
      <c r="Q254" s="24">
        <f t="shared" si="54"/>
        <v>1</v>
      </c>
      <c r="R254" s="715">
        <f t="shared" ca="1" si="55"/>
        <v>27100</v>
      </c>
      <c r="S254" s="361">
        <f t="shared" ca="1" si="56"/>
        <v>278</v>
      </c>
      <c r="U254" s="3056" t="str">
        <f>Sheet1!C233</f>
        <v>28-10</v>
      </c>
      <c r="V254" s="799">
        <f>Sheet1!E233</f>
        <v>102.45</v>
      </c>
      <c r="W254" s="799">
        <f t="shared" si="46"/>
        <v>0</v>
      </c>
    </row>
    <row r="255" spans="1:23">
      <c r="A255" s="3043" t="str">
        <f>Sheet1!C234</f>
        <v>29-1</v>
      </c>
      <c r="B255" s="717">
        <f>Sheet1!E234</f>
        <v>91.57</v>
      </c>
      <c r="C255" s="24">
        <f t="shared" si="47"/>
        <v>1</v>
      </c>
      <c r="D255" s="719"/>
      <c r="E255" s="24">
        <f t="shared" si="48"/>
        <v>1</v>
      </c>
      <c r="F255" s="719"/>
      <c r="G255" s="24">
        <f t="shared" si="49"/>
        <v>1</v>
      </c>
      <c r="H255" s="719"/>
      <c r="I255" s="24">
        <f t="shared" si="50"/>
        <v>1</v>
      </c>
      <c r="J255" s="719"/>
      <c r="K255" s="24">
        <f t="shared" si="51"/>
        <v>1</v>
      </c>
      <c r="L255" s="719"/>
      <c r="M255" s="24">
        <f t="shared" si="52"/>
        <v>1</v>
      </c>
      <c r="N255" s="719"/>
      <c r="O255" s="24">
        <f t="shared" si="53"/>
        <v>1</v>
      </c>
      <c r="P255" s="719" t="s">
        <v>3120</v>
      </c>
      <c r="Q255" s="24">
        <f t="shared" si="54"/>
        <v>1</v>
      </c>
      <c r="R255" s="715">
        <f t="shared" ca="1" si="55"/>
        <v>27374</v>
      </c>
      <c r="S255" s="361">
        <f t="shared" ca="1" si="56"/>
        <v>251</v>
      </c>
      <c r="U255" s="3056" t="str">
        <f>Sheet1!C234</f>
        <v>29-1</v>
      </c>
      <c r="V255" s="799">
        <f>Sheet1!E234</f>
        <v>91.57</v>
      </c>
      <c r="W255" s="799">
        <f t="shared" si="46"/>
        <v>0</v>
      </c>
    </row>
    <row r="256" spans="1:23">
      <c r="A256" s="3043" t="str">
        <f>Sheet1!C235</f>
        <v>29-2</v>
      </c>
      <c r="B256" s="717">
        <f>Sheet1!E235</f>
        <v>63.14</v>
      </c>
      <c r="C256" s="24">
        <f t="shared" si="47"/>
        <v>1</v>
      </c>
      <c r="D256" s="719"/>
      <c r="E256" s="24">
        <f t="shared" si="48"/>
        <v>1</v>
      </c>
      <c r="F256" s="719"/>
      <c r="G256" s="24">
        <f t="shared" si="49"/>
        <v>1</v>
      </c>
      <c r="H256" s="719"/>
      <c r="I256" s="24">
        <f t="shared" si="50"/>
        <v>1</v>
      </c>
      <c r="J256" s="719"/>
      <c r="K256" s="24">
        <f t="shared" si="51"/>
        <v>1</v>
      </c>
      <c r="L256" s="719"/>
      <c r="M256" s="24">
        <f t="shared" si="52"/>
        <v>1</v>
      </c>
      <c r="N256" s="719"/>
      <c r="O256" s="24">
        <f t="shared" si="53"/>
        <v>1</v>
      </c>
      <c r="P256" s="719" t="s">
        <v>3120</v>
      </c>
      <c r="Q256" s="24">
        <f t="shared" si="54"/>
        <v>1</v>
      </c>
      <c r="R256" s="715">
        <f t="shared" ca="1" si="55"/>
        <v>27374</v>
      </c>
      <c r="S256" s="361">
        <f t="shared" ca="1" si="56"/>
        <v>173</v>
      </c>
      <c r="U256" s="3056" t="str">
        <f>Sheet1!C235</f>
        <v>29-2</v>
      </c>
      <c r="V256" s="799">
        <f>Sheet1!E235</f>
        <v>63.14</v>
      </c>
      <c r="W256" s="799">
        <f t="shared" si="46"/>
        <v>0</v>
      </c>
    </row>
    <row r="257" spans="1:23">
      <c r="A257" s="3043" t="str">
        <f>Sheet1!C236</f>
        <v>29-3</v>
      </c>
      <c r="B257" s="717">
        <f>Sheet1!E236</f>
        <v>89.61</v>
      </c>
      <c r="C257" s="24">
        <f t="shared" si="47"/>
        <v>1</v>
      </c>
      <c r="D257" s="719"/>
      <c r="E257" s="24">
        <f t="shared" si="48"/>
        <v>1</v>
      </c>
      <c r="F257" s="719"/>
      <c r="G257" s="24">
        <f t="shared" si="49"/>
        <v>1</v>
      </c>
      <c r="H257" s="719"/>
      <c r="I257" s="24">
        <f t="shared" si="50"/>
        <v>1</v>
      </c>
      <c r="J257" s="719"/>
      <c r="K257" s="24">
        <f t="shared" si="51"/>
        <v>1</v>
      </c>
      <c r="L257" s="719"/>
      <c r="M257" s="24">
        <f t="shared" si="52"/>
        <v>1</v>
      </c>
      <c r="N257" s="719"/>
      <c r="O257" s="24">
        <f t="shared" si="53"/>
        <v>1</v>
      </c>
      <c r="P257" s="719" t="s">
        <v>3120</v>
      </c>
      <c r="Q257" s="24">
        <f t="shared" si="54"/>
        <v>1</v>
      </c>
      <c r="R257" s="715">
        <f t="shared" ca="1" si="55"/>
        <v>27374</v>
      </c>
      <c r="S257" s="361">
        <f t="shared" ca="1" si="56"/>
        <v>245</v>
      </c>
      <c r="U257" s="3056" t="str">
        <f>Sheet1!C236</f>
        <v>29-3</v>
      </c>
      <c r="V257" s="799">
        <f>Sheet1!E236</f>
        <v>89.61</v>
      </c>
      <c r="W257" s="799">
        <f t="shared" si="46"/>
        <v>0</v>
      </c>
    </row>
    <row r="258" spans="1:23">
      <c r="A258" s="3043" t="str">
        <f>Sheet1!C237</f>
        <v>29-4</v>
      </c>
      <c r="B258" s="717">
        <f>Sheet1!E237</f>
        <v>93.8</v>
      </c>
      <c r="C258" s="24">
        <f t="shared" si="47"/>
        <v>1</v>
      </c>
      <c r="D258" s="719"/>
      <c r="E258" s="24">
        <f t="shared" si="48"/>
        <v>1</v>
      </c>
      <c r="F258" s="719"/>
      <c r="G258" s="24">
        <f t="shared" si="49"/>
        <v>1</v>
      </c>
      <c r="H258" s="719"/>
      <c r="I258" s="24">
        <f t="shared" si="50"/>
        <v>1</v>
      </c>
      <c r="J258" s="719"/>
      <c r="K258" s="24">
        <f t="shared" si="51"/>
        <v>1</v>
      </c>
      <c r="L258" s="719"/>
      <c r="M258" s="24">
        <f t="shared" si="52"/>
        <v>1</v>
      </c>
      <c r="N258" s="719"/>
      <c r="O258" s="24">
        <f t="shared" si="53"/>
        <v>1</v>
      </c>
      <c r="P258" s="719" t="s">
        <v>3120</v>
      </c>
      <c r="Q258" s="24">
        <f t="shared" si="54"/>
        <v>1</v>
      </c>
      <c r="R258" s="715">
        <f t="shared" ca="1" si="55"/>
        <v>27374</v>
      </c>
      <c r="S258" s="361">
        <f t="shared" ca="1" si="56"/>
        <v>257</v>
      </c>
      <c r="U258" s="3056" t="str">
        <f>Sheet1!C237</f>
        <v>29-4</v>
      </c>
      <c r="V258" s="799">
        <f>Sheet1!E237</f>
        <v>93.8</v>
      </c>
      <c r="W258" s="799">
        <f t="shared" si="46"/>
        <v>0</v>
      </c>
    </row>
    <row r="259" spans="1:23">
      <c r="A259" s="3043" t="str">
        <f>Sheet1!C238</f>
        <v>29-5</v>
      </c>
      <c r="B259" s="717">
        <f>Sheet1!E238</f>
        <v>79.680000000000007</v>
      </c>
      <c r="C259" s="24">
        <f t="shared" si="47"/>
        <v>1</v>
      </c>
      <c r="D259" s="719"/>
      <c r="E259" s="24">
        <f t="shared" si="48"/>
        <v>1</v>
      </c>
      <c r="F259" s="719"/>
      <c r="G259" s="24">
        <f t="shared" si="49"/>
        <v>1</v>
      </c>
      <c r="H259" s="719"/>
      <c r="I259" s="24">
        <f t="shared" si="50"/>
        <v>1</v>
      </c>
      <c r="J259" s="719"/>
      <c r="K259" s="24">
        <f t="shared" si="51"/>
        <v>1</v>
      </c>
      <c r="L259" s="719"/>
      <c r="M259" s="24">
        <f t="shared" si="52"/>
        <v>1</v>
      </c>
      <c r="N259" s="719"/>
      <c r="O259" s="24">
        <f t="shared" si="53"/>
        <v>1</v>
      </c>
      <c r="P259" s="719" t="s">
        <v>3120</v>
      </c>
      <c r="Q259" s="24">
        <f t="shared" si="54"/>
        <v>1</v>
      </c>
      <c r="R259" s="715">
        <f t="shared" ca="1" si="55"/>
        <v>27374</v>
      </c>
      <c r="S259" s="361">
        <f t="shared" ca="1" si="56"/>
        <v>218</v>
      </c>
      <c r="U259" s="3056" t="str">
        <f>Sheet1!C238</f>
        <v>29-5</v>
      </c>
      <c r="V259" s="799">
        <f>Sheet1!E238</f>
        <v>79.680000000000007</v>
      </c>
      <c r="W259" s="799">
        <f t="shared" si="46"/>
        <v>0</v>
      </c>
    </row>
    <row r="260" spans="1:23">
      <c r="A260" s="3043" t="str">
        <f>Sheet1!C239</f>
        <v>30-1</v>
      </c>
      <c r="B260" s="717">
        <f>Sheet1!E239</f>
        <v>82.03</v>
      </c>
      <c r="C260" s="24">
        <f t="shared" si="47"/>
        <v>1</v>
      </c>
      <c r="D260" s="719"/>
      <c r="E260" s="24">
        <f t="shared" si="48"/>
        <v>1</v>
      </c>
      <c r="F260" s="719"/>
      <c r="G260" s="24">
        <f t="shared" si="49"/>
        <v>1</v>
      </c>
      <c r="H260" s="719"/>
      <c r="I260" s="24">
        <f t="shared" si="50"/>
        <v>1</v>
      </c>
      <c r="J260" s="719"/>
      <c r="K260" s="24">
        <f t="shared" si="51"/>
        <v>1</v>
      </c>
      <c r="L260" s="719"/>
      <c r="M260" s="24">
        <f t="shared" si="52"/>
        <v>1</v>
      </c>
      <c r="N260" s="719"/>
      <c r="O260" s="24">
        <f t="shared" si="53"/>
        <v>1</v>
      </c>
      <c r="P260" s="719" t="s">
        <v>3120</v>
      </c>
      <c r="Q260" s="24">
        <f t="shared" si="54"/>
        <v>1</v>
      </c>
      <c r="R260" s="715">
        <f t="shared" ca="1" si="55"/>
        <v>27374</v>
      </c>
      <c r="S260" s="361">
        <f t="shared" ca="1" si="56"/>
        <v>225</v>
      </c>
      <c r="U260" s="3056" t="str">
        <f>Sheet1!C239</f>
        <v>30-1</v>
      </c>
      <c r="V260" s="799">
        <f>Sheet1!E239</f>
        <v>82.03</v>
      </c>
      <c r="W260" s="799">
        <f t="shared" si="46"/>
        <v>0</v>
      </c>
    </row>
    <row r="261" spans="1:23">
      <c r="A261" s="3043" t="str">
        <f>Sheet1!C240</f>
        <v>30-2</v>
      </c>
      <c r="B261" s="717">
        <f>Sheet1!E240</f>
        <v>59.11</v>
      </c>
      <c r="C261" s="24">
        <f t="shared" si="47"/>
        <v>1</v>
      </c>
      <c r="D261" s="719"/>
      <c r="E261" s="24">
        <f t="shared" si="48"/>
        <v>1</v>
      </c>
      <c r="F261" s="719"/>
      <c r="G261" s="24">
        <f t="shared" si="49"/>
        <v>1</v>
      </c>
      <c r="H261" s="719"/>
      <c r="I261" s="24">
        <f t="shared" si="50"/>
        <v>1</v>
      </c>
      <c r="J261" s="719"/>
      <c r="K261" s="24">
        <f t="shared" si="51"/>
        <v>1</v>
      </c>
      <c r="L261" s="719"/>
      <c r="M261" s="24">
        <f t="shared" si="52"/>
        <v>1</v>
      </c>
      <c r="N261" s="719"/>
      <c r="O261" s="24">
        <f t="shared" si="53"/>
        <v>1</v>
      </c>
      <c r="P261" s="719" t="s">
        <v>3120</v>
      </c>
      <c r="Q261" s="24">
        <f t="shared" si="54"/>
        <v>1</v>
      </c>
      <c r="R261" s="715">
        <f t="shared" ca="1" si="55"/>
        <v>27374</v>
      </c>
      <c r="S261" s="361">
        <f t="shared" ca="1" si="56"/>
        <v>162</v>
      </c>
      <c r="U261" s="3056" t="str">
        <f>Sheet1!C240</f>
        <v>30-2</v>
      </c>
      <c r="V261" s="799">
        <f>Sheet1!E240</f>
        <v>59.11</v>
      </c>
      <c r="W261" s="799">
        <f t="shared" si="46"/>
        <v>0</v>
      </c>
    </row>
    <row r="262" spans="1:23">
      <c r="A262" s="3043" t="str">
        <f>Sheet1!C241</f>
        <v>30-3</v>
      </c>
      <c r="B262" s="717">
        <f>Sheet1!E241</f>
        <v>89.48</v>
      </c>
      <c r="C262" s="24">
        <f t="shared" si="47"/>
        <v>1</v>
      </c>
      <c r="D262" s="719"/>
      <c r="E262" s="24">
        <f t="shared" si="48"/>
        <v>1</v>
      </c>
      <c r="F262" s="719"/>
      <c r="G262" s="24">
        <f t="shared" si="49"/>
        <v>1</v>
      </c>
      <c r="H262" s="719"/>
      <c r="I262" s="24">
        <f t="shared" si="50"/>
        <v>1</v>
      </c>
      <c r="J262" s="719"/>
      <c r="K262" s="24">
        <f t="shared" si="51"/>
        <v>1</v>
      </c>
      <c r="L262" s="719"/>
      <c r="M262" s="24">
        <f t="shared" si="52"/>
        <v>1</v>
      </c>
      <c r="N262" s="719"/>
      <c r="O262" s="24">
        <f t="shared" si="53"/>
        <v>1</v>
      </c>
      <c r="P262" s="719" t="s">
        <v>3120</v>
      </c>
      <c r="Q262" s="24">
        <f t="shared" si="54"/>
        <v>1</v>
      </c>
      <c r="R262" s="715">
        <f t="shared" ca="1" si="55"/>
        <v>27374</v>
      </c>
      <c r="S262" s="361">
        <f t="shared" ca="1" si="56"/>
        <v>245</v>
      </c>
      <c r="U262" s="3056" t="str">
        <f>Sheet1!C241</f>
        <v>30-3</v>
      </c>
      <c r="V262" s="799">
        <f>Sheet1!E241</f>
        <v>89.48</v>
      </c>
      <c r="W262" s="799">
        <f t="shared" si="46"/>
        <v>0</v>
      </c>
    </row>
    <row r="263" spans="1:23">
      <c r="A263" s="3043" t="str">
        <f>Sheet1!C242</f>
        <v>30-4</v>
      </c>
      <c r="B263" s="717">
        <f>Sheet1!E242</f>
        <v>69.52</v>
      </c>
      <c r="C263" s="24">
        <f t="shared" si="47"/>
        <v>1</v>
      </c>
      <c r="D263" s="719"/>
      <c r="E263" s="24">
        <f t="shared" si="48"/>
        <v>1</v>
      </c>
      <c r="F263" s="719"/>
      <c r="G263" s="24">
        <f t="shared" si="49"/>
        <v>1</v>
      </c>
      <c r="H263" s="719"/>
      <c r="I263" s="24">
        <f t="shared" si="50"/>
        <v>1</v>
      </c>
      <c r="J263" s="719"/>
      <c r="K263" s="24">
        <f t="shared" si="51"/>
        <v>1</v>
      </c>
      <c r="L263" s="719"/>
      <c r="M263" s="24">
        <f t="shared" si="52"/>
        <v>1</v>
      </c>
      <c r="N263" s="719"/>
      <c r="O263" s="24">
        <f t="shared" si="53"/>
        <v>1</v>
      </c>
      <c r="P263" s="719" t="s">
        <v>3120</v>
      </c>
      <c r="Q263" s="24">
        <f t="shared" si="54"/>
        <v>1</v>
      </c>
      <c r="R263" s="715">
        <f t="shared" ca="1" si="55"/>
        <v>27374</v>
      </c>
      <c r="S263" s="361">
        <f t="shared" ca="1" si="56"/>
        <v>190</v>
      </c>
      <c r="U263" s="3056" t="str">
        <f>Sheet1!C242</f>
        <v>30-4</v>
      </c>
      <c r="V263" s="799">
        <f>Sheet1!E242</f>
        <v>69.52</v>
      </c>
      <c r="W263" s="799">
        <f t="shared" si="46"/>
        <v>0</v>
      </c>
    </row>
    <row r="264" spans="1:23">
      <c r="A264" s="3043" t="str">
        <f>Sheet1!C243</f>
        <v>30-5</v>
      </c>
      <c r="B264" s="717">
        <f>Sheet1!E243</f>
        <v>45.68</v>
      </c>
      <c r="C264" s="24">
        <f t="shared" si="47"/>
        <v>1</v>
      </c>
      <c r="D264" s="719"/>
      <c r="E264" s="24">
        <f t="shared" si="48"/>
        <v>1</v>
      </c>
      <c r="F264" s="719"/>
      <c r="G264" s="24">
        <f t="shared" si="49"/>
        <v>1</v>
      </c>
      <c r="H264" s="719"/>
      <c r="I264" s="24">
        <f t="shared" si="50"/>
        <v>1</v>
      </c>
      <c r="J264" s="719"/>
      <c r="K264" s="24">
        <f t="shared" si="51"/>
        <v>1</v>
      </c>
      <c r="L264" s="719"/>
      <c r="M264" s="24">
        <f t="shared" si="52"/>
        <v>1</v>
      </c>
      <c r="N264" s="719"/>
      <c r="O264" s="24">
        <f t="shared" si="53"/>
        <v>1</v>
      </c>
      <c r="P264" s="719" t="s">
        <v>3120</v>
      </c>
      <c r="Q264" s="24">
        <f t="shared" si="54"/>
        <v>1</v>
      </c>
      <c r="R264" s="715">
        <f t="shared" ca="1" si="55"/>
        <v>27374</v>
      </c>
      <c r="S264" s="361">
        <f t="shared" ca="1" si="56"/>
        <v>125</v>
      </c>
      <c r="U264" s="3056" t="str">
        <f>Sheet1!C243</f>
        <v>30-5</v>
      </c>
      <c r="V264" s="799">
        <f>Sheet1!E243</f>
        <v>45.68</v>
      </c>
      <c r="W264" s="799">
        <f t="shared" si="46"/>
        <v>0</v>
      </c>
    </row>
    <row r="265" spans="1:23">
      <c r="A265" s="3043" t="str">
        <f>Sheet1!C244</f>
        <v>30-6</v>
      </c>
      <c r="B265" s="717">
        <f>Sheet1!E244</f>
        <v>40.85</v>
      </c>
      <c r="C265" s="24">
        <f t="shared" si="47"/>
        <v>1</v>
      </c>
      <c r="D265" s="719"/>
      <c r="E265" s="24">
        <f t="shared" si="48"/>
        <v>1</v>
      </c>
      <c r="F265" s="719"/>
      <c r="G265" s="24">
        <f t="shared" si="49"/>
        <v>1</v>
      </c>
      <c r="H265" s="719"/>
      <c r="I265" s="24">
        <f t="shared" si="50"/>
        <v>1</v>
      </c>
      <c r="J265" s="719"/>
      <c r="K265" s="24">
        <f t="shared" si="51"/>
        <v>1</v>
      </c>
      <c r="L265" s="719"/>
      <c r="M265" s="24">
        <f t="shared" si="52"/>
        <v>1</v>
      </c>
      <c r="N265" s="719"/>
      <c r="O265" s="24">
        <f t="shared" si="53"/>
        <v>1</v>
      </c>
      <c r="P265" s="719" t="s">
        <v>3120</v>
      </c>
      <c r="Q265" s="24">
        <f t="shared" si="54"/>
        <v>1</v>
      </c>
      <c r="R265" s="715">
        <f t="shared" ca="1" si="55"/>
        <v>27374</v>
      </c>
      <c r="S265" s="361">
        <f t="shared" ca="1" si="56"/>
        <v>112</v>
      </c>
      <c r="U265" s="3056" t="str">
        <f>Sheet1!C244</f>
        <v>30-6</v>
      </c>
      <c r="V265" s="799">
        <f>Sheet1!E244</f>
        <v>40.85</v>
      </c>
      <c r="W265" s="799">
        <f t="shared" si="46"/>
        <v>0</v>
      </c>
    </row>
    <row r="266" spans="1:23">
      <c r="A266" s="3043" t="str">
        <f>Sheet1!C245</f>
        <v>30-7</v>
      </c>
      <c r="B266" s="717">
        <f>Sheet1!E245</f>
        <v>39.53</v>
      </c>
      <c r="C266" s="24">
        <f t="shared" si="47"/>
        <v>1</v>
      </c>
      <c r="D266" s="719"/>
      <c r="E266" s="24">
        <f t="shared" si="48"/>
        <v>1</v>
      </c>
      <c r="F266" s="719"/>
      <c r="G266" s="24">
        <f t="shared" si="49"/>
        <v>1</v>
      </c>
      <c r="H266" s="719"/>
      <c r="I266" s="24">
        <f t="shared" si="50"/>
        <v>1</v>
      </c>
      <c r="J266" s="719"/>
      <c r="K266" s="24">
        <f t="shared" si="51"/>
        <v>1</v>
      </c>
      <c r="L266" s="719"/>
      <c r="M266" s="24">
        <f t="shared" si="52"/>
        <v>1</v>
      </c>
      <c r="N266" s="719"/>
      <c r="O266" s="24">
        <f t="shared" si="53"/>
        <v>1</v>
      </c>
      <c r="P266" s="719" t="s">
        <v>3120</v>
      </c>
      <c r="Q266" s="24">
        <f t="shared" si="54"/>
        <v>1</v>
      </c>
      <c r="R266" s="715">
        <f t="shared" ca="1" si="55"/>
        <v>27374</v>
      </c>
      <c r="S266" s="361">
        <f t="shared" ca="1" si="56"/>
        <v>108</v>
      </c>
      <c r="U266" s="3056" t="str">
        <f>Sheet1!C245</f>
        <v>30-7</v>
      </c>
      <c r="V266" s="799">
        <f>Sheet1!E245</f>
        <v>39.53</v>
      </c>
      <c r="W266" s="799">
        <f t="shared" si="46"/>
        <v>0</v>
      </c>
    </row>
    <row r="267" spans="1:23">
      <c r="A267" s="3043" t="str">
        <f>Sheet1!C246</f>
        <v>30-8</v>
      </c>
      <c r="B267" s="717">
        <f>Sheet1!E246</f>
        <v>58.02</v>
      </c>
      <c r="C267" s="24">
        <f t="shared" si="47"/>
        <v>1</v>
      </c>
      <c r="D267" s="719"/>
      <c r="E267" s="24">
        <f t="shared" si="48"/>
        <v>1</v>
      </c>
      <c r="F267" s="719"/>
      <c r="G267" s="24">
        <f t="shared" si="49"/>
        <v>1</v>
      </c>
      <c r="H267" s="719"/>
      <c r="I267" s="24">
        <f t="shared" si="50"/>
        <v>1</v>
      </c>
      <c r="J267" s="719"/>
      <c r="K267" s="24">
        <f t="shared" si="51"/>
        <v>1</v>
      </c>
      <c r="L267" s="719"/>
      <c r="M267" s="24">
        <f t="shared" si="52"/>
        <v>1</v>
      </c>
      <c r="N267" s="719"/>
      <c r="O267" s="24">
        <f t="shared" si="53"/>
        <v>1</v>
      </c>
      <c r="P267" s="719" t="s">
        <v>3120</v>
      </c>
      <c r="Q267" s="24">
        <f t="shared" si="54"/>
        <v>1</v>
      </c>
      <c r="R267" s="715">
        <f t="shared" ca="1" si="55"/>
        <v>27374</v>
      </c>
      <c r="S267" s="361">
        <f t="shared" ca="1" si="56"/>
        <v>159</v>
      </c>
      <c r="U267" s="3056" t="str">
        <f>Sheet1!C246</f>
        <v>30-8</v>
      </c>
      <c r="V267" s="799">
        <f>Sheet1!E246</f>
        <v>58.02</v>
      </c>
      <c r="W267" s="799">
        <f t="shared" si="46"/>
        <v>0</v>
      </c>
    </row>
    <row r="268" spans="1:23">
      <c r="A268" s="3043" t="str">
        <f>Sheet1!C247</f>
        <v>31-1</v>
      </c>
      <c r="B268" s="717">
        <f>Sheet1!E247</f>
        <v>93.27</v>
      </c>
      <c r="C268" s="24">
        <f t="shared" si="47"/>
        <v>1</v>
      </c>
      <c r="D268" s="719"/>
      <c r="E268" s="24">
        <f t="shared" si="48"/>
        <v>1</v>
      </c>
      <c r="F268" s="719"/>
      <c r="G268" s="24">
        <f t="shared" si="49"/>
        <v>1</v>
      </c>
      <c r="H268" s="719"/>
      <c r="I268" s="24">
        <f t="shared" si="50"/>
        <v>1</v>
      </c>
      <c r="J268" s="719"/>
      <c r="K268" s="24">
        <f t="shared" si="51"/>
        <v>1</v>
      </c>
      <c r="L268" s="719"/>
      <c r="M268" s="24">
        <f t="shared" si="52"/>
        <v>1</v>
      </c>
      <c r="N268" s="719"/>
      <c r="O268" s="24">
        <f t="shared" si="53"/>
        <v>1</v>
      </c>
      <c r="P268" s="719" t="s">
        <v>3120</v>
      </c>
      <c r="Q268" s="24">
        <f t="shared" si="54"/>
        <v>1</v>
      </c>
      <c r="R268" s="715">
        <f t="shared" ca="1" si="55"/>
        <v>27374</v>
      </c>
      <c r="S268" s="361">
        <f t="shared" ca="1" si="56"/>
        <v>255</v>
      </c>
      <c r="U268" s="3056" t="str">
        <f>Sheet1!C247</f>
        <v>31-1</v>
      </c>
      <c r="V268" s="799">
        <f>Sheet1!E247</f>
        <v>93.27</v>
      </c>
      <c r="W268" s="799">
        <f t="shared" si="46"/>
        <v>0</v>
      </c>
    </row>
    <row r="269" spans="1:23">
      <c r="A269" s="3043" t="str">
        <f>Sheet1!C248</f>
        <v>31-2</v>
      </c>
      <c r="B269" s="717">
        <f>Sheet1!E248</f>
        <v>93.27</v>
      </c>
      <c r="C269" s="24">
        <f t="shared" si="47"/>
        <v>1</v>
      </c>
      <c r="D269" s="719"/>
      <c r="E269" s="24">
        <f t="shared" si="48"/>
        <v>1</v>
      </c>
      <c r="F269" s="719"/>
      <c r="G269" s="24">
        <f t="shared" si="49"/>
        <v>1</v>
      </c>
      <c r="H269" s="719"/>
      <c r="I269" s="24">
        <f t="shared" si="50"/>
        <v>1</v>
      </c>
      <c r="J269" s="719"/>
      <c r="K269" s="24">
        <f t="shared" si="51"/>
        <v>1</v>
      </c>
      <c r="L269" s="719"/>
      <c r="M269" s="24">
        <f t="shared" si="52"/>
        <v>1</v>
      </c>
      <c r="N269" s="719"/>
      <c r="O269" s="24">
        <f t="shared" si="53"/>
        <v>1</v>
      </c>
      <c r="P269" s="719" t="s">
        <v>3120</v>
      </c>
      <c r="Q269" s="24">
        <f t="shared" si="54"/>
        <v>1</v>
      </c>
      <c r="R269" s="715">
        <f t="shared" ca="1" si="55"/>
        <v>27374</v>
      </c>
      <c r="S269" s="361">
        <f t="shared" ca="1" si="56"/>
        <v>255</v>
      </c>
      <c r="U269" s="3056" t="str">
        <f>Sheet1!C248</f>
        <v>31-2</v>
      </c>
      <c r="V269" s="799">
        <f>Sheet1!E248</f>
        <v>93.27</v>
      </c>
      <c r="W269" s="799">
        <f t="shared" si="46"/>
        <v>0</v>
      </c>
    </row>
    <row r="270" spans="1:23">
      <c r="A270" s="3043" t="str">
        <f>Sheet1!C249</f>
        <v>31-3</v>
      </c>
      <c r="B270" s="717">
        <f>Sheet1!E249</f>
        <v>93.27</v>
      </c>
      <c r="C270" s="24">
        <f t="shared" si="47"/>
        <v>1</v>
      </c>
      <c r="D270" s="719"/>
      <c r="E270" s="24">
        <f t="shared" si="48"/>
        <v>1</v>
      </c>
      <c r="F270" s="719"/>
      <c r="G270" s="24">
        <f t="shared" si="49"/>
        <v>1</v>
      </c>
      <c r="H270" s="719"/>
      <c r="I270" s="24">
        <f t="shared" si="50"/>
        <v>1</v>
      </c>
      <c r="J270" s="719"/>
      <c r="K270" s="24">
        <f t="shared" si="51"/>
        <v>1</v>
      </c>
      <c r="L270" s="719"/>
      <c r="M270" s="24">
        <f t="shared" si="52"/>
        <v>1</v>
      </c>
      <c r="N270" s="719"/>
      <c r="O270" s="24">
        <f t="shared" si="53"/>
        <v>1</v>
      </c>
      <c r="P270" s="719" t="s">
        <v>3120</v>
      </c>
      <c r="Q270" s="24">
        <f t="shared" si="54"/>
        <v>1</v>
      </c>
      <c r="R270" s="715">
        <f t="shared" ca="1" si="55"/>
        <v>27374</v>
      </c>
      <c r="S270" s="361">
        <f t="shared" ca="1" si="56"/>
        <v>255</v>
      </c>
      <c r="U270" s="3056" t="str">
        <f>Sheet1!C249</f>
        <v>31-3</v>
      </c>
      <c r="V270" s="799">
        <f>Sheet1!E249</f>
        <v>93.27</v>
      </c>
      <c r="W270" s="799">
        <f t="shared" si="46"/>
        <v>0</v>
      </c>
    </row>
    <row r="271" spans="1:23">
      <c r="A271" s="3043" t="str">
        <f>Sheet1!C250</f>
        <v>31-4</v>
      </c>
      <c r="B271" s="717">
        <f>Sheet1!E250</f>
        <v>143.74</v>
      </c>
      <c r="C271" s="24">
        <f t="shared" si="47"/>
        <v>0.99</v>
      </c>
      <c r="D271" s="719"/>
      <c r="E271" s="24">
        <f t="shared" si="48"/>
        <v>1</v>
      </c>
      <c r="F271" s="719"/>
      <c r="G271" s="24">
        <f t="shared" si="49"/>
        <v>1</v>
      </c>
      <c r="H271" s="719"/>
      <c r="I271" s="24">
        <f t="shared" si="50"/>
        <v>1</v>
      </c>
      <c r="J271" s="719"/>
      <c r="K271" s="24">
        <f t="shared" si="51"/>
        <v>1</v>
      </c>
      <c r="L271" s="719"/>
      <c r="M271" s="24">
        <f t="shared" si="52"/>
        <v>1</v>
      </c>
      <c r="N271" s="719"/>
      <c r="O271" s="24">
        <f t="shared" si="53"/>
        <v>1</v>
      </c>
      <c r="P271" s="719" t="s">
        <v>3120</v>
      </c>
      <c r="Q271" s="24">
        <f t="shared" si="54"/>
        <v>1</v>
      </c>
      <c r="R271" s="715">
        <f t="shared" ca="1" si="55"/>
        <v>27100</v>
      </c>
      <c r="S271" s="361">
        <f t="shared" ca="1" si="56"/>
        <v>390</v>
      </c>
      <c r="U271" s="3056" t="str">
        <f>Sheet1!C250</f>
        <v>31-4</v>
      </c>
      <c r="V271" s="799">
        <f>Sheet1!E250</f>
        <v>143.74</v>
      </c>
      <c r="W271" s="799">
        <f t="shared" si="46"/>
        <v>0</v>
      </c>
    </row>
    <row r="272" spans="1:23">
      <c r="A272" s="3043" t="str">
        <f>Sheet1!C251</f>
        <v>31-5</v>
      </c>
      <c r="B272" s="717">
        <f>Sheet1!E251</f>
        <v>72.23</v>
      </c>
      <c r="C272" s="24">
        <f t="shared" si="47"/>
        <v>1</v>
      </c>
      <c r="D272" s="719"/>
      <c r="E272" s="24">
        <f t="shared" si="48"/>
        <v>1</v>
      </c>
      <c r="F272" s="719"/>
      <c r="G272" s="24">
        <f t="shared" si="49"/>
        <v>1</v>
      </c>
      <c r="H272" s="719"/>
      <c r="I272" s="24">
        <f t="shared" si="50"/>
        <v>1</v>
      </c>
      <c r="J272" s="719"/>
      <c r="K272" s="24">
        <f t="shared" si="51"/>
        <v>1</v>
      </c>
      <c r="L272" s="719"/>
      <c r="M272" s="24">
        <f t="shared" si="52"/>
        <v>1</v>
      </c>
      <c r="N272" s="719"/>
      <c r="O272" s="24">
        <f t="shared" si="53"/>
        <v>1</v>
      </c>
      <c r="P272" s="719" t="s">
        <v>3120</v>
      </c>
      <c r="Q272" s="24">
        <f t="shared" si="54"/>
        <v>1</v>
      </c>
      <c r="R272" s="715">
        <f t="shared" ca="1" si="55"/>
        <v>27374</v>
      </c>
      <c r="S272" s="361">
        <f t="shared" ca="1" si="56"/>
        <v>198</v>
      </c>
      <c r="U272" s="3056" t="str">
        <f>Sheet1!C251</f>
        <v>31-5</v>
      </c>
      <c r="V272" s="799">
        <f>Sheet1!E251</f>
        <v>72.23</v>
      </c>
      <c r="W272" s="799">
        <f t="shared" si="46"/>
        <v>0</v>
      </c>
    </row>
    <row r="273" spans="1:23">
      <c r="A273" s="3043" t="str">
        <f>Sheet1!C252</f>
        <v>31-6</v>
      </c>
      <c r="B273" s="717">
        <f>Sheet1!E252</f>
        <v>83.76</v>
      </c>
      <c r="C273" s="24">
        <f t="shared" si="47"/>
        <v>1</v>
      </c>
      <c r="D273" s="719"/>
      <c r="E273" s="24">
        <f t="shared" si="48"/>
        <v>1</v>
      </c>
      <c r="F273" s="719"/>
      <c r="G273" s="24">
        <f t="shared" si="49"/>
        <v>1</v>
      </c>
      <c r="H273" s="719"/>
      <c r="I273" s="24">
        <f t="shared" si="50"/>
        <v>1</v>
      </c>
      <c r="J273" s="719"/>
      <c r="K273" s="24">
        <f t="shared" si="51"/>
        <v>1</v>
      </c>
      <c r="L273" s="719"/>
      <c r="M273" s="24">
        <f t="shared" si="52"/>
        <v>1</v>
      </c>
      <c r="N273" s="719"/>
      <c r="O273" s="24">
        <f t="shared" si="53"/>
        <v>1</v>
      </c>
      <c r="P273" s="719" t="s">
        <v>3120</v>
      </c>
      <c r="Q273" s="24">
        <f t="shared" si="54"/>
        <v>1</v>
      </c>
      <c r="R273" s="715">
        <f t="shared" ca="1" si="55"/>
        <v>27374</v>
      </c>
      <c r="S273" s="361">
        <f t="shared" ca="1" si="56"/>
        <v>229</v>
      </c>
      <c r="U273" s="3056" t="str">
        <f>Sheet1!C252</f>
        <v>31-6</v>
      </c>
      <c r="V273" s="799">
        <f>Sheet1!E252</f>
        <v>83.76</v>
      </c>
      <c r="W273" s="799">
        <f t="shared" si="46"/>
        <v>0</v>
      </c>
    </row>
    <row r="274" spans="1:23">
      <c r="A274" s="3043" t="str">
        <f>Sheet1!C253</f>
        <v>31-7</v>
      </c>
      <c r="B274" s="717">
        <f>Sheet1!E253</f>
        <v>188.34</v>
      </c>
      <c r="C274" s="24">
        <f t="shared" si="47"/>
        <v>0.99</v>
      </c>
      <c r="D274" s="719"/>
      <c r="E274" s="24">
        <f t="shared" si="48"/>
        <v>1</v>
      </c>
      <c r="F274" s="719"/>
      <c r="G274" s="24">
        <f t="shared" si="49"/>
        <v>1</v>
      </c>
      <c r="H274" s="719"/>
      <c r="I274" s="24">
        <f t="shared" si="50"/>
        <v>1</v>
      </c>
      <c r="J274" s="719"/>
      <c r="K274" s="24">
        <f t="shared" si="51"/>
        <v>1</v>
      </c>
      <c r="L274" s="719"/>
      <c r="M274" s="24">
        <f t="shared" si="52"/>
        <v>1</v>
      </c>
      <c r="N274" s="719"/>
      <c r="O274" s="24">
        <f t="shared" si="53"/>
        <v>1</v>
      </c>
      <c r="P274" s="719" t="s">
        <v>3120</v>
      </c>
      <c r="Q274" s="24">
        <f t="shared" si="54"/>
        <v>1</v>
      </c>
      <c r="R274" s="715">
        <f t="shared" ca="1" si="55"/>
        <v>27100</v>
      </c>
      <c r="S274" s="361">
        <f t="shared" ca="1" si="56"/>
        <v>510</v>
      </c>
      <c r="U274" s="3056" t="str">
        <f>Sheet1!C253</f>
        <v>31-7</v>
      </c>
      <c r="V274" s="799">
        <f>Sheet1!E253</f>
        <v>188.34</v>
      </c>
      <c r="W274" s="799">
        <f t="shared" si="46"/>
        <v>0</v>
      </c>
    </row>
    <row r="275" spans="1:23">
      <c r="A275" s="3043" t="str">
        <f>Sheet1!C254</f>
        <v>31-8</v>
      </c>
      <c r="B275" s="717">
        <f>Sheet1!E254</f>
        <v>202.88</v>
      </c>
      <c r="C275" s="24">
        <f t="shared" si="47"/>
        <v>0.98</v>
      </c>
      <c r="D275" s="719"/>
      <c r="E275" s="24">
        <f t="shared" si="48"/>
        <v>1</v>
      </c>
      <c r="F275" s="719"/>
      <c r="G275" s="24">
        <f t="shared" si="49"/>
        <v>1</v>
      </c>
      <c r="H275" s="719"/>
      <c r="I275" s="24">
        <f t="shared" si="50"/>
        <v>1</v>
      </c>
      <c r="J275" s="719"/>
      <c r="K275" s="24">
        <f t="shared" si="51"/>
        <v>1</v>
      </c>
      <c r="L275" s="719"/>
      <c r="M275" s="24">
        <f t="shared" si="52"/>
        <v>1</v>
      </c>
      <c r="N275" s="719"/>
      <c r="O275" s="24">
        <f t="shared" si="53"/>
        <v>1</v>
      </c>
      <c r="P275" s="719" t="s">
        <v>3120</v>
      </c>
      <c r="Q275" s="24">
        <f t="shared" si="54"/>
        <v>1</v>
      </c>
      <c r="R275" s="715">
        <f t="shared" ca="1" si="55"/>
        <v>26827</v>
      </c>
      <c r="S275" s="361">
        <f t="shared" ca="1" si="56"/>
        <v>544</v>
      </c>
      <c r="U275" s="3056" t="str">
        <f>Sheet1!C254</f>
        <v>31-8</v>
      </c>
      <c r="V275" s="799">
        <f>Sheet1!E254</f>
        <v>202.88</v>
      </c>
      <c r="W275" s="799">
        <f t="shared" si="46"/>
        <v>0</v>
      </c>
    </row>
    <row r="276" spans="1:23">
      <c r="A276" s="3043" t="str">
        <f>Sheet1!C255</f>
        <v>31-9</v>
      </c>
      <c r="B276" s="717">
        <f>Sheet1!E255</f>
        <v>235.96</v>
      </c>
      <c r="C276" s="24">
        <f t="shared" si="47"/>
        <v>0.98</v>
      </c>
      <c r="D276" s="719"/>
      <c r="E276" s="24">
        <f t="shared" si="48"/>
        <v>1</v>
      </c>
      <c r="F276" s="719"/>
      <c r="G276" s="24">
        <f t="shared" si="49"/>
        <v>1</v>
      </c>
      <c r="H276" s="719"/>
      <c r="I276" s="24">
        <f t="shared" si="50"/>
        <v>1</v>
      </c>
      <c r="J276" s="719"/>
      <c r="K276" s="24">
        <f t="shared" si="51"/>
        <v>1</v>
      </c>
      <c r="L276" s="719"/>
      <c r="M276" s="24">
        <f t="shared" si="52"/>
        <v>1</v>
      </c>
      <c r="N276" s="719"/>
      <c r="O276" s="24">
        <f t="shared" si="53"/>
        <v>1</v>
      </c>
      <c r="P276" s="719" t="s">
        <v>3120</v>
      </c>
      <c r="Q276" s="24">
        <f t="shared" si="54"/>
        <v>1</v>
      </c>
      <c r="R276" s="715">
        <f t="shared" ca="1" si="55"/>
        <v>26827</v>
      </c>
      <c r="S276" s="361">
        <f t="shared" ca="1" si="56"/>
        <v>633</v>
      </c>
      <c r="U276" s="3056" t="str">
        <f>Sheet1!C255</f>
        <v>31-9</v>
      </c>
      <c r="V276" s="799">
        <f>Sheet1!E255</f>
        <v>235.96</v>
      </c>
      <c r="W276" s="799">
        <f t="shared" si="46"/>
        <v>0</v>
      </c>
    </row>
    <row r="277" spans="1:23">
      <c r="A277" s="3043" t="str">
        <f>Sheet1!C256</f>
        <v>32-1</v>
      </c>
      <c r="B277" s="717">
        <f>Sheet1!E256</f>
        <v>101.64</v>
      </c>
      <c r="C277" s="24">
        <f t="shared" si="47"/>
        <v>0.99</v>
      </c>
      <c r="D277" s="719"/>
      <c r="E277" s="24">
        <f t="shared" si="48"/>
        <v>1</v>
      </c>
      <c r="F277" s="719"/>
      <c r="G277" s="24">
        <f t="shared" si="49"/>
        <v>1</v>
      </c>
      <c r="H277" s="719"/>
      <c r="I277" s="24">
        <f t="shared" si="50"/>
        <v>1</v>
      </c>
      <c r="J277" s="719"/>
      <c r="K277" s="24">
        <f t="shared" si="51"/>
        <v>1</v>
      </c>
      <c r="L277" s="719"/>
      <c r="M277" s="24">
        <f t="shared" si="52"/>
        <v>1</v>
      </c>
      <c r="N277" s="719"/>
      <c r="O277" s="24">
        <f t="shared" si="53"/>
        <v>1</v>
      </c>
      <c r="P277" s="719" t="s">
        <v>3120</v>
      </c>
      <c r="Q277" s="24">
        <f t="shared" si="54"/>
        <v>1</v>
      </c>
      <c r="R277" s="715">
        <f t="shared" ca="1" si="55"/>
        <v>27100</v>
      </c>
      <c r="S277" s="361">
        <f t="shared" ca="1" si="56"/>
        <v>275</v>
      </c>
      <c r="U277" s="3056" t="str">
        <f>Sheet1!C256</f>
        <v>32-1</v>
      </c>
      <c r="V277" s="799">
        <f>Sheet1!E256</f>
        <v>101.64</v>
      </c>
      <c r="W277" s="799">
        <f t="shared" si="46"/>
        <v>0</v>
      </c>
    </row>
    <row r="278" spans="1:23">
      <c r="A278" s="3043" t="str">
        <f>Sheet1!C257</f>
        <v>32-2</v>
      </c>
      <c r="B278" s="717">
        <f>Sheet1!E257</f>
        <v>68.61</v>
      </c>
      <c r="C278" s="24">
        <f t="shared" si="47"/>
        <v>1</v>
      </c>
      <c r="D278" s="719"/>
      <c r="E278" s="24">
        <f t="shared" si="48"/>
        <v>1</v>
      </c>
      <c r="F278" s="719"/>
      <c r="G278" s="24">
        <f t="shared" si="49"/>
        <v>1</v>
      </c>
      <c r="H278" s="719"/>
      <c r="I278" s="24">
        <f t="shared" si="50"/>
        <v>1</v>
      </c>
      <c r="J278" s="719"/>
      <c r="K278" s="24">
        <f t="shared" si="51"/>
        <v>1</v>
      </c>
      <c r="L278" s="719"/>
      <c r="M278" s="24">
        <f t="shared" si="52"/>
        <v>1</v>
      </c>
      <c r="N278" s="719"/>
      <c r="O278" s="24">
        <f t="shared" si="53"/>
        <v>1</v>
      </c>
      <c r="P278" s="719" t="s">
        <v>3120</v>
      </c>
      <c r="Q278" s="24">
        <f t="shared" si="54"/>
        <v>1</v>
      </c>
      <c r="R278" s="715">
        <f t="shared" ca="1" si="55"/>
        <v>27374</v>
      </c>
      <c r="S278" s="361">
        <f t="shared" ca="1" si="56"/>
        <v>188</v>
      </c>
      <c r="U278" s="3056" t="str">
        <f>Sheet1!C257</f>
        <v>32-2</v>
      </c>
      <c r="V278" s="799">
        <f>Sheet1!E257</f>
        <v>68.61</v>
      </c>
      <c r="W278" s="799">
        <f t="shared" si="46"/>
        <v>0</v>
      </c>
    </row>
    <row r="279" spans="1:23">
      <c r="A279" s="3043" t="str">
        <f>Sheet1!C258</f>
        <v>32-3</v>
      </c>
      <c r="B279" s="717">
        <f>Sheet1!E258</f>
        <v>63.32</v>
      </c>
      <c r="C279" s="24">
        <f t="shared" si="47"/>
        <v>1</v>
      </c>
      <c r="D279" s="719"/>
      <c r="E279" s="24">
        <f t="shared" si="48"/>
        <v>1</v>
      </c>
      <c r="F279" s="719"/>
      <c r="G279" s="24">
        <f t="shared" si="49"/>
        <v>1</v>
      </c>
      <c r="H279" s="719"/>
      <c r="I279" s="24">
        <f t="shared" si="50"/>
        <v>1</v>
      </c>
      <c r="J279" s="719"/>
      <c r="K279" s="24">
        <f t="shared" si="51"/>
        <v>1</v>
      </c>
      <c r="L279" s="719"/>
      <c r="M279" s="24">
        <f t="shared" si="52"/>
        <v>1</v>
      </c>
      <c r="N279" s="719"/>
      <c r="O279" s="24">
        <f t="shared" si="53"/>
        <v>1</v>
      </c>
      <c r="P279" s="719" t="s">
        <v>3120</v>
      </c>
      <c r="Q279" s="24">
        <f t="shared" si="54"/>
        <v>1</v>
      </c>
      <c r="R279" s="715">
        <f t="shared" ca="1" si="55"/>
        <v>27374</v>
      </c>
      <c r="S279" s="361">
        <f t="shared" ca="1" si="56"/>
        <v>173</v>
      </c>
      <c r="U279" s="3056" t="str">
        <f>Sheet1!C258</f>
        <v>32-3</v>
      </c>
      <c r="V279" s="799">
        <f>Sheet1!E258</f>
        <v>63.32</v>
      </c>
      <c r="W279" s="799">
        <f t="shared" si="46"/>
        <v>0</v>
      </c>
    </row>
    <row r="280" spans="1:23">
      <c r="A280" s="3043" t="str">
        <f>Sheet1!C259</f>
        <v>32-4</v>
      </c>
      <c r="B280" s="717">
        <f>Sheet1!E259</f>
        <v>51.77</v>
      </c>
      <c r="C280" s="24">
        <f t="shared" si="47"/>
        <v>1</v>
      </c>
      <c r="D280" s="719"/>
      <c r="E280" s="24">
        <f t="shared" si="48"/>
        <v>1</v>
      </c>
      <c r="F280" s="719"/>
      <c r="G280" s="24">
        <f t="shared" si="49"/>
        <v>1</v>
      </c>
      <c r="H280" s="719"/>
      <c r="I280" s="24">
        <f t="shared" si="50"/>
        <v>1</v>
      </c>
      <c r="J280" s="719"/>
      <c r="K280" s="24">
        <f t="shared" si="51"/>
        <v>1</v>
      </c>
      <c r="L280" s="719"/>
      <c r="M280" s="24">
        <f t="shared" si="52"/>
        <v>1</v>
      </c>
      <c r="N280" s="719"/>
      <c r="O280" s="24">
        <f t="shared" si="53"/>
        <v>1</v>
      </c>
      <c r="P280" s="719" t="s">
        <v>3120</v>
      </c>
      <c r="Q280" s="24">
        <f t="shared" si="54"/>
        <v>1</v>
      </c>
      <c r="R280" s="715">
        <f t="shared" ca="1" si="55"/>
        <v>27374</v>
      </c>
      <c r="S280" s="361">
        <f t="shared" ca="1" si="56"/>
        <v>142</v>
      </c>
      <c r="U280" s="3056" t="str">
        <f>Sheet1!C259</f>
        <v>32-4</v>
      </c>
      <c r="V280" s="799">
        <f>Sheet1!E259</f>
        <v>51.77</v>
      </c>
      <c r="W280" s="799">
        <f t="shared" si="46"/>
        <v>0</v>
      </c>
    </row>
    <row r="281" spans="1:23">
      <c r="A281" s="3043" t="str">
        <f>Sheet1!C260</f>
        <v>32-5</v>
      </c>
      <c r="B281" s="717">
        <f>Sheet1!E260</f>
        <v>45.79</v>
      </c>
      <c r="C281" s="24">
        <f t="shared" si="47"/>
        <v>1</v>
      </c>
      <c r="D281" s="719"/>
      <c r="E281" s="24">
        <f t="shared" si="48"/>
        <v>1</v>
      </c>
      <c r="F281" s="719"/>
      <c r="G281" s="24">
        <f t="shared" si="49"/>
        <v>1</v>
      </c>
      <c r="H281" s="719"/>
      <c r="I281" s="24">
        <f t="shared" si="50"/>
        <v>1</v>
      </c>
      <c r="J281" s="719"/>
      <c r="K281" s="24">
        <f t="shared" si="51"/>
        <v>1</v>
      </c>
      <c r="L281" s="719"/>
      <c r="M281" s="24">
        <f t="shared" si="52"/>
        <v>1</v>
      </c>
      <c r="N281" s="719"/>
      <c r="O281" s="24">
        <f t="shared" si="53"/>
        <v>1</v>
      </c>
      <c r="P281" s="719" t="s">
        <v>3120</v>
      </c>
      <c r="Q281" s="24">
        <f t="shared" si="54"/>
        <v>1</v>
      </c>
      <c r="R281" s="715">
        <f t="shared" ca="1" si="55"/>
        <v>27374</v>
      </c>
      <c r="S281" s="361">
        <f t="shared" ca="1" si="56"/>
        <v>125</v>
      </c>
      <c r="U281" s="3056" t="str">
        <f>Sheet1!C260</f>
        <v>32-5</v>
      </c>
      <c r="V281" s="799">
        <f>Sheet1!E260</f>
        <v>45.79</v>
      </c>
      <c r="W281" s="799">
        <f t="shared" ref="W281:W344" si="57">B281-V281</f>
        <v>0</v>
      </c>
    </row>
    <row r="282" spans="1:23">
      <c r="A282" s="3043" t="str">
        <f>Sheet1!C261</f>
        <v>32-6</v>
      </c>
      <c r="B282" s="717">
        <f>Sheet1!E261</f>
        <v>72.72</v>
      </c>
      <c r="C282" s="24">
        <f t="shared" ref="C282:C345" si="58">IF(B282="",1,(LOOKUP(B282,$3:$3,$4:$4)-LOOKUP($B$24,$3:$3,$4:$4)+100)/100)</f>
        <v>1</v>
      </c>
      <c r="D282" s="719"/>
      <c r="E282" s="24">
        <f t="shared" ref="E282:E345" si="59">(SUMIF($5:$5,D282,$6:$6)-SUMIF($5:$5,$D$24,$6:$6)+100)/100</f>
        <v>1</v>
      </c>
      <c r="F282" s="719"/>
      <c r="G282" s="24">
        <f t="shared" ref="G282:G345" si="60">(SUMIF($7:$7,F282,$8:$8)-SUMIF($7:$7,$F$24,$8:$8)+100)/100</f>
        <v>1</v>
      </c>
      <c r="H282" s="719"/>
      <c r="I282" s="24">
        <f t="shared" ref="I282:I345" si="61">(SUMIF($9:$9,H282,$10:$10)-SUMIF($9:$9,$H$24,$10:$10)+100)/100</f>
        <v>1</v>
      </c>
      <c r="J282" s="719"/>
      <c r="K282" s="24">
        <f t="shared" ref="K282:K345" si="62">(SUMIF($11:$11,J282,$12:$12)-SUMIF($11:$11,$J$24,$12:$12)+100)/100</f>
        <v>1</v>
      </c>
      <c r="L282" s="719"/>
      <c r="M282" s="24">
        <f t="shared" ref="M282:M345" si="63">(SUMIF($13:$13,L282,$14:$14)-SUMIF($13:$13,$L$24,$14:$14)+100)/100</f>
        <v>1</v>
      </c>
      <c r="N282" s="719"/>
      <c r="O282" s="24">
        <f t="shared" ref="O282:O345" si="64">(SUMIF($15:$15,N282,$16:$16)-SUMIF($15:$15,$N$24,$16:$16)+100)/100</f>
        <v>1</v>
      </c>
      <c r="P282" s="719" t="s">
        <v>3120</v>
      </c>
      <c r="Q282" s="24">
        <f t="shared" ref="Q282:Q345" si="65">(SUMIF($17:$17,P282,$18:$18)-SUMIF($17:$17,$P$24,$18:$18)+100)/100</f>
        <v>1</v>
      </c>
      <c r="R282" s="715">
        <f t="shared" ref="R282:R345" ca="1" si="66">IF(B282="",0,ROUND($R$24*C282*E282*G282*I282*K282*M282*O282*Q282,0))</f>
        <v>27374</v>
      </c>
      <c r="S282" s="361">
        <f t="shared" ca="1" si="56"/>
        <v>199</v>
      </c>
      <c r="U282" s="3056" t="str">
        <f>Sheet1!C261</f>
        <v>32-6</v>
      </c>
      <c r="V282" s="799">
        <f>Sheet1!E261</f>
        <v>72.72</v>
      </c>
      <c r="W282" s="799">
        <f t="shared" si="57"/>
        <v>0</v>
      </c>
    </row>
    <row r="283" spans="1:23">
      <c r="A283" s="3043" t="str">
        <f>Sheet1!C262</f>
        <v>32-7</v>
      </c>
      <c r="B283" s="717">
        <f>Sheet1!E262</f>
        <v>78.09</v>
      </c>
      <c r="C283" s="24">
        <f t="shared" si="58"/>
        <v>1</v>
      </c>
      <c r="D283" s="719"/>
      <c r="E283" s="24">
        <f t="shared" si="59"/>
        <v>1</v>
      </c>
      <c r="F283" s="719"/>
      <c r="G283" s="24">
        <f t="shared" si="60"/>
        <v>1</v>
      </c>
      <c r="H283" s="719"/>
      <c r="I283" s="24">
        <f t="shared" si="61"/>
        <v>1</v>
      </c>
      <c r="J283" s="719"/>
      <c r="K283" s="24">
        <f t="shared" si="62"/>
        <v>1</v>
      </c>
      <c r="L283" s="719"/>
      <c r="M283" s="24">
        <f t="shared" si="63"/>
        <v>1</v>
      </c>
      <c r="N283" s="719"/>
      <c r="O283" s="24">
        <f t="shared" si="64"/>
        <v>1</v>
      </c>
      <c r="P283" s="719" t="s">
        <v>3120</v>
      </c>
      <c r="Q283" s="24">
        <f t="shared" si="65"/>
        <v>1</v>
      </c>
      <c r="R283" s="715">
        <f t="shared" ca="1" si="66"/>
        <v>27374</v>
      </c>
      <c r="S283" s="361">
        <f t="shared" ca="1" si="56"/>
        <v>214</v>
      </c>
      <c r="U283" s="3056" t="str">
        <f>Sheet1!C262</f>
        <v>32-7</v>
      </c>
      <c r="V283" s="799">
        <f>Sheet1!E262</f>
        <v>78.09</v>
      </c>
      <c r="W283" s="799">
        <f t="shared" si="57"/>
        <v>0</v>
      </c>
    </row>
    <row r="284" spans="1:23">
      <c r="A284" s="3043" t="str">
        <f>Sheet1!C263</f>
        <v>32-8</v>
      </c>
      <c r="B284" s="717">
        <f>Sheet1!E263</f>
        <v>84.23</v>
      </c>
      <c r="C284" s="24">
        <f t="shared" si="58"/>
        <v>1</v>
      </c>
      <c r="D284" s="719"/>
      <c r="E284" s="24">
        <f t="shared" si="59"/>
        <v>1</v>
      </c>
      <c r="F284" s="719"/>
      <c r="G284" s="24">
        <f t="shared" si="60"/>
        <v>1</v>
      </c>
      <c r="H284" s="719"/>
      <c r="I284" s="24">
        <f t="shared" si="61"/>
        <v>1</v>
      </c>
      <c r="J284" s="719"/>
      <c r="K284" s="24">
        <f t="shared" si="62"/>
        <v>1</v>
      </c>
      <c r="L284" s="719"/>
      <c r="M284" s="24">
        <f t="shared" si="63"/>
        <v>1</v>
      </c>
      <c r="N284" s="719"/>
      <c r="O284" s="24">
        <f t="shared" si="64"/>
        <v>1</v>
      </c>
      <c r="P284" s="719" t="s">
        <v>3120</v>
      </c>
      <c r="Q284" s="24">
        <f t="shared" si="65"/>
        <v>1</v>
      </c>
      <c r="R284" s="715">
        <f t="shared" ca="1" si="66"/>
        <v>27374</v>
      </c>
      <c r="S284" s="361">
        <f t="shared" ca="1" si="56"/>
        <v>231</v>
      </c>
      <c r="U284" s="3056" t="str">
        <f>Sheet1!C263</f>
        <v>32-8</v>
      </c>
      <c r="V284" s="799">
        <f>Sheet1!E263</f>
        <v>84.23</v>
      </c>
      <c r="W284" s="799">
        <f t="shared" si="57"/>
        <v>0</v>
      </c>
    </row>
    <row r="285" spans="1:23">
      <c r="A285" s="3043" t="str">
        <f>Sheet1!C264</f>
        <v>32-9</v>
      </c>
      <c r="B285" s="717">
        <f>Sheet1!E264</f>
        <v>84.23</v>
      </c>
      <c r="C285" s="24">
        <f t="shared" si="58"/>
        <v>1</v>
      </c>
      <c r="D285" s="719"/>
      <c r="E285" s="24">
        <f t="shared" si="59"/>
        <v>1</v>
      </c>
      <c r="F285" s="719"/>
      <c r="G285" s="24">
        <f t="shared" si="60"/>
        <v>1</v>
      </c>
      <c r="H285" s="719"/>
      <c r="I285" s="24">
        <f t="shared" si="61"/>
        <v>1</v>
      </c>
      <c r="J285" s="719"/>
      <c r="K285" s="24">
        <f t="shared" si="62"/>
        <v>1</v>
      </c>
      <c r="L285" s="719"/>
      <c r="M285" s="24">
        <f t="shared" si="63"/>
        <v>1</v>
      </c>
      <c r="N285" s="719"/>
      <c r="O285" s="24">
        <f t="shared" si="64"/>
        <v>1</v>
      </c>
      <c r="P285" s="719" t="s">
        <v>3120</v>
      </c>
      <c r="Q285" s="24">
        <f t="shared" si="65"/>
        <v>1</v>
      </c>
      <c r="R285" s="715">
        <f t="shared" ca="1" si="66"/>
        <v>27374</v>
      </c>
      <c r="S285" s="361">
        <f t="shared" ca="1" si="56"/>
        <v>231</v>
      </c>
      <c r="U285" s="3056" t="str">
        <f>Sheet1!C264</f>
        <v>32-9</v>
      </c>
      <c r="V285" s="799">
        <f>Sheet1!E264</f>
        <v>84.23</v>
      </c>
      <c r="W285" s="799">
        <f t="shared" si="57"/>
        <v>0</v>
      </c>
    </row>
    <row r="286" spans="1:23">
      <c r="A286" s="3043" t="str">
        <f>Sheet1!C265</f>
        <v>32-10</v>
      </c>
      <c r="B286" s="717">
        <f>Sheet1!E265</f>
        <v>84.23</v>
      </c>
      <c r="C286" s="24">
        <f t="shared" si="58"/>
        <v>1</v>
      </c>
      <c r="D286" s="719"/>
      <c r="E286" s="24">
        <f t="shared" si="59"/>
        <v>1</v>
      </c>
      <c r="F286" s="719"/>
      <c r="G286" s="24">
        <f t="shared" si="60"/>
        <v>1</v>
      </c>
      <c r="H286" s="719"/>
      <c r="I286" s="24">
        <f t="shared" si="61"/>
        <v>1</v>
      </c>
      <c r="J286" s="719"/>
      <c r="K286" s="24">
        <f t="shared" si="62"/>
        <v>1</v>
      </c>
      <c r="L286" s="719"/>
      <c r="M286" s="24">
        <f t="shared" si="63"/>
        <v>1</v>
      </c>
      <c r="N286" s="719"/>
      <c r="O286" s="24">
        <f t="shared" si="64"/>
        <v>1</v>
      </c>
      <c r="P286" s="719" t="s">
        <v>3120</v>
      </c>
      <c r="Q286" s="24">
        <f t="shared" si="65"/>
        <v>1</v>
      </c>
      <c r="R286" s="715">
        <f t="shared" ca="1" si="66"/>
        <v>27374</v>
      </c>
      <c r="S286" s="361">
        <f t="shared" ca="1" si="56"/>
        <v>231</v>
      </c>
      <c r="U286" s="3056" t="str">
        <f>Sheet1!C265</f>
        <v>32-10</v>
      </c>
      <c r="V286" s="799">
        <f>Sheet1!E265</f>
        <v>84.23</v>
      </c>
      <c r="W286" s="799">
        <f t="shared" si="57"/>
        <v>0</v>
      </c>
    </row>
    <row r="287" spans="1:23">
      <c r="A287" s="3043" t="str">
        <f>Sheet1!C266</f>
        <v>33-1</v>
      </c>
      <c r="B287" s="717">
        <f>Sheet1!E266</f>
        <v>63.12</v>
      </c>
      <c r="C287" s="24">
        <f t="shared" si="58"/>
        <v>1</v>
      </c>
      <c r="D287" s="719"/>
      <c r="E287" s="24">
        <f t="shared" si="59"/>
        <v>1</v>
      </c>
      <c r="F287" s="719"/>
      <c r="G287" s="24">
        <f t="shared" si="60"/>
        <v>1</v>
      </c>
      <c r="H287" s="719"/>
      <c r="I287" s="24">
        <f t="shared" si="61"/>
        <v>1</v>
      </c>
      <c r="J287" s="719"/>
      <c r="K287" s="24">
        <f t="shared" si="62"/>
        <v>1</v>
      </c>
      <c r="L287" s="719"/>
      <c r="M287" s="24">
        <f t="shared" si="63"/>
        <v>1</v>
      </c>
      <c r="N287" s="719"/>
      <c r="O287" s="24">
        <f t="shared" si="64"/>
        <v>1</v>
      </c>
      <c r="P287" s="719" t="s">
        <v>3120</v>
      </c>
      <c r="Q287" s="24">
        <f t="shared" si="65"/>
        <v>1</v>
      </c>
      <c r="R287" s="715">
        <f t="shared" ca="1" si="66"/>
        <v>27374</v>
      </c>
      <c r="S287" s="361">
        <f t="shared" ref="S287:S320" ca="1" si="67">ROUND(R287*B287/10000,0)</f>
        <v>173</v>
      </c>
      <c r="U287" s="3056" t="str">
        <f>Sheet1!C266</f>
        <v>33-1</v>
      </c>
      <c r="V287" s="799">
        <f>Sheet1!E266</f>
        <v>63.12</v>
      </c>
      <c r="W287" s="799">
        <f t="shared" si="57"/>
        <v>0</v>
      </c>
    </row>
    <row r="288" spans="1:23">
      <c r="A288" s="3043" t="str">
        <f>Sheet1!C267</f>
        <v>33-2</v>
      </c>
      <c r="B288" s="717">
        <f>Sheet1!E267</f>
        <v>61.68</v>
      </c>
      <c r="C288" s="24">
        <f t="shared" si="58"/>
        <v>1</v>
      </c>
      <c r="D288" s="719"/>
      <c r="E288" s="24">
        <f t="shared" si="59"/>
        <v>1</v>
      </c>
      <c r="F288" s="719"/>
      <c r="G288" s="24">
        <f t="shared" si="60"/>
        <v>1</v>
      </c>
      <c r="H288" s="719"/>
      <c r="I288" s="24">
        <f t="shared" si="61"/>
        <v>1</v>
      </c>
      <c r="J288" s="719"/>
      <c r="K288" s="24">
        <f t="shared" si="62"/>
        <v>1</v>
      </c>
      <c r="L288" s="719"/>
      <c r="M288" s="24">
        <f t="shared" si="63"/>
        <v>1</v>
      </c>
      <c r="N288" s="719"/>
      <c r="O288" s="24">
        <f t="shared" si="64"/>
        <v>1</v>
      </c>
      <c r="P288" s="719" t="s">
        <v>3120</v>
      </c>
      <c r="Q288" s="24">
        <f t="shared" si="65"/>
        <v>1</v>
      </c>
      <c r="R288" s="715">
        <f t="shared" ca="1" si="66"/>
        <v>27374</v>
      </c>
      <c r="S288" s="361">
        <f t="shared" ca="1" si="67"/>
        <v>169</v>
      </c>
      <c r="U288" s="3056" t="str">
        <f>Sheet1!C267</f>
        <v>33-2</v>
      </c>
      <c r="V288" s="799">
        <f>Sheet1!E267</f>
        <v>61.68</v>
      </c>
      <c r="W288" s="799">
        <f t="shared" si="57"/>
        <v>0</v>
      </c>
    </row>
    <row r="289" spans="1:23">
      <c r="A289" s="3043" t="str">
        <f>Sheet1!C268</f>
        <v>33-3</v>
      </c>
      <c r="B289" s="717">
        <f>Sheet1!E268</f>
        <v>61.68</v>
      </c>
      <c r="C289" s="24">
        <f t="shared" si="58"/>
        <v>1</v>
      </c>
      <c r="D289" s="719"/>
      <c r="E289" s="24">
        <f t="shared" si="59"/>
        <v>1</v>
      </c>
      <c r="F289" s="719"/>
      <c r="G289" s="24">
        <f t="shared" si="60"/>
        <v>1</v>
      </c>
      <c r="H289" s="719"/>
      <c r="I289" s="24">
        <f t="shared" si="61"/>
        <v>1</v>
      </c>
      <c r="J289" s="719"/>
      <c r="K289" s="24">
        <f t="shared" si="62"/>
        <v>1</v>
      </c>
      <c r="L289" s="719"/>
      <c r="M289" s="24">
        <f t="shared" si="63"/>
        <v>1</v>
      </c>
      <c r="N289" s="719"/>
      <c r="O289" s="24">
        <f t="shared" si="64"/>
        <v>1</v>
      </c>
      <c r="P289" s="719" t="s">
        <v>3120</v>
      </c>
      <c r="Q289" s="24">
        <f t="shared" si="65"/>
        <v>1</v>
      </c>
      <c r="R289" s="715">
        <f t="shared" ca="1" si="66"/>
        <v>27374</v>
      </c>
      <c r="S289" s="361">
        <f t="shared" ca="1" si="67"/>
        <v>169</v>
      </c>
      <c r="U289" s="3056" t="str">
        <f>Sheet1!C268</f>
        <v>33-3</v>
      </c>
      <c r="V289" s="799">
        <f>Sheet1!E268</f>
        <v>61.68</v>
      </c>
      <c r="W289" s="799">
        <f t="shared" si="57"/>
        <v>0</v>
      </c>
    </row>
    <row r="290" spans="1:23">
      <c r="A290" s="3043" t="str">
        <f>Sheet1!C269</f>
        <v>33-4</v>
      </c>
      <c r="B290" s="717">
        <f>Sheet1!E269</f>
        <v>63.12</v>
      </c>
      <c r="C290" s="24">
        <f t="shared" si="58"/>
        <v>1</v>
      </c>
      <c r="D290" s="719"/>
      <c r="E290" s="24">
        <f t="shared" si="59"/>
        <v>1</v>
      </c>
      <c r="F290" s="719"/>
      <c r="G290" s="24">
        <f t="shared" si="60"/>
        <v>1</v>
      </c>
      <c r="H290" s="719"/>
      <c r="I290" s="24">
        <f t="shared" si="61"/>
        <v>1</v>
      </c>
      <c r="J290" s="719"/>
      <c r="K290" s="24">
        <f t="shared" si="62"/>
        <v>1</v>
      </c>
      <c r="L290" s="719"/>
      <c r="M290" s="24">
        <f t="shared" si="63"/>
        <v>1</v>
      </c>
      <c r="N290" s="719"/>
      <c r="O290" s="24">
        <f t="shared" si="64"/>
        <v>1</v>
      </c>
      <c r="P290" s="719" t="s">
        <v>3120</v>
      </c>
      <c r="Q290" s="24">
        <f t="shared" si="65"/>
        <v>1</v>
      </c>
      <c r="R290" s="715">
        <f t="shared" ca="1" si="66"/>
        <v>27374</v>
      </c>
      <c r="S290" s="361">
        <f t="shared" ca="1" si="67"/>
        <v>173</v>
      </c>
      <c r="U290" s="3056" t="str">
        <f>Sheet1!C269</f>
        <v>33-4</v>
      </c>
      <c r="V290" s="799">
        <f>Sheet1!E269</f>
        <v>63.12</v>
      </c>
      <c r="W290" s="799">
        <f t="shared" si="57"/>
        <v>0</v>
      </c>
    </row>
    <row r="291" spans="1:23">
      <c r="A291" s="3043" t="str">
        <f>Sheet1!C270</f>
        <v>34-1</v>
      </c>
      <c r="B291" s="717">
        <f>Sheet1!E270</f>
        <v>63.12</v>
      </c>
      <c r="C291" s="24">
        <f t="shared" si="58"/>
        <v>1</v>
      </c>
      <c r="D291" s="719"/>
      <c r="E291" s="24">
        <f t="shared" si="59"/>
        <v>1</v>
      </c>
      <c r="F291" s="719"/>
      <c r="G291" s="24">
        <f t="shared" si="60"/>
        <v>1</v>
      </c>
      <c r="H291" s="719"/>
      <c r="I291" s="24">
        <f t="shared" si="61"/>
        <v>1</v>
      </c>
      <c r="J291" s="719"/>
      <c r="K291" s="24">
        <f t="shared" si="62"/>
        <v>1</v>
      </c>
      <c r="L291" s="719"/>
      <c r="M291" s="24">
        <f t="shared" si="63"/>
        <v>1</v>
      </c>
      <c r="N291" s="719"/>
      <c r="O291" s="24">
        <f t="shared" si="64"/>
        <v>1</v>
      </c>
      <c r="P291" s="719" t="s">
        <v>3120</v>
      </c>
      <c r="Q291" s="24">
        <f t="shared" si="65"/>
        <v>1</v>
      </c>
      <c r="R291" s="715">
        <f t="shared" ca="1" si="66"/>
        <v>27374</v>
      </c>
      <c r="S291" s="361">
        <f t="shared" ca="1" si="67"/>
        <v>173</v>
      </c>
      <c r="U291" s="3056" t="str">
        <f>Sheet1!C270</f>
        <v>34-1</v>
      </c>
      <c r="V291" s="799">
        <f>Sheet1!E270</f>
        <v>63.12</v>
      </c>
      <c r="W291" s="799">
        <f t="shared" si="57"/>
        <v>0</v>
      </c>
    </row>
    <row r="292" spans="1:23">
      <c r="A292" s="3043" t="str">
        <f>Sheet1!C271</f>
        <v>34-2</v>
      </c>
      <c r="B292" s="717">
        <f>Sheet1!E271</f>
        <v>61.68</v>
      </c>
      <c r="C292" s="24">
        <f t="shared" si="58"/>
        <v>1</v>
      </c>
      <c r="D292" s="719"/>
      <c r="E292" s="24">
        <f t="shared" si="59"/>
        <v>1</v>
      </c>
      <c r="F292" s="719"/>
      <c r="G292" s="24">
        <f t="shared" si="60"/>
        <v>1</v>
      </c>
      <c r="H292" s="719"/>
      <c r="I292" s="24">
        <f t="shared" si="61"/>
        <v>1</v>
      </c>
      <c r="J292" s="719"/>
      <c r="K292" s="24">
        <f t="shared" si="62"/>
        <v>1</v>
      </c>
      <c r="L292" s="719"/>
      <c r="M292" s="24">
        <f t="shared" si="63"/>
        <v>1</v>
      </c>
      <c r="N292" s="719"/>
      <c r="O292" s="24">
        <f t="shared" si="64"/>
        <v>1</v>
      </c>
      <c r="P292" s="719" t="s">
        <v>3120</v>
      </c>
      <c r="Q292" s="24">
        <f t="shared" si="65"/>
        <v>1</v>
      </c>
      <c r="R292" s="715">
        <f t="shared" ca="1" si="66"/>
        <v>27374</v>
      </c>
      <c r="S292" s="361">
        <f t="shared" ca="1" si="67"/>
        <v>169</v>
      </c>
      <c r="U292" s="3056" t="str">
        <f>Sheet1!C271</f>
        <v>34-2</v>
      </c>
      <c r="V292" s="799">
        <f>Sheet1!E271</f>
        <v>61.68</v>
      </c>
      <c r="W292" s="799">
        <f t="shared" si="57"/>
        <v>0</v>
      </c>
    </row>
    <row r="293" spans="1:23">
      <c r="A293" s="3043" t="str">
        <f>Sheet1!C272</f>
        <v>34-3</v>
      </c>
      <c r="B293" s="717">
        <f>Sheet1!E272</f>
        <v>61.68</v>
      </c>
      <c r="C293" s="24">
        <f t="shared" si="58"/>
        <v>1</v>
      </c>
      <c r="D293" s="719"/>
      <c r="E293" s="24">
        <f t="shared" si="59"/>
        <v>1</v>
      </c>
      <c r="F293" s="719"/>
      <c r="G293" s="24">
        <f t="shared" si="60"/>
        <v>1</v>
      </c>
      <c r="H293" s="719"/>
      <c r="I293" s="24">
        <f t="shared" si="61"/>
        <v>1</v>
      </c>
      <c r="J293" s="719"/>
      <c r="K293" s="24">
        <f t="shared" si="62"/>
        <v>1</v>
      </c>
      <c r="L293" s="719"/>
      <c r="M293" s="24">
        <f t="shared" si="63"/>
        <v>1</v>
      </c>
      <c r="N293" s="719"/>
      <c r="O293" s="24">
        <f t="shared" si="64"/>
        <v>1</v>
      </c>
      <c r="P293" s="719" t="s">
        <v>3120</v>
      </c>
      <c r="Q293" s="24">
        <f t="shared" si="65"/>
        <v>1</v>
      </c>
      <c r="R293" s="715">
        <f t="shared" ca="1" si="66"/>
        <v>27374</v>
      </c>
      <c r="S293" s="361">
        <f t="shared" ca="1" si="67"/>
        <v>169</v>
      </c>
      <c r="U293" s="3056" t="str">
        <f>Sheet1!C272</f>
        <v>34-3</v>
      </c>
      <c r="V293" s="799">
        <f>Sheet1!E272</f>
        <v>61.68</v>
      </c>
      <c r="W293" s="799">
        <f t="shared" si="57"/>
        <v>0</v>
      </c>
    </row>
    <row r="294" spans="1:23">
      <c r="A294" s="3043" t="str">
        <f>Sheet1!C273</f>
        <v>34-4</v>
      </c>
      <c r="B294" s="717">
        <f>Sheet1!E273</f>
        <v>61.68</v>
      </c>
      <c r="C294" s="24">
        <f t="shared" si="58"/>
        <v>1</v>
      </c>
      <c r="D294" s="719"/>
      <c r="E294" s="24">
        <f t="shared" si="59"/>
        <v>1</v>
      </c>
      <c r="F294" s="719"/>
      <c r="G294" s="24">
        <f t="shared" si="60"/>
        <v>1</v>
      </c>
      <c r="H294" s="719"/>
      <c r="I294" s="24">
        <f t="shared" si="61"/>
        <v>1</v>
      </c>
      <c r="J294" s="719"/>
      <c r="K294" s="24">
        <f t="shared" si="62"/>
        <v>1</v>
      </c>
      <c r="L294" s="719"/>
      <c r="M294" s="24">
        <f t="shared" si="63"/>
        <v>1</v>
      </c>
      <c r="N294" s="719"/>
      <c r="O294" s="24">
        <f t="shared" si="64"/>
        <v>1</v>
      </c>
      <c r="P294" s="719" t="s">
        <v>3120</v>
      </c>
      <c r="Q294" s="24">
        <f t="shared" si="65"/>
        <v>1</v>
      </c>
      <c r="R294" s="715">
        <f t="shared" ca="1" si="66"/>
        <v>27374</v>
      </c>
      <c r="S294" s="361">
        <f t="shared" ca="1" si="67"/>
        <v>169</v>
      </c>
      <c r="U294" s="3056" t="str">
        <f>Sheet1!C273</f>
        <v>34-4</v>
      </c>
      <c r="V294" s="799">
        <f>Sheet1!E273</f>
        <v>61.68</v>
      </c>
      <c r="W294" s="799">
        <f t="shared" si="57"/>
        <v>0</v>
      </c>
    </row>
    <row r="295" spans="1:23">
      <c r="A295" s="3043" t="str">
        <f>Sheet1!C274</f>
        <v>34-5</v>
      </c>
      <c r="B295" s="717">
        <f>Sheet1!E274</f>
        <v>63.12</v>
      </c>
      <c r="C295" s="24">
        <f t="shared" si="58"/>
        <v>1</v>
      </c>
      <c r="D295" s="719"/>
      <c r="E295" s="24">
        <f t="shared" si="59"/>
        <v>1</v>
      </c>
      <c r="F295" s="719"/>
      <c r="G295" s="24">
        <f t="shared" si="60"/>
        <v>1</v>
      </c>
      <c r="H295" s="719"/>
      <c r="I295" s="24">
        <f t="shared" si="61"/>
        <v>1</v>
      </c>
      <c r="J295" s="719"/>
      <c r="K295" s="24">
        <f t="shared" si="62"/>
        <v>1</v>
      </c>
      <c r="L295" s="719"/>
      <c r="M295" s="24">
        <f t="shared" si="63"/>
        <v>1</v>
      </c>
      <c r="N295" s="719"/>
      <c r="O295" s="24">
        <f t="shared" si="64"/>
        <v>1</v>
      </c>
      <c r="P295" s="719" t="s">
        <v>3120</v>
      </c>
      <c r="Q295" s="24">
        <f t="shared" si="65"/>
        <v>1</v>
      </c>
      <c r="R295" s="715">
        <f t="shared" ca="1" si="66"/>
        <v>27374</v>
      </c>
      <c r="S295" s="361">
        <f t="shared" ca="1" si="67"/>
        <v>173</v>
      </c>
      <c r="U295" s="3056" t="str">
        <f>Sheet1!C274</f>
        <v>34-5</v>
      </c>
      <c r="V295" s="799">
        <f>Sheet1!E274</f>
        <v>63.12</v>
      </c>
      <c r="W295" s="799">
        <f t="shared" si="57"/>
        <v>0</v>
      </c>
    </row>
    <row r="296" spans="1:23">
      <c r="A296" s="3043" t="str">
        <f>Sheet1!C275</f>
        <v>1-1</v>
      </c>
      <c r="B296" s="717">
        <f>Sheet1!E275</f>
        <v>70.47</v>
      </c>
      <c r="C296" s="24">
        <f t="shared" si="58"/>
        <v>1</v>
      </c>
      <c r="D296" s="719"/>
      <c r="E296" s="24">
        <f t="shared" si="59"/>
        <v>1</v>
      </c>
      <c r="F296" s="719"/>
      <c r="G296" s="24">
        <f t="shared" si="60"/>
        <v>1</v>
      </c>
      <c r="H296" s="719"/>
      <c r="I296" s="24">
        <f t="shared" si="61"/>
        <v>1</v>
      </c>
      <c r="J296" s="719"/>
      <c r="K296" s="24">
        <f t="shared" si="62"/>
        <v>1</v>
      </c>
      <c r="L296" s="719"/>
      <c r="M296" s="24">
        <f t="shared" si="63"/>
        <v>1</v>
      </c>
      <c r="N296" s="719"/>
      <c r="O296" s="24">
        <f t="shared" si="64"/>
        <v>1</v>
      </c>
      <c r="P296" s="719" t="s">
        <v>3120</v>
      </c>
      <c r="Q296" s="24">
        <f t="shared" si="65"/>
        <v>1</v>
      </c>
      <c r="R296" s="715">
        <f t="shared" ca="1" si="66"/>
        <v>27374</v>
      </c>
      <c r="S296" s="361">
        <f t="shared" ca="1" si="67"/>
        <v>193</v>
      </c>
      <c r="U296" s="3056" t="str">
        <f>Sheet1!C275</f>
        <v>1-1</v>
      </c>
      <c r="V296" s="799">
        <f>Sheet1!E275</f>
        <v>70.47</v>
      </c>
      <c r="W296" s="799">
        <f t="shared" si="57"/>
        <v>0</v>
      </c>
    </row>
    <row r="297" spans="1:23">
      <c r="A297" s="3043" t="str">
        <f>Sheet1!C276</f>
        <v>1-2</v>
      </c>
      <c r="B297" s="717">
        <f>Sheet1!E276</f>
        <v>93.67</v>
      </c>
      <c r="C297" s="24">
        <f t="shared" si="58"/>
        <v>1</v>
      </c>
      <c r="D297" s="719"/>
      <c r="E297" s="24">
        <f t="shared" si="59"/>
        <v>1</v>
      </c>
      <c r="F297" s="719"/>
      <c r="G297" s="24">
        <f t="shared" si="60"/>
        <v>1</v>
      </c>
      <c r="H297" s="719"/>
      <c r="I297" s="24">
        <f t="shared" si="61"/>
        <v>1</v>
      </c>
      <c r="J297" s="719"/>
      <c r="K297" s="24">
        <f t="shared" si="62"/>
        <v>1</v>
      </c>
      <c r="L297" s="719"/>
      <c r="M297" s="24">
        <f t="shared" si="63"/>
        <v>1</v>
      </c>
      <c r="N297" s="719"/>
      <c r="O297" s="24">
        <f t="shared" si="64"/>
        <v>1</v>
      </c>
      <c r="P297" s="719" t="s">
        <v>3120</v>
      </c>
      <c r="Q297" s="24">
        <f t="shared" si="65"/>
        <v>1</v>
      </c>
      <c r="R297" s="715">
        <f t="shared" ca="1" si="66"/>
        <v>27374</v>
      </c>
      <c r="S297" s="361">
        <f t="shared" ca="1" si="67"/>
        <v>256</v>
      </c>
      <c r="U297" s="3056" t="str">
        <f>Sheet1!C276</f>
        <v>1-2</v>
      </c>
      <c r="V297" s="799">
        <f>Sheet1!E276</f>
        <v>93.67</v>
      </c>
      <c r="W297" s="799">
        <f t="shared" si="57"/>
        <v>0</v>
      </c>
    </row>
    <row r="298" spans="1:23">
      <c r="A298" s="3043" t="str">
        <f>Sheet1!C277</f>
        <v>1-3</v>
      </c>
      <c r="B298" s="717">
        <f>Sheet1!E277</f>
        <v>150.28</v>
      </c>
      <c r="C298" s="24">
        <f t="shared" si="58"/>
        <v>0.99</v>
      </c>
      <c r="D298" s="719"/>
      <c r="E298" s="24">
        <f t="shared" si="59"/>
        <v>1</v>
      </c>
      <c r="F298" s="719"/>
      <c r="G298" s="24">
        <f t="shared" si="60"/>
        <v>1</v>
      </c>
      <c r="H298" s="719"/>
      <c r="I298" s="24">
        <f t="shared" si="61"/>
        <v>1</v>
      </c>
      <c r="J298" s="719"/>
      <c r="K298" s="24">
        <f t="shared" si="62"/>
        <v>1</v>
      </c>
      <c r="L298" s="719"/>
      <c r="M298" s="24">
        <f t="shared" si="63"/>
        <v>1</v>
      </c>
      <c r="N298" s="719"/>
      <c r="O298" s="24">
        <f t="shared" si="64"/>
        <v>1</v>
      </c>
      <c r="P298" s="719" t="s">
        <v>3120</v>
      </c>
      <c r="Q298" s="24">
        <f t="shared" si="65"/>
        <v>1</v>
      </c>
      <c r="R298" s="715">
        <f t="shared" ca="1" si="66"/>
        <v>27100</v>
      </c>
      <c r="S298" s="361">
        <f t="shared" ca="1" si="67"/>
        <v>407</v>
      </c>
      <c r="U298" s="3056" t="str">
        <f>Sheet1!C277</f>
        <v>1-3</v>
      </c>
      <c r="V298" s="799">
        <f>Sheet1!E277</f>
        <v>150.28</v>
      </c>
      <c r="W298" s="799">
        <f t="shared" si="57"/>
        <v>0</v>
      </c>
    </row>
    <row r="299" spans="1:23">
      <c r="A299" s="3043" t="str">
        <f>Sheet1!C278</f>
        <v>1-4</v>
      </c>
      <c r="B299" s="717">
        <f>Sheet1!E278</f>
        <v>137.15</v>
      </c>
      <c r="C299" s="24">
        <f t="shared" si="58"/>
        <v>0.99</v>
      </c>
      <c r="D299" s="719"/>
      <c r="E299" s="24">
        <f t="shared" si="59"/>
        <v>1</v>
      </c>
      <c r="F299" s="719"/>
      <c r="G299" s="24">
        <f t="shared" si="60"/>
        <v>1</v>
      </c>
      <c r="H299" s="719"/>
      <c r="I299" s="24">
        <f t="shared" si="61"/>
        <v>1</v>
      </c>
      <c r="J299" s="719"/>
      <c r="K299" s="24">
        <f t="shared" si="62"/>
        <v>1</v>
      </c>
      <c r="L299" s="719"/>
      <c r="M299" s="24">
        <f t="shared" si="63"/>
        <v>1</v>
      </c>
      <c r="N299" s="719"/>
      <c r="O299" s="24">
        <f t="shared" si="64"/>
        <v>1</v>
      </c>
      <c r="P299" s="719" t="s">
        <v>3120</v>
      </c>
      <c r="Q299" s="24">
        <f t="shared" si="65"/>
        <v>1</v>
      </c>
      <c r="R299" s="715">
        <f t="shared" ca="1" si="66"/>
        <v>27100</v>
      </c>
      <c r="S299" s="361">
        <f t="shared" ca="1" si="67"/>
        <v>372</v>
      </c>
      <c r="U299" s="3056" t="str">
        <f>Sheet1!C278</f>
        <v>1-4</v>
      </c>
      <c r="V299" s="799">
        <f>Sheet1!E278</f>
        <v>137.15</v>
      </c>
      <c r="W299" s="799">
        <f t="shared" si="57"/>
        <v>0</v>
      </c>
    </row>
    <row r="300" spans="1:23">
      <c r="A300" s="3043" t="str">
        <f>Sheet1!C279</f>
        <v>1-5</v>
      </c>
      <c r="B300" s="717">
        <f>Sheet1!E279</f>
        <v>192.7</v>
      </c>
      <c r="C300" s="24">
        <f t="shared" si="58"/>
        <v>0.99</v>
      </c>
      <c r="D300" s="719"/>
      <c r="E300" s="24">
        <f t="shared" si="59"/>
        <v>1</v>
      </c>
      <c r="F300" s="719"/>
      <c r="G300" s="24">
        <f t="shared" si="60"/>
        <v>1</v>
      </c>
      <c r="H300" s="719"/>
      <c r="I300" s="24">
        <f t="shared" si="61"/>
        <v>1</v>
      </c>
      <c r="J300" s="719"/>
      <c r="K300" s="24">
        <f t="shared" si="62"/>
        <v>1</v>
      </c>
      <c r="L300" s="719"/>
      <c r="M300" s="24">
        <f t="shared" si="63"/>
        <v>1</v>
      </c>
      <c r="N300" s="719"/>
      <c r="O300" s="24">
        <f t="shared" si="64"/>
        <v>1</v>
      </c>
      <c r="P300" s="719" t="s">
        <v>3120</v>
      </c>
      <c r="Q300" s="24">
        <f t="shared" si="65"/>
        <v>1</v>
      </c>
      <c r="R300" s="715">
        <f t="shared" ca="1" si="66"/>
        <v>27100</v>
      </c>
      <c r="S300" s="361">
        <f t="shared" ca="1" si="67"/>
        <v>522</v>
      </c>
      <c r="U300" s="3056" t="str">
        <f>Sheet1!C279</f>
        <v>1-5</v>
      </c>
      <c r="V300" s="799">
        <f>Sheet1!E279</f>
        <v>192.7</v>
      </c>
      <c r="W300" s="799">
        <f t="shared" si="57"/>
        <v>0</v>
      </c>
    </row>
    <row r="301" spans="1:23">
      <c r="A301" s="3043" t="str">
        <f>Sheet1!C280</f>
        <v>1-6</v>
      </c>
      <c r="B301" s="717">
        <f>Sheet1!E280</f>
        <v>112.39</v>
      </c>
      <c r="C301" s="24">
        <f t="shared" si="58"/>
        <v>0.99</v>
      </c>
      <c r="D301" s="719"/>
      <c r="E301" s="24">
        <f t="shared" si="59"/>
        <v>1</v>
      </c>
      <c r="F301" s="719"/>
      <c r="G301" s="24">
        <f t="shared" si="60"/>
        <v>1</v>
      </c>
      <c r="H301" s="719"/>
      <c r="I301" s="24">
        <f t="shared" si="61"/>
        <v>1</v>
      </c>
      <c r="J301" s="719"/>
      <c r="K301" s="24">
        <f t="shared" si="62"/>
        <v>1</v>
      </c>
      <c r="L301" s="719"/>
      <c r="M301" s="24">
        <f t="shared" si="63"/>
        <v>1</v>
      </c>
      <c r="N301" s="719"/>
      <c r="O301" s="24">
        <f t="shared" si="64"/>
        <v>1</v>
      </c>
      <c r="P301" s="719" t="s">
        <v>3120</v>
      </c>
      <c r="Q301" s="24">
        <f t="shared" si="65"/>
        <v>1</v>
      </c>
      <c r="R301" s="715">
        <f t="shared" ca="1" si="66"/>
        <v>27100</v>
      </c>
      <c r="S301" s="361">
        <f t="shared" ca="1" si="67"/>
        <v>305</v>
      </c>
      <c r="U301" s="3056" t="str">
        <f>Sheet1!C280</f>
        <v>1-6</v>
      </c>
      <c r="V301" s="799">
        <f>Sheet1!E280</f>
        <v>112.39</v>
      </c>
      <c r="W301" s="799">
        <f t="shared" si="57"/>
        <v>0</v>
      </c>
    </row>
    <row r="302" spans="1:23">
      <c r="A302" s="3043" t="str">
        <f>Sheet1!C281</f>
        <v>1-7</v>
      </c>
      <c r="B302" s="717">
        <f>Sheet1!E281</f>
        <v>81.91</v>
      </c>
      <c r="C302" s="24">
        <f t="shared" si="58"/>
        <v>1</v>
      </c>
      <c r="D302" s="719"/>
      <c r="E302" s="24">
        <f t="shared" si="59"/>
        <v>1</v>
      </c>
      <c r="F302" s="719"/>
      <c r="G302" s="24">
        <f t="shared" si="60"/>
        <v>1</v>
      </c>
      <c r="H302" s="719"/>
      <c r="I302" s="24">
        <f t="shared" si="61"/>
        <v>1</v>
      </c>
      <c r="J302" s="719"/>
      <c r="K302" s="24">
        <f t="shared" si="62"/>
        <v>1</v>
      </c>
      <c r="L302" s="719"/>
      <c r="M302" s="24">
        <f t="shared" si="63"/>
        <v>1</v>
      </c>
      <c r="N302" s="719"/>
      <c r="O302" s="24">
        <f t="shared" si="64"/>
        <v>1</v>
      </c>
      <c r="P302" s="719" t="s">
        <v>3120</v>
      </c>
      <c r="Q302" s="24">
        <f t="shared" si="65"/>
        <v>1</v>
      </c>
      <c r="R302" s="715">
        <f t="shared" ca="1" si="66"/>
        <v>27374</v>
      </c>
      <c r="S302" s="361">
        <f t="shared" ca="1" si="67"/>
        <v>224</v>
      </c>
      <c r="U302" s="3056" t="str">
        <f>Sheet1!C281</f>
        <v>1-7</v>
      </c>
      <c r="V302" s="799">
        <f>Sheet1!E281</f>
        <v>81.91</v>
      </c>
      <c r="W302" s="799">
        <f t="shared" si="57"/>
        <v>0</v>
      </c>
    </row>
    <row r="303" spans="1:23">
      <c r="A303" s="3043" t="str">
        <f>Sheet1!C282</f>
        <v>2-1</v>
      </c>
      <c r="B303" s="717">
        <f>Sheet1!E282</f>
        <v>86.42</v>
      </c>
      <c r="C303" s="24">
        <f t="shared" si="58"/>
        <v>1</v>
      </c>
      <c r="D303" s="719"/>
      <c r="E303" s="24">
        <f t="shared" si="59"/>
        <v>1</v>
      </c>
      <c r="F303" s="719"/>
      <c r="G303" s="24">
        <f t="shared" si="60"/>
        <v>1</v>
      </c>
      <c r="H303" s="719"/>
      <c r="I303" s="24">
        <f t="shared" si="61"/>
        <v>1</v>
      </c>
      <c r="J303" s="719"/>
      <c r="K303" s="24">
        <f t="shared" si="62"/>
        <v>1</v>
      </c>
      <c r="L303" s="719"/>
      <c r="M303" s="24">
        <f t="shared" si="63"/>
        <v>1</v>
      </c>
      <c r="N303" s="719"/>
      <c r="O303" s="24">
        <f t="shared" si="64"/>
        <v>1</v>
      </c>
      <c r="P303" s="719" t="s">
        <v>3120</v>
      </c>
      <c r="Q303" s="24">
        <f t="shared" si="65"/>
        <v>1</v>
      </c>
      <c r="R303" s="715">
        <f t="shared" ca="1" si="66"/>
        <v>27374</v>
      </c>
      <c r="S303" s="361">
        <f t="shared" ca="1" si="67"/>
        <v>237</v>
      </c>
      <c r="U303" s="3056" t="str">
        <f>Sheet1!C282</f>
        <v>2-1</v>
      </c>
      <c r="V303" s="799">
        <f>Sheet1!E282</f>
        <v>86.42</v>
      </c>
      <c r="W303" s="799">
        <f t="shared" si="57"/>
        <v>0</v>
      </c>
    </row>
    <row r="304" spans="1:23">
      <c r="A304" s="3043" t="str">
        <f>Sheet1!C283</f>
        <v>2-2</v>
      </c>
      <c r="B304" s="717">
        <f>Sheet1!E283</f>
        <v>92.74</v>
      </c>
      <c r="C304" s="24">
        <f t="shared" si="58"/>
        <v>1</v>
      </c>
      <c r="D304" s="719"/>
      <c r="E304" s="24">
        <f t="shared" si="59"/>
        <v>1</v>
      </c>
      <c r="F304" s="719"/>
      <c r="G304" s="24">
        <f t="shared" si="60"/>
        <v>1</v>
      </c>
      <c r="H304" s="719"/>
      <c r="I304" s="24">
        <f t="shared" si="61"/>
        <v>1</v>
      </c>
      <c r="J304" s="719"/>
      <c r="K304" s="24">
        <f t="shared" si="62"/>
        <v>1</v>
      </c>
      <c r="L304" s="719"/>
      <c r="M304" s="24">
        <f t="shared" si="63"/>
        <v>1</v>
      </c>
      <c r="N304" s="719"/>
      <c r="O304" s="24">
        <f t="shared" si="64"/>
        <v>1</v>
      </c>
      <c r="P304" s="719" t="s">
        <v>3120</v>
      </c>
      <c r="Q304" s="24">
        <f t="shared" si="65"/>
        <v>1</v>
      </c>
      <c r="R304" s="715">
        <f t="shared" ca="1" si="66"/>
        <v>27374</v>
      </c>
      <c r="S304" s="361">
        <f t="shared" ca="1" si="67"/>
        <v>254</v>
      </c>
      <c r="U304" s="3056" t="str">
        <f>Sheet1!C283</f>
        <v>2-2</v>
      </c>
      <c r="V304" s="799">
        <f>Sheet1!E283</f>
        <v>92.74</v>
      </c>
      <c r="W304" s="799">
        <f t="shared" si="57"/>
        <v>0</v>
      </c>
    </row>
    <row r="305" spans="1:23">
      <c r="A305" s="3043" t="str">
        <f>Sheet1!C284</f>
        <v>2-3</v>
      </c>
      <c r="B305" s="717">
        <f>Sheet1!E284</f>
        <v>92.74</v>
      </c>
      <c r="C305" s="24">
        <f t="shared" si="58"/>
        <v>1</v>
      </c>
      <c r="D305" s="719"/>
      <c r="E305" s="24">
        <f t="shared" si="59"/>
        <v>1</v>
      </c>
      <c r="F305" s="719"/>
      <c r="G305" s="24">
        <f t="shared" si="60"/>
        <v>1</v>
      </c>
      <c r="H305" s="719"/>
      <c r="I305" s="24">
        <f t="shared" si="61"/>
        <v>1</v>
      </c>
      <c r="J305" s="719"/>
      <c r="K305" s="24">
        <f t="shared" si="62"/>
        <v>1</v>
      </c>
      <c r="L305" s="719"/>
      <c r="M305" s="24">
        <f t="shared" si="63"/>
        <v>1</v>
      </c>
      <c r="N305" s="719"/>
      <c r="O305" s="24">
        <f t="shared" si="64"/>
        <v>1</v>
      </c>
      <c r="P305" s="719" t="s">
        <v>3120</v>
      </c>
      <c r="Q305" s="24">
        <f t="shared" si="65"/>
        <v>1</v>
      </c>
      <c r="R305" s="715">
        <f t="shared" ca="1" si="66"/>
        <v>27374</v>
      </c>
      <c r="S305" s="361">
        <f t="shared" ca="1" si="67"/>
        <v>254</v>
      </c>
      <c r="U305" s="3056" t="str">
        <f>Sheet1!C284</f>
        <v>2-3</v>
      </c>
      <c r="V305" s="799">
        <f>Sheet1!E284</f>
        <v>92.74</v>
      </c>
      <c r="W305" s="799">
        <f t="shared" si="57"/>
        <v>0</v>
      </c>
    </row>
    <row r="306" spans="1:23">
      <c r="A306" s="3043" t="str">
        <f>Sheet1!C285</f>
        <v>2-4</v>
      </c>
      <c r="B306" s="717">
        <f>Sheet1!E285</f>
        <v>88.53</v>
      </c>
      <c r="C306" s="24">
        <f t="shared" si="58"/>
        <v>1</v>
      </c>
      <c r="D306" s="719"/>
      <c r="E306" s="24">
        <f t="shared" si="59"/>
        <v>1</v>
      </c>
      <c r="F306" s="719"/>
      <c r="G306" s="24">
        <f t="shared" si="60"/>
        <v>1</v>
      </c>
      <c r="H306" s="719"/>
      <c r="I306" s="24">
        <f t="shared" si="61"/>
        <v>1</v>
      </c>
      <c r="J306" s="719"/>
      <c r="K306" s="24">
        <f t="shared" si="62"/>
        <v>1</v>
      </c>
      <c r="L306" s="719"/>
      <c r="M306" s="24">
        <f t="shared" si="63"/>
        <v>1</v>
      </c>
      <c r="N306" s="719"/>
      <c r="O306" s="24">
        <f t="shared" si="64"/>
        <v>1</v>
      </c>
      <c r="P306" s="719" t="s">
        <v>3120</v>
      </c>
      <c r="Q306" s="24">
        <f t="shared" si="65"/>
        <v>1</v>
      </c>
      <c r="R306" s="715">
        <f t="shared" ca="1" si="66"/>
        <v>27374</v>
      </c>
      <c r="S306" s="361">
        <f t="shared" ca="1" si="67"/>
        <v>242</v>
      </c>
      <c r="U306" s="3056" t="str">
        <f>Sheet1!C285</f>
        <v>2-4</v>
      </c>
      <c r="V306" s="799">
        <f>Sheet1!E285</f>
        <v>88.53</v>
      </c>
      <c r="W306" s="799">
        <f t="shared" si="57"/>
        <v>0</v>
      </c>
    </row>
    <row r="307" spans="1:23">
      <c r="A307" s="3043" t="str">
        <f>Sheet1!C286</f>
        <v>2-5</v>
      </c>
      <c r="B307" s="717">
        <f>Sheet1!E286</f>
        <v>81.540000000000006</v>
      </c>
      <c r="C307" s="24">
        <f t="shared" si="58"/>
        <v>1</v>
      </c>
      <c r="D307" s="719"/>
      <c r="E307" s="24">
        <f t="shared" si="59"/>
        <v>1</v>
      </c>
      <c r="F307" s="719"/>
      <c r="G307" s="24">
        <f t="shared" si="60"/>
        <v>1</v>
      </c>
      <c r="H307" s="719"/>
      <c r="I307" s="24">
        <f t="shared" si="61"/>
        <v>1</v>
      </c>
      <c r="J307" s="719"/>
      <c r="K307" s="24">
        <f t="shared" si="62"/>
        <v>1</v>
      </c>
      <c r="L307" s="719"/>
      <c r="M307" s="24">
        <f t="shared" si="63"/>
        <v>1</v>
      </c>
      <c r="N307" s="719"/>
      <c r="O307" s="24">
        <f t="shared" si="64"/>
        <v>1</v>
      </c>
      <c r="P307" s="719" t="s">
        <v>3120</v>
      </c>
      <c r="Q307" s="24">
        <f t="shared" si="65"/>
        <v>1</v>
      </c>
      <c r="R307" s="715">
        <f t="shared" ca="1" si="66"/>
        <v>27374</v>
      </c>
      <c r="S307" s="361">
        <f t="shared" ca="1" si="67"/>
        <v>223</v>
      </c>
      <c r="U307" s="3056" t="str">
        <f>Sheet1!C286</f>
        <v>2-5</v>
      </c>
      <c r="V307" s="799">
        <f>Sheet1!E286</f>
        <v>81.540000000000006</v>
      </c>
      <c r="W307" s="799">
        <f t="shared" si="57"/>
        <v>0</v>
      </c>
    </row>
    <row r="308" spans="1:23">
      <c r="A308" s="3043" t="str">
        <f>Sheet1!C287</f>
        <v>2-6</v>
      </c>
      <c r="B308" s="717">
        <f>Sheet1!E287</f>
        <v>71</v>
      </c>
      <c r="C308" s="24">
        <f t="shared" si="58"/>
        <v>1</v>
      </c>
      <c r="D308" s="719"/>
      <c r="E308" s="24">
        <f t="shared" si="59"/>
        <v>1</v>
      </c>
      <c r="F308" s="719"/>
      <c r="G308" s="24">
        <f t="shared" si="60"/>
        <v>1</v>
      </c>
      <c r="H308" s="719"/>
      <c r="I308" s="24">
        <f t="shared" si="61"/>
        <v>1</v>
      </c>
      <c r="J308" s="719"/>
      <c r="K308" s="24">
        <f t="shared" si="62"/>
        <v>1</v>
      </c>
      <c r="L308" s="719"/>
      <c r="M308" s="24">
        <f t="shared" si="63"/>
        <v>1</v>
      </c>
      <c r="N308" s="719"/>
      <c r="O308" s="24">
        <f t="shared" si="64"/>
        <v>1</v>
      </c>
      <c r="P308" s="719" t="s">
        <v>3120</v>
      </c>
      <c r="Q308" s="24">
        <f t="shared" si="65"/>
        <v>1</v>
      </c>
      <c r="R308" s="715">
        <f t="shared" ca="1" si="66"/>
        <v>27374</v>
      </c>
      <c r="S308" s="361">
        <f t="shared" ca="1" si="67"/>
        <v>194</v>
      </c>
      <c r="U308" s="3056" t="str">
        <f>Sheet1!C287</f>
        <v>2-6</v>
      </c>
      <c r="V308" s="799">
        <f>Sheet1!E287</f>
        <v>71</v>
      </c>
      <c r="W308" s="799">
        <f t="shared" si="57"/>
        <v>0</v>
      </c>
    </row>
    <row r="309" spans="1:23">
      <c r="A309" s="3043" t="str">
        <f>Sheet1!C288</f>
        <v>2-7</v>
      </c>
      <c r="B309" s="717">
        <f>Sheet1!E288</f>
        <v>86.97</v>
      </c>
      <c r="C309" s="24">
        <f t="shared" si="58"/>
        <v>1</v>
      </c>
      <c r="D309" s="719"/>
      <c r="E309" s="24">
        <f t="shared" si="59"/>
        <v>1</v>
      </c>
      <c r="F309" s="719"/>
      <c r="G309" s="24">
        <f t="shared" si="60"/>
        <v>1</v>
      </c>
      <c r="H309" s="719"/>
      <c r="I309" s="24">
        <f t="shared" si="61"/>
        <v>1</v>
      </c>
      <c r="J309" s="719"/>
      <c r="K309" s="24">
        <f t="shared" si="62"/>
        <v>1</v>
      </c>
      <c r="L309" s="719"/>
      <c r="M309" s="24">
        <f t="shared" si="63"/>
        <v>1</v>
      </c>
      <c r="N309" s="719"/>
      <c r="O309" s="24">
        <f t="shared" si="64"/>
        <v>1</v>
      </c>
      <c r="P309" s="719" t="s">
        <v>3120</v>
      </c>
      <c r="Q309" s="24">
        <f t="shared" si="65"/>
        <v>1</v>
      </c>
      <c r="R309" s="715">
        <f t="shared" ca="1" si="66"/>
        <v>27374</v>
      </c>
      <c r="S309" s="361">
        <f t="shared" ca="1" si="67"/>
        <v>238</v>
      </c>
      <c r="U309" s="3056" t="str">
        <f>Sheet1!C288</f>
        <v>2-7</v>
      </c>
      <c r="V309" s="799">
        <f>Sheet1!E288</f>
        <v>86.97</v>
      </c>
      <c r="W309" s="799">
        <f t="shared" si="57"/>
        <v>0</v>
      </c>
    </row>
    <row r="310" spans="1:23">
      <c r="A310" s="3043" t="str">
        <f>Sheet1!C289</f>
        <v>2-8</v>
      </c>
      <c r="B310" s="717">
        <f>Sheet1!E289</f>
        <v>112.62</v>
      </c>
      <c r="C310" s="24">
        <f t="shared" si="58"/>
        <v>0.99</v>
      </c>
      <c r="D310" s="719"/>
      <c r="E310" s="24">
        <f t="shared" si="59"/>
        <v>1</v>
      </c>
      <c r="F310" s="719"/>
      <c r="G310" s="24">
        <f t="shared" si="60"/>
        <v>1</v>
      </c>
      <c r="H310" s="719"/>
      <c r="I310" s="24">
        <f t="shared" si="61"/>
        <v>1</v>
      </c>
      <c r="J310" s="719"/>
      <c r="K310" s="24">
        <f t="shared" si="62"/>
        <v>1</v>
      </c>
      <c r="L310" s="719"/>
      <c r="M310" s="24">
        <f t="shared" si="63"/>
        <v>1</v>
      </c>
      <c r="N310" s="719"/>
      <c r="O310" s="24">
        <f t="shared" si="64"/>
        <v>1</v>
      </c>
      <c r="P310" s="719" t="s">
        <v>3120</v>
      </c>
      <c r="Q310" s="24">
        <f t="shared" si="65"/>
        <v>1</v>
      </c>
      <c r="R310" s="715">
        <f t="shared" ca="1" si="66"/>
        <v>27100</v>
      </c>
      <c r="S310" s="361">
        <f t="shared" ca="1" si="67"/>
        <v>305</v>
      </c>
      <c r="U310" s="3056" t="str">
        <f>Sheet1!C289</f>
        <v>2-8</v>
      </c>
      <c r="V310" s="799">
        <f>Sheet1!E289</f>
        <v>112.62</v>
      </c>
      <c r="W310" s="799">
        <f t="shared" si="57"/>
        <v>0</v>
      </c>
    </row>
    <row r="311" spans="1:23">
      <c r="A311" s="3043" t="str">
        <f>Sheet1!C290</f>
        <v>2-9</v>
      </c>
      <c r="B311" s="717">
        <f>Sheet1!E290</f>
        <v>136.27000000000001</v>
      </c>
      <c r="C311" s="24">
        <f t="shared" si="58"/>
        <v>0.99</v>
      </c>
      <c r="D311" s="719"/>
      <c r="E311" s="24">
        <f t="shared" si="59"/>
        <v>1</v>
      </c>
      <c r="F311" s="719"/>
      <c r="G311" s="24">
        <f t="shared" si="60"/>
        <v>1</v>
      </c>
      <c r="H311" s="719"/>
      <c r="I311" s="24">
        <f t="shared" si="61"/>
        <v>1</v>
      </c>
      <c r="J311" s="719"/>
      <c r="K311" s="24">
        <f t="shared" si="62"/>
        <v>1</v>
      </c>
      <c r="L311" s="719"/>
      <c r="M311" s="24">
        <f t="shared" si="63"/>
        <v>1</v>
      </c>
      <c r="N311" s="719"/>
      <c r="O311" s="24">
        <f t="shared" si="64"/>
        <v>1</v>
      </c>
      <c r="P311" s="719" t="s">
        <v>3120</v>
      </c>
      <c r="Q311" s="24">
        <f t="shared" si="65"/>
        <v>1</v>
      </c>
      <c r="R311" s="715">
        <f t="shared" ca="1" si="66"/>
        <v>27100</v>
      </c>
      <c r="S311" s="361">
        <f t="shared" ca="1" si="67"/>
        <v>369</v>
      </c>
      <c r="U311" s="3056" t="str">
        <f>Sheet1!C290</f>
        <v>2-9</v>
      </c>
      <c r="V311" s="799">
        <f>Sheet1!E290</f>
        <v>136.27000000000001</v>
      </c>
      <c r="W311" s="799">
        <f t="shared" si="57"/>
        <v>0</v>
      </c>
    </row>
    <row r="312" spans="1:23">
      <c r="A312" s="3043" t="str">
        <f>Sheet1!C291</f>
        <v>2-10</v>
      </c>
      <c r="B312" s="717">
        <f>Sheet1!E291</f>
        <v>110.17</v>
      </c>
      <c r="C312" s="24">
        <f t="shared" si="58"/>
        <v>0.99</v>
      </c>
      <c r="D312" s="719"/>
      <c r="E312" s="24">
        <f t="shared" si="59"/>
        <v>1</v>
      </c>
      <c r="F312" s="719"/>
      <c r="G312" s="24">
        <f t="shared" si="60"/>
        <v>1</v>
      </c>
      <c r="H312" s="719"/>
      <c r="I312" s="24">
        <f t="shared" si="61"/>
        <v>1</v>
      </c>
      <c r="J312" s="719"/>
      <c r="K312" s="24">
        <f t="shared" si="62"/>
        <v>1</v>
      </c>
      <c r="L312" s="719"/>
      <c r="M312" s="24">
        <f t="shared" si="63"/>
        <v>1</v>
      </c>
      <c r="N312" s="719"/>
      <c r="O312" s="24">
        <f t="shared" si="64"/>
        <v>1</v>
      </c>
      <c r="P312" s="719" t="s">
        <v>3120</v>
      </c>
      <c r="Q312" s="24">
        <f t="shared" si="65"/>
        <v>1</v>
      </c>
      <c r="R312" s="715">
        <f t="shared" ca="1" si="66"/>
        <v>27100</v>
      </c>
      <c r="S312" s="361">
        <f t="shared" ca="1" si="67"/>
        <v>299</v>
      </c>
      <c r="U312" s="3056" t="str">
        <f>Sheet1!C291</f>
        <v>2-10</v>
      </c>
      <c r="V312" s="799">
        <f>Sheet1!E291</f>
        <v>110.17</v>
      </c>
      <c r="W312" s="799">
        <f t="shared" si="57"/>
        <v>0</v>
      </c>
    </row>
    <row r="313" spans="1:23">
      <c r="A313" s="3043" t="str">
        <f>Sheet1!C292</f>
        <v>2-11</v>
      </c>
      <c r="B313" s="717">
        <f>Sheet1!E292</f>
        <v>70.59</v>
      </c>
      <c r="C313" s="24">
        <f t="shared" si="58"/>
        <v>1</v>
      </c>
      <c r="D313" s="719"/>
      <c r="E313" s="24">
        <f t="shared" si="59"/>
        <v>1</v>
      </c>
      <c r="F313" s="719"/>
      <c r="G313" s="24">
        <f t="shared" si="60"/>
        <v>1</v>
      </c>
      <c r="H313" s="719"/>
      <c r="I313" s="24">
        <f t="shared" si="61"/>
        <v>1</v>
      </c>
      <c r="J313" s="719"/>
      <c r="K313" s="24">
        <f t="shared" si="62"/>
        <v>1</v>
      </c>
      <c r="L313" s="719"/>
      <c r="M313" s="24">
        <f t="shared" si="63"/>
        <v>1</v>
      </c>
      <c r="N313" s="719"/>
      <c r="O313" s="24">
        <f t="shared" si="64"/>
        <v>1</v>
      </c>
      <c r="P313" s="719" t="s">
        <v>3120</v>
      </c>
      <c r="Q313" s="24">
        <f t="shared" si="65"/>
        <v>1</v>
      </c>
      <c r="R313" s="715">
        <f t="shared" ca="1" si="66"/>
        <v>27374</v>
      </c>
      <c r="S313" s="361">
        <f t="shared" ca="1" si="67"/>
        <v>193</v>
      </c>
      <c r="U313" s="3056" t="str">
        <f>Sheet1!C292</f>
        <v>2-11</v>
      </c>
      <c r="V313" s="799">
        <f>Sheet1!E292</f>
        <v>70.59</v>
      </c>
      <c r="W313" s="799">
        <f t="shared" si="57"/>
        <v>0</v>
      </c>
    </row>
    <row r="314" spans="1:23">
      <c r="A314" s="3043" t="str">
        <f>Sheet1!C293</f>
        <v>2-12</v>
      </c>
      <c r="B314" s="717">
        <f>Sheet1!E293</f>
        <v>90.39</v>
      </c>
      <c r="C314" s="24">
        <f t="shared" si="58"/>
        <v>1</v>
      </c>
      <c r="D314" s="719"/>
      <c r="E314" s="24">
        <f t="shared" si="59"/>
        <v>1</v>
      </c>
      <c r="F314" s="719"/>
      <c r="G314" s="24">
        <f t="shared" si="60"/>
        <v>1</v>
      </c>
      <c r="H314" s="719"/>
      <c r="I314" s="24">
        <f t="shared" si="61"/>
        <v>1</v>
      </c>
      <c r="J314" s="719"/>
      <c r="K314" s="24">
        <f t="shared" si="62"/>
        <v>1</v>
      </c>
      <c r="L314" s="719"/>
      <c r="M314" s="24">
        <f t="shared" si="63"/>
        <v>1</v>
      </c>
      <c r="N314" s="719"/>
      <c r="O314" s="24">
        <f t="shared" si="64"/>
        <v>1</v>
      </c>
      <c r="P314" s="719" t="s">
        <v>3120</v>
      </c>
      <c r="Q314" s="24">
        <f t="shared" si="65"/>
        <v>1</v>
      </c>
      <c r="R314" s="715">
        <f t="shared" ca="1" si="66"/>
        <v>27374</v>
      </c>
      <c r="S314" s="361">
        <f t="shared" ca="1" si="67"/>
        <v>247</v>
      </c>
      <c r="U314" s="3056" t="str">
        <f>Sheet1!C293</f>
        <v>2-12</v>
      </c>
      <c r="V314" s="799">
        <f>Sheet1!E293</f>
        <v>90.39</v>
      </c>
      <c r="W314" s="799">
        <f t="shared" si="57"/>
        <v>0</v>
      </c>
    </row>
    <row r="315" spans="1:23">
      <c r="A315" s="3043" t="str">
        <f>Sheet1!C294</f>
        <v>3-1复式</v>
      </c>
      <c r="B315" s="717">
        <f>Sheet1!E294</f>
        <v>217.41</v>
      </c>
      <c r="C315" s="24">
        <f t="shared" si="58"/>
        <v>0.98</v>
      </c>
      <c r="D315" s="719"/>
      <c r="E315" s="24">
        <f t="shared" si="59"/>
        <v>1</v>
      </c>
      <c r="F315" s="719"/>
      <c r="G315" s="24">
        <f t="shared" si="60"/>
        <v>1</v>
      </c>
      <c r="H315" s="719"/>
      <c r="I315" s="24">
        <f t="shared" si="61"/>
        <v>1</v>
      </c>
      <c r="J315" s="719"/>
      <c r="K315" s="24">
        <f t="shared" si="62"/>
        <v>1</v>
      </c>
      <c r="L315" s="719"/>
      <c r="M315" s="24">
        <f t="shared" si="63"/>
        <v>1</v>
      </c>
      <c r="N315" s="719"/>
      <c r="O315" s="24">
        <f t="shared" si="64"/>
        <v>1</v>
      </c>
      <c r="P315" s="719" t="s">
        <v>3558</v>
      </c>
      <c r="Q315" s="24">
        <f t="shared" si="65"/>
        <v>0.85</v>
      </c>
      <c r="R315" s="715">
        <f t="shared" ca="1" si="66"/>
        <v>22803</v>
      </c>
      <c r="S315" s="361">
        <f t="shared" ca="1" si="67"/>
        <v>496</v>
      </c>
      <c r="U315" s="3056" t="str">
        <f>Sheet1!C294</f>
        <v>3-1复式</v>
      </c>
      <c r="V315" s="799">
        <f>Sheet1!E294</f>
        <v>217.41</v>
      </c>
      <c r="W315" s="799">
        <f t="shared" si="57"/>
        <v>0</v>
      </c>
    </row>
    <row r="316" spans="1:23">
      <c r="A316" s="3043" t="str">
        <f>Sheet1!C295</f>
        <v>3-2复式</v>
      </c>
      <c r="B316" s="717">
        <f>Sheet1!E295</f>
        <v>217.41</v>
      </c>
      <c r="C316" s="24">
        <f t="shared" si="58"/>
        <v>0.98</v>
      </c>
      <c r="D316" s="719"/>
      <c r="E316" s="24">
        <f t="shared" si="59"/>
        <v>1</v>
      </c>
      <c r="F316" s="719"/>
      <c r="G316" s="24">
        <f t="shared" si="60"/>
        <v>1</v>
      </c>
      <c r="H316" s="719"/>
      <c r="I316" s="24">
        <f t="shared" si="61"/>
        <v>1</v>
      </c>
      <c r="J316" s="719"/>
      <c r="K316" s="24">
        <f t="shared" si="62"/>
        <v>1</v>
      </c>
      <c r="L316" s="719"/>
      <c r="M316" s="24">
        <f t="shared" si="63"/>
        <v>1</v>
      </c>
      <c r="N316" s="719"/>
      <c r="O316" s="24">
        <f t="shared" si="64"/>
        <v>1</v>
      </c>
      <c r="P316" s="719" t="s">
        <v>3558</v>
      </c>
      <c r="Q316" s="24">
        <f t="shared" si="65"/>
        <v>0.85</v>
      </c>
      <c r="R316" s="715">
        <f t="shared" ca="1" si="66"/>
        <v>22803</v>
      </c>
      <c r="S316" s="361">
        <f t="shared" ca="1" si="67"/>
        <v>496</v>
      </c>
      <c r="U316" s="3056" t="str">
        <f>Sheet1!C295</f>
        <v>3-2复式</v>
      </c>
      <c r="V316" s="799">
        <f>Sheet1!E295</f>
        <v>217.41</v>
      </c>
      <c r="W316" s="799">
        <f t="shared" si="57"/>
        <v>0</v>
      </c>
    </row>
    <row r="317" spans="1:23">
      <c r="A317" s="3043" t="str">
        <f>Sheet1!C296</f>
        <v>3-3复式</v>
      </c>
      <c r="B317" s="717">
        <f>Sheet1!E296</f>
        <v>217.41</v>
      </c>
      <c r="C317" s="24">
        <f t="shared" si="58"/>
        <v>0.98</v>
      </c>
      <c r="D317" s="719"/>
      <c r="E317" s="24">
        <f t="shared" si="59"/>
        <v>1</v>
      </c>
      <c r="F317" s="719"/>
      <c r="G317" s="24">
        <f t="shared" si="60"/>
        <v>1</v>
      </c>
      <c r="H317" s="719"/>
      <c r="I317" s="24">
        <f t="shared" si="61"/>
        <v>1</v>
      </c>
      <c r="J317" s="719"/>
      <c r="K317" s="24">
        <f t="shared" si="62"/>
        <v>1</v>
      </c>
      <c r="L317" s="719"/>
      <c r="M317" s="24">
        <f t="shared" si="63"/>
        <v>1</v>
      </c>
      <c r="N317" s="719"/>
      <c r="O317" s="24">
        <f t="shared" si="64"/>
        <v>1</v>
      </c>
      <c r="P317" s="719" t="s">
        <v>3558</v>
      </c>
      <c r="Q317" s="24">
        <f t="shared" si="65"/>
        <v>0.85</v>
      </c>
      <c r="R317" s="715">
        <f t="shared" ca="1" si="66"/>
        <v>22803</v>
      </c>
      <c r="S317" s="361">
        <f t="shared" ca="1" si="67"/>
        <v>496</v>
      </c>
      <c r="U317" s="3056" t="str">
        <f>Sheet1!C296</f>
        <v>3-3复式</v>
      </c>
      <c r="V317" s="799">
        <f>Sheet1!E296</f>
        <v>217.41</v>
      </c>
      <c r="W317" s="799">
        <f t="shared" si="57"/>
        <v>0</v>
      </c>
    </row>
    <row r="318" spans="1:23">
      <c r="A318" s="3043" t="str">
        <f>Sheet1!C297</f>
        <v>3-4复式</v>
      </c>
      <c r="B318" s="717">
        <f>Sheet1!E297</f>
        <v>217.41</v>
      </c>
      <c r="C318" s="24">
        <f t="shared" si="58"/>
        <v>0.98</v>
      </c>
      <c r="D318" s="719"/>
      <c r="E318" s="24">
        <f t="shared" si="59"/>
        <v>1</v>
      </c>
      <c r="F318" s="719"/>
      <c r="G318" s="24">
        <f t="shared" si="60"/>
        <v>1</v>
      </c>
      <c r="H318" s="719"/>
      <c r="I318" s="24">
        <f t="shared" si="61"/>
        <v>1</v>
      </c>
      <c r="J318" s="719"/>
      <c r="K318" s="24">
        <f t="shared" si="62"/>
        <v>1</v>
      </c>
      <c r="L318" s="719"/>
      <c r="M318" s="24">
        <f t="shared" si="63"/>
        <v>1</v>
      </c>
      <c r="N318" s="719"/>
      <c r="O318" s="24">
        <f t="shared" si="64"/>
        <v>1</v>
      </c>
      <c r="P318" s="719" t="s">
        <v>3558</v>
      </c>
      <c r="Q318" s="24">
        <f t="shared" si="65"/>
        <v>0.85</v>
      </c>
      <c r="R318" s="715">
        <f t="shared" ca="1" si="66"/>
        <v>22803</v>
      </c>
      <c r="S318" s="361">
        <f t="shared" ca="1" si="67"/>
        <v>496</v>
      </c>
      <c r="U318" s="3056" t="str">
        <f>Sheet1!C297</f>
        <v>3-4复式</v>
      </c>
      <c r="V318" s="799">
        <f>Sheet1!E297</f>
        <v>217.41</v>
      </c>
      <c r="W318" s="799">
        <f t="shared" si="57"/>
        <v>0</v>
      </c>
    </row>
    <row r="319" spans="1:23">
      <c r="A319" s="3043" t="str">
        <f>Sheet1!C298</f>
        <v>3-5复式</v>
      </c>
      <c r="B319" s="717">
        <f>Sheet1!E298</f>
        <v>217.41</v>
      </c>
      <c r="C319" s="24">
        <f t="shared" si="58"/>
        <v>0.98</v>
      </c>
      <c r="D319" s="719"/>
      <c r="E319" s="24">
        <f t="shared" si="59"/>
        <v>1</v>
      </c>
      <c r="F319" s="719"/>
      <c r="G319" s="24">
        <f t="shared" si="60"/>
        <v>1</v>
      </c>
      <c r="H319" s="719"/>
      <c r="I319" s="24">
        <f t="shared" si="61"/>
        <v>1</v>
      </c>
      <c r="J319" s="719"/>
      <c r="K319" s="24">
        <f t="shared" si="62"/>
        <v>1</v>
      </c>
      <c r="L319" s="719"/>
      <c r="M319" s="24">
        <f t="shared" si="63"/>
        <v>1</v>
      </c>
      <c r="N319" s="719"/>
      <c r="O319" s="24">
        <f t="shared" si="64"/>
        <v>1</v>
      </c>
      <c r="P319" s="719" t="s">
        <v>3558</v>
      </c>
      <c r="Q319" s="24">
        <f t="shared" si="65"/>
        <v>0.85</v>
      </c>
      <c r="R319" s="715">
        <f t="shared" ca="1" si="66"/>
        <v>22803</v>
      </c>
      <c r="S319" s="361">
        <f t="shared" ca="1" si="67"/>
        <v>496</v>
      </c>
      <c r="U319" s="3056" t="str">
        <f>Sheet1!C298</f>
        <v>3-5复式</v>
      </c>
      <c r="V319" s="799">
        <f>Sheet1!E298</f>
        <v>217.41</v>
      </c>
      <c r="W319" s="799">
        <f t="shared" si="57"/>
        <v>0</v>
      </c>
    </row>
    <row r="320" spans="1:23">
      <c r="A320" s="3043" t="str">
        <f>Sheet1!C299</f>
        <v>3-6</v>
      </c>
      <c r="B320" s="717">
        <f>Sheet1!E299</f>
        <v>97.88</v>
      </c>
      <c r="C320" s="24">
        <f t="shared" si="58"/>
        <v>1</v>
      </c>
      <c r="D320" s="719"/>
      <c r="E320" s="24">
        <f t="shared" si="59"/>
        <v>1</v>
      </c>
      <c r="F320" s="719"/>
      <c r="G320" s="24">
        <f t="shared" si="60"/>
        <v>1</v>
      </c>
      <c r="H320" s="719"/>
      <c r="I320" s="24">
        <f t="shared" si="61"/>
        <v>1</v>
      </c>
      <c r="J320" s="719"/>
      <c r="K320" s="24">
        <f t="shared" si="62"/>
        <v>1</v>
      </c>
      <c r="L320" s="719"/>
      <c r="M320" s="24">
        <f t="shared" si="63"/>
        <v>1</v>
      </c>
      <c r="N320" s="719"/>
      <c r="O320" s="24">
        <f t="shared" si="64"/>
        <v>1</v>
      </c>
      <c r="P320" s="719" t="s">
        <v>3120</v>
      </c>
      <c r="Q320" s="24">
        <f t="shared" si="65"/>
        <v>1</v>
      </c>
      <c r="R320" s="715">
        <f t="shared" ca="1" si="66"/>
        <v>27374</v>
      </c>
      <c r="S320" s="361">
        <f t="shared" ca="1" si="67"/>
        <v>268</v>
      </c>
      <c r="U320" s="3056" t="str">
        <f>Sheet1!C299</f>
        <v>3-6</v>
      </c>
      <c r="V320" s="799">
        <f>Sheet1!E299</f>
        <v>97.88</v>
      </c>
      <c r="W320" s="799">
        <f t="shared" si="57"/>
        <v>0</v>
      </c>
    </row>
    <row r="321" spans="1:23">
      <c r="A321" s="3043" t="str">
        <f>Sheet1!C300</f>
        <v>3-7</v>
      </c>
      <c r="B321" s="717">
        <f>Sheet1!E300</f>
        <v>197.8</v>
      </c>
      <c r="C321" s="24">
        <f t="shared" si="58"/>
        <v>0.99</v>
      </c>
      <c r="D321" s="719"/>
      <c r="E321" s="24">
        <f t="shared" si="59"/>
        <v>1</v>
      </c>
      <c r="F321" s="719"/>
      <c r="G321" s="24">
        <f t="shared" si="60"/>
        <v>1</v>
      </c>
      <c r="H321" s="719"/>
      <c r="I321" s="24">
        <f t="shared" si="61"/>
        <v>1</v>
      </c>
      <c r="J321" s="719"/>
      <c r="K321" s="24">
        <f t="shared" si="62"/>
        <v>1</v>
      </c>
      <c r="L321" s="719"/>
      <c r="M321" s="24">
        <f t="shared" si="63"/>
        <v>1</v>
      </c>
      <c r="N321" s="719"/>
      <c r="O321" s="24">
        <f t="shared" si="64"/>
        <v>1</v>
      </c>
      <c r="P321" s="719" t="s">
        <v>3120</v>
      </c>
      <c r="Q321" s="24">
        <f t="shared" si="65"/>
        <v>1</v>
      </c>
      <c r="R321" s="715">
        <f t="shared" ca="1" si="66"/>
        <v>27100</v>
      </c>
      <c r="S321" s="361">
        <f t="shared" ref="S321:S384" ca="1" si="68">ROUND(R321*B321/10000,0)</f>
        <v>536</v>
      </c>
      <c r="U321" s="3056" t="str">
        <f>Sheet1!C300</f>
        <v>3-7</v>
      </c>
      <c r="V321" s="799">
        <f>Sheet1!E300</f>
        <v>197.8</v>
      </c>
      <c r="W321" s="799">
        <f t="shared" si="57"/>
        <v>0</v>
      </c>
    </row>
    <row r="322" spans="1:23">
      <c r="A322" s="3043" t="str">
        <f>Sheet1!C301</f>
        <v>3-8</v>
      </c>
      <c r="B322" s="717">
        <f>Sheet1!E301</f>
        <v>122.38</v>
      </c>
      <c r="C322" s="24">
        <f t="shared" si="58"/>
        <v>0.99</v>
      </c>
      <c r="D322" s="719"/>
      <c r="E322" s="24">
        <f t="shared" si="59"/>
        <v>1</v>
      </c>
      <c r="F322" s="719"/>
      <c r="G322" s="24">
        <f t="shared" si="60"/>
        <v>1</v>
      </c>
      <c r="H322" s="719"/>
      <c r="I322" s="24">
        <f t="shared" si="61"/>
        <v>1</v>
      </c>
      <c r="J322" s="719"/>
      <c r="K322" s="24">
        <f t="shared" si="62"/>
        <v>1</v>
      </c>
      <c r="L322" s="719"/>
      <c r="M322" s="24">
        <f t="shared" si="63"/>
        <v>1</v>
      </c>
      <c r="N322" s="719"/>
      <c r="O322" s="24">
        <f t="shared" si="64"/>
        <v>1</v>
      </c>
      <c r="P322" s="719" t="s">
        <v>3120</v>
      </c>
      <c r="Q322" s="24">
        <f t="shared" si="65"/>
        <v>1</v>
      </c>
      <c r="R322" s="715">
        <f t="shared" ca="1" si="66"/>
        <v>27100</v>
      </c>
      <c r="S322" s="361">
        <f t="shared" ca="1" si="68"/>
        <v>332</v>
      </c>
      <c r="U322" s="3056" t="str">
        <f>Sheet1!C301</f>
        <v>3-8</v>
      </c>
      <c r="V322" s="799">
        <f>Sheet1!E301</f>
        <v>122.38</v>
      </c>
      <c r="W322" s="799">
        <f t="shared" si="57"/>
        <v>0</v>
      </c>
    </row>
    <row r="323" spans="1:23">
      <c r="A323" s="3043" t="str">
        <f>Sheet1!C302</f>
        <v>5-1</v>
      </c>
      <c r="B323" s="717">
        <f>Sheet1!E302</f>
        <v>77.650000000000006</v>
      </c>
      <c r="C323" s="24">
        <f t="shared" si="58"/>
        <v>1</v>
      </c>
      <c r="D323" s="719"/>
      <c r="E323" s="24">
        <f t="shared" si="59"/>
        <v>1</v>
      </c>
      <c r="F323" s="719"/>
      <c r="G323" s="24">
        <f t="shared" si="60"/>
        <v>1</v>
      </c>
      <c r="H323" s="719"/>
      <c r="I323" s="24">
        <f t="shared" si="61"/>
        <v>1</v>
      </c>
      <c r="J323" s="719"/>
      <c r="K323" s="24">
        <f t="shared" si="62"/>
        <v>1</v>
      </c>
      <c r="L323" s="719"/>
      <c r="M323" s="24">
        <f t="shared" si="63"/>
        <v>1</v>
      </c>
      <c r="N323" s="719"/>
      <c r="O323" s="24">
        <f t="shared" si="64"/>
        <v>1</v>
      </c>
      <c r="P323" s="719" t="s">
        <v>3120</v>
      </c>
      <c r="Q323" s="24">
        <f t="shared" si="65"/>
        <v>1</v>
      </c>
      <c r="R323" s="715">
        <f t="shared" ca="1" si="66"/>
        <v>27374</v>
      </c>
      <c r="S323" s="361">
        <f t="shared" ca="1" si="68"/>
        <v>213</v>
      </c>
      <c r="U323" s="3056" t="str">
        <f>Sheet1!C302</f>
        <v>5-1</v>
      </c>
      <c r="V323" s="799">
        <f>Sheet1!E302</f>
        <v>77.650000000000006</v>
      </c>
      <c r="W323" s="799">
        <f t="shared" si="57"/>
        <v>0</v>
      </c>
    </row>
    <row r="324" spans="1:23">
      <c r="A324" s="3043" t="str">
        <f>Sheet1!C303</f>
        <v>5-2</v>
      </c>
      <c r="B324" s="717">
        <f>Sheet1!E303</f>
        <v>81.349999999999994</v>
      </c>
      <c r="C324" s="24">
        <f t="shared" si="58"/>
        <v>1</v>
      </c>
      <c r="D324" s="719"/>
      <c r="E324" s="24">
        <f t="shared" si="59"/>
        <v>1</v>
      </c>
      <c r="F324" s="719"/>
      <c r="G324" s="24">
        <f t="shared" si="60"/>
        <v>1</v>
      </c>
      <c r="H324" s="719"/>
      <c r="I324" s="24">
        <f t="shared" si="61"/>
        <v>1</v>
      </c>
      <c r="J324" s="719"/>
      <c r="K324" s="24">
        <f t="shared" si="62"/>
        <v>1</v>
      </c>
      <c r="L324" s="719"/>
      <c r="M324" s="24">
        <f t="shared" si="63"/>
        <v>1</v>
      </c>
      <c r="N324" s="719"/>
      <c r="O324" s="24">
        <f t="shared" si="64"/>
        <v>1</v>
      </c>
      <c r="P324" s="719" t="s">
        <v>3120</v>
      </c>
      <c r="Q324" s="24">
        <f t="shared" si="65"/>
        <v>1</v>
      </c>
      <c r="R324" s="715">
        <f t="shared" ca="1" si="66"/>
        <v>27374</v>
      </c>
      <c r="S324" s="361">
        <f t="shared" ca="1" si="68"/>
        <v>223</v>
      </c>
      <c r="U324" s="3056" t="str">
        <f>Sheet1!C303</f>
        <v>5-2</v>
      </c>
      <c r="V324" s="799">
        <f>Sheet1!E303</f>
        <v>81.349999999999994</v>
      </c>
      <c r="W324" s="799">
        <f t="shared" si="57"/>
        <v>0</v>
      </c>
    </row>
    <row r="325" spans="1:23">
      <c r="A325" s="3043" t="str">
        <f>Sheet1!C304</f>
        <v>5-3</v>
      </c>
      <c r="B325" s="717">
        <f>Sheet1!E304</f>
        <v>81.349999999999994</v>
      </c>
      <c r="C325" s="24">
        <f t="shared" si="58"/>
        <v>1</v>
      </c>
      <c r="D325" s="719"/>
      <c r="E325" s="24">
        <f t="shared" si="59"/>
        <v>1</v>
      </c>
      <c r="F325" s="719"/>
      <c r="G325" s="24">
        <f t="shared" si="60"/>
        <v>1</v>
      </c>
      <c r="H325" s="719"/>
      <c r="I325" s="24">
        <f t="shared" si="61"/>
        <v>1</v>
      </c>
      <c r="J325" s="719"/>
      <c r="K325" s="24">
        <f t="shared" si="62"/>
        <v>1</v>
      </c>
      <c r="L325" s="719"/>
      <c r="M325" s="24">
        <f t="shared" si="63"/>
        <v>1</v>
      </c>
      <c r="N325" s="719"/>
      <c r="O325" s="24">
        <f t="shared" si="64"/>
        <v>1</v>
      </c>
      <c r="P325" s="719" t="s">
        <v>3120</v>
      </c>
      <c r="Q325" s="24">
        <f t="shared" si="65"/>
        <v>1</v>
      </c>
      <c r="R325" s="715">
        <f t="shared" ca="1" si="66"/>
        <v>27374</v>
      </c>
      <c r="S325" s="361">
        <f t="shared" ca="1" si="68"/>
        <v>223</v>
      </c>
      <c r="U325" s="3056" t="str">
        <f>Sheet1!C304</f>
        <v>5-3</v>
      </c>
      <c r="V325" s="799">
        <f>Sheet1!E304</f>
        <v>81.349999999999994</v>
      </c>
      <c r="W325" s="799">
        <f t="shared" si="57"/>
        <v>0</v>
      </c>
    </row>
    <row r="326" spans="1:23">
      <c r="A326" s="3043" t="str">
        <f>Sheet1!C305</f>
        <v>5-4</v>
      </c>
      <c r="B326" s="717">
        <f>Sheet1!E305</f>
        <v>75.77</v>
      </c>
      <c r="C326" s="24">
        <f t="shared" si="58"/>
        <v>1</v>
      </c>
      <c r="D326" s="719"/>
      <c r="E326" s="24">
        <f t="shared" si="59"/>
        <v>1</v>
      </c>
      <c r="F326" s="719"/>
      <c r="G326" s="24">
        <f t="shared" si="60"/>
        <v>1</v>
      </c>
      <c r="H326" s="719"/>
      <c r="I326" s="24">
        <f t="shared" si="61"/>
        <v>1</v>
      </c>
      <c r="J326" s="719"/>
      <c r="K326" s="24">
        <f t="shared" si="62"/>
        <v>1</v>
      </c>
      <c r="L326" s="719"/>
      <c r="M326" s="24">
        <f t="shared" si="63"/>
        <v>1</v>
      </c>
      <c r="N326" s="719"/>
      <c r="O326" s="24">
        <f t="shared" si="64"/>
        <v>1</v>
      </c>
      <c r="P326" s="719" t="s">
        <v>3120</v>
      </c>
      <c r="Q326" s="24">
        <f t="shared" si="65"/>
        <v>1</v>
      </c>
      <c r="R326" s="715">
        <f t="shared" ca="1" si="66"/>
        <v>27374</v>
      </c>
      <c r="S326" s="361">
        <f t="shared" ca="1" si="68"/>
        <v>207</v>
      </c>
      <c r="U326" s="3056" t="str">
        <f>Sheet1!C305</f>
        <v>5-4</v>
      </c>
      <c r="V326" s="799">
        <f>Sheet1!E305</f>
        <v>75.77</v>
      </c>
      <c r="W326" s="799">
        <f t="shared" si="57"/>
        <v>0</v>
      </c>
    </row>
    <row r="327" spans="1:23">
      <c r="A327" s="3043" t="str">
        <f>Sheet1!C306</f>
        <v>5-5</v>
      </c>
      <c r="B327" s="717">
        <f>Sheet1!E306</f>
        <v>60.58</v>
      </c>
      <c r="C327" s="24">
        <f t="shared" si="58"/>
        <v>1</v>
      </c>
      <c r="D327" s="719"/>
      <c r="E327" s="24">
        <f t="shared" si="59"/>
        <v>1</v>
      </c>
      <c r="F327" s="719"/>
      <c r="G327" s="24">
        <f t="shared" si="60"/>
        <v>1</v>
      </c>
      <c r="H327" s="719"/>
      <c r="I327" s="24">
        <f t="shared" si="61"/>
        <v>1</v>
      </c>
      <c r="J327" s="719"/>
      <c r="K327" s="24">
        <f t="shared" si="62"/>
        <v>1</v>
      </c>
      <c r="L327" s="719"/>
      <c r="M327" s="24">
        <f t="shared" si="63"/>
        <v>1</v>
      </c>
      <c r="N327" s="719"/>
      <c r="O327" s="24">
        <f t="shared" si="64"/>
        <v>1</v>
      </c>
      <c r="P327" s="719" t="s">
        <v>3120</v>
      </c>
      <c r="Q327" s="24">
        <f t="shared" si="65"/>
        <v>1</v>
      </c>
      <c r="R327" s="715">
        <f t="shared" ca="1" si="66"/>
        <v>27374</v>
      </c>
      <c r="S327" s="361">
        <f t="shared" ca="1" si="68"/>
        <v>166</v>
      </c>
      <c r="U327" s="3056" t="str">
        <f>Sheet1!C306</f>
        <v>5-5</v>
      </c>
      <c r="V327" s="799">
        <f>Sheet1!E306</f>
        <v>60.58</v>
      </c>
      <c r="W327" s="799">
        <f t="shared" si="57"/>
        <v>0</v>
      </c>
    </row>
    <row r="328" spans="1:23">
      <c r="A328" s="3043" t="str">
        <f>Sheet1!C307</f>
        <v>5-6</v>
      </c>
      <c r="B328" s="717">
        <f>Sheet1!E307</f>
        <v>156.29</v>
      </c>
      <c r="C328" s="24">
        <f t="shared" si="58"/>
        <v>0.99</v>
      </c>
      <c r="D328" s="719"/>
      <c r="E328" s="24">
        <f t="shared" si="59"/>
        <v>1</v>
      </c>
      <c r="F328" s="719"/>
      <c r="G328" s="24">
        <f t="shared" si="60"/>
        <v>1</v>
      </c>
      <c r="H328" s="719"/>
      <c r="I328" s="24">
        <f t="shared" si="61"/>
        <v>1</v>
      </c>
      <c r="J328" s="719"/>
      <c r="K328" s="24">
        <f t="shared" si="62"/>
        <v>1</v>
      </c>
      <c r="L328" s="719"/>
      <c r="M328" s="24">
        <f t="shared" si="63"/>
        <v>1</v>
      </c>
      <c r="N328" s="719"/>
      <c r="O328" s="24">
        <f t="shared" si="64"/>
        <v>1</v>
      </c>
      <c r="P328" s="719" t="s">
        <v>3120</v>
      </c>
      <c r="Q328" s="24">
        <f t="shared" si="65"/>
        <v>1</v>
      </c>
      <c r="R328" s="715">
        <f t="shared" ca="1" si="66"/>
        <v>27100</v>
      </c>
      <c r="S328" s="361">
        <f t="shared" ca="1" si="68"/>
        <v>424</v>
      </c>
      <c r="U328" s="3056" t="str">
        <f>Sheet1!C307</f>
        <v>5-6</v>
      </c>
      <c r="V328" s="799">
        <f>Sheet1!E307</f>
        <v>156.29</v>
      </c>
      <c r="W328" s="799">
        <f t="shared" si="57"/>
        <v>0</v>
      </c>
    </row>
    <row r="329" spans="1:23">
      <c r="A329" s="3043" t="str">
        <f>Sheet1!C308</f>
        <v>5-7</v>
      </c>
      <c r="B329" s="717">
        <f>Sheet1!E308</f>
        <v>125.56</v>
      </c>
      <c r="C329" s="24">
        <f t="shared" si="58"/>
        <v>0.99</v>
      </c>
      <c r="D329" s="719"/>
      <c r="E329" s="24">
        <f t="shared" si="59"/>
        <v>1</v>
      </c>
      <c r="F329" s="719"/>
      <c r="G329" s="24">
        <f t="shared" si="60"/>
        <v>1</v>
      </c>
      <c r="H329" s="719"/>
      <c r="I329" s="24">
        <f t="shared" si="61"/>
        <v>1</v>
      </c>
      <c r="J329" s="719"/>
      <c r="K329" s="24">
        <f t="shared" si="62"/>
        <v>1</v>
      </c>
      <c r="L329" s="719"/>
      <c r="M329" s="24">
        <f t="shared" si="63"/>
        <v>1</v>
      </c>
      <c r="N329" s="719"/>
      <c r="O329" s="24">
        <f t="shared" si="64"/>
        <v>1</v>
      </c>
      <c r="P329" s="719" t="s">
        <v>3120</v>
      </c>
      <c r="Q329" s="24">
        <f t="shared" si="65"/>
        <v>1</v>
      </c>
      <c r="R329" s="715">
        <f t="shared" ca="1" si="66"/>
        <v>27100</v>
      </c>
      <c r="S329" s="361">
        <f t="shared" ca="1" si="68"/>
        <v>340</v>
      </c>
      <c r="U329" s="3056" t="str">
        <f>Sheet1!C308</f>
        <v>5-7</v>
      </c>
      <c r="V329" s="799">
        <f>Sheet1!E308</f>
        <v>125.56</v>
      </c>
      <c r="W329" s="799">
        <f t="shared" si="57"/>
        <v>0</v>
      </c>
    </row>
    <row r="330" spans="1:23">
      <c r="A330" s="3043" t="str">
        <f>Sheet1!C309</f>
        <v>6-1</v>
      </c>
      <c r="B330" s="717">
        <f>Sheet1!E309</f>
        <v>173.23</v>
      </c>
      <c r="C330" s="24">
        <f t="shared" si="58"/>
        <v>0.99</v>
      </c>
      <c r="D330" s="719"/>
      <c r="E330" s="24">
        <f t="shared" si="59"/>
        <v>1</v>
      </c>
      <c r="F330" s="719"/>
      <c r="G330" s="24">
        <f t="shared" si="60"/>
        <v>1</v>
      </c>
      <c r="H330" s="719"/>
      <c r="I330" s="24">
        <f t="shared" si="61"/>
        <v>1</v>
      </c>
      <c r="J330" s="719"/>
      <c r="K330" s="24">
        <f t="shared" si="62"/>
        <v>1</v>
      </c>
      <c r="L330" s="719"/>
      <c r="M330" s="24">
        <f t="shared" si="63"/>
        <v>1</v>
      </c>
      <c r="N330" s="719"/>
      <c r="O330" s="24">
        <f t="shared" si="64"/>
        <v>1</v>
      </c>
      <c r="P330" s="719" t="s">
        <v>3120</v>
      </c>
      <c r="Q330" s="24">
        <f t="shared" si="65"/>
        <v>1</v>
      </c>
      <c r="R330" s="715">
        <f t="shared" ca="1" si="66"/>
        <v>27100</v>
      </c>
      <c r="S330" s="361">
        <f t="shared" ca="1" si="68"/>
        <v>469</v>
      </c>
      <c r="U330" s="3056" t="str">
        <f>Sheet1!C309</f>
        <v>6-1</v>
      </c>
      <c r="V330" s="799">
        <f>Sheet1!E309</f>
        <v>173.23</v>
      </c>
      <c r="W330" s="799">
        <f t="shared" si="57"/>
        <v>0</v>
      </c>
    </row>
    <row r="331" spans="1:23">
      <c r="A331" s="3043" t="str">
        <f>Sheet1!C310</f>
        <v>6-2</v>
      </c>
      <c r="B331" s="717">
        <f>Sheet1!E310</f>
        <v>96.28</v>
      </c>
      <c r="C331" s="24">
        <f t="shared" si="58"/>
        <v>1</v>
      </c>
      <c r="D331" s="719"/>
      <c r="E331" s="24">
        <f t="shared" si="59"/>
        <v>1</v>
      </c>
      <c r="F331" s="719"/>
      <c r="G331" s="24">
        <f t="shared" si="60"/>
        <v>1</v>
      </c>
      <c r="H331" s="719"/>
      <c r="I331" s="24">
        <f t="shared" si="61"/>
        <v>1</v>
      </c>
      <c r="J331" s="719"/>
      <c r="K331" s="24">
        <f t="shared" si="62"/>
        <v>1</v>
      </c>
      <c r="L331" s="719"/>
      <c r="M331" s="24">
        <f t="shared" si="63"/>
        <v>1</v>
      </c>
      <c r="N331" s="719"/>
      <c r="O331" s="24">
        <f t="shared" si="64"/>
        <v>1</v>
      </c>
      <c r="P331" s="719" t="s">
        <v>3120</v>
      </c>
      <c r="Q331" s="24">
        <f t="shared" si="65"/>
        <v>1</v>
      </c>
      <c r="R331" s="715">
        <f t="shared" ca="1" si="66"/>
        <v>27374</v>
      </c>
      <c r="S331" s="361">
        <f t="shared" ca="1" si="68"/>
        <v>264</v>
      </c>
      <c r="U331" s="3056" t="str">
        <f>Sheet1!C310</f>
        <v>6-2</v>
      </c>
      <c r="V331" s="799">
        <f>Sheet1!E310</f>
        <v>96.28</v>
      </c>
      <c r="W331" s="799">
        <f t="shared" si="57"/>
        <v>0</v>
      </c>
    </row>
    <row r="332" spans="1:23" ht="13.5" customHeight="1">
      <c r="A332" s="3043" t="str">
        <f>Sheet1!C311</f>
        <v>6-3</v>
      </c>
      <c r="B332" s="717">
        <f>Sheet1!E311</f>
        <v>77.099999999999994</v>
      </c>
      <c r="C332" s="24">
        <f t="shared" si="58"/>
        <v>1</v>
      </c>
      <c r="D332" s="719"/>
      <c r="E332" s="24">
        <f t="shared" si="59"/>
        <v>1</v>
      </c>
      <c r="F332" s="719"/>
      <c r="G332" s="24">
        <f t="shared" si="60"/>
        <v>1</v>
      </c>
      <c r="H332" s="719"/>
      <c r="I332" s="24">
        <f t="shared" si="61"/>
        <v>1</v>
      </c>
      <c r="J332" s="719"/>
      <c r="K332" s="24">
        <f t="shared" si="62"/>
        <v>1</v>
      </c>
      <c r="L332" s="719"/>
      <c r="M332" s="24">
        <f t="shared" si="63"/>
        <v>1</v>
      </c>
      <c r="N332" s="719"/>
      <c r="O332" s="24">
        <f t="shared" si="64"/>
        <v>1</v>
      </c>
      <c r="P332" s="719" t="s">
        <v>3120</v>
      </c>
      <c r="Q332" s="24">
        <f t="shared" si="65"/>
        <v>1</v>
      </c>
      <c r="R332" s="715">
        <f t="shared" ca="1" si="66"/>
        <v>27374</v>
      </c>
      <c r="S332" s="361">
        <f t="shared" ca="1" si="68"/>
        <v>211</v>
      </c>
      <c r="U332" s="3056" t="str">
        <f>Sheet1!C311</f>
        <v>6-3</v>
      </c>
      <c r="V332" s="799">
        <f>Sheet1!E311</f>
        <v>77.099999999999994</v>
      </c>
      <c r="W332" s="799">
        <f t="shared" si="57"/>
        <v>0</v>
      </c>
    </row>
    <row r="333" spans="1:23">
      <c r="A333" s="3043" t="str">
        <f>Sheet1!C312</f>
        <v>9-1</v>
      </c>
      <c r="B333" s="717">
        <f>Sheet1!E312</f>
        <v>4090.55</v>
      </c>
      <c r="C333" s="24">
        <f t="shared" si="58"/>
        <v>0.96</v>
      </c>
      <c r="D333" s="719"/>
      <c r="E333" s="24">
        <f t="shared" si="59"/>
        <v>1</v>
      </c>
      <c r="F333" s="719"/>
      <c r="G333" s="24">
        <f t="shared" si="60"/>
        <v>1</v>
      </c>
      <c r="H333" s="719"/>
      <c r="I333" s="24">
        <f t="shared" si="61"/>
        <v>1</v>
      </c>
      <c r="J333" s="719"/>
      <c r="K333" s="24">
        <f t="shared" si="62"/>
        <v>1</v>
      </c>
      <c r="L333" s="719"/>
      <c r="M333" s="24">
        <f t="shared" si="63"/>
        <v>1</v>
      </c>
      <c r="N333" s="719"/>
      <c r="O333" s="24">
        <f t="shared" si="64"/>
        <v>1</v>
      </c>
      <c r="P333" s="719" t="s">
        <v>3558</v>
      </c>
      <c r="Q333" s="24">
        <f t="shared" si="65"/>
        <v>0.85</v>
      </c>
      <c r="R333" s="715">
        <f t="shared" ca="1" si="66"/>
        <v>22337</v>
      </c>
      <c r="S333" s="361">
        <f t="shared" ca="1" si="68"/>
        <v>9137</v>
      </c>
      <c r="U333" s="3056" t="str">
        <f>Sheet1!C312</f>
        <v>9-1</v>
      </c>
      <c r="V333" s="799">
        <f>Sheet1!E312</f>
        <v>4090.55</v>
      </c>
      <c r="W333" s="799">
        <f t="shared" si="57"/>
        <v>0</v>
      </c>
    </row>
    <row r="334" spans="1:23">
      <c r="A334" s="3043" t="str">
        <f>Sheet1!C313</f>
        <v>9-2</v>
      </c>
      <c r="B334" s="717">
        <f>Sheet1!E313</f>
        <v>22.49</v>
      </c>
      <c r="C334" s="24">
        <f t="shared" si="58"/>
        <v>1</v>
      </c>
      <c r="D334" s="719"/>
      <c r="E334" s="24">
        <f t="shared" si="59"/>
        <v>1</v>
      </c>
      <c r="F334" s="719"/>
      <c r="G334" s="24">
        <f t="shared" si="60"/>
        <v>1</v>
      </c>
      <c r="H334" s="719"/>
      <c r="I334" s="24">
        <f t="shared" si="61"/>
        <v>1</v>
      </c>
      <c r="J334" s="719"/>
      <c r="K334" s="24">
        <f t="shared" si="62"/>
        <v>1</v>
      </c>
      <c r="L334" s="719"/>
      <c r="M334" s="24">
        <f t="shared" si="63"/>
        <v>1</v>
      </c>
      <c r="N334" s="719"/>
      <c r="O334" s="24">
        <f t="shared" si="64"/>
        <v>1</v>
      </c>
      <c r="P334" s="719" t="s">
        <v>3120</v>
      </c>
      <c r="Q334" s="24">
        <f t="shared" si="65"/>
        <v>1</v>
      </c>
      <c r="R334" s="715">
        <f t="shared" ca="1" si="66"/>
        <v>27374</v>
      </c>
      <c r="S334" s="361">
        <f t="shared" ca="1" si="68"/>
        <v>62</v>
      </c>
      <c r="U334" s="3056" t="str">
        <f>Sheet1!C313</f>
        <v>9-2</v>
      </c>
      <c r="V334" s="799">
        <f>Sheet1!E313</f>
        <v>22.49</v>
      </c>
      <c r="W334" s="799">
        <f t="shared" si="57"/>
        <v>0</v>
      </c>
    </row>
    <row r="335" spans="1:23">
      <c r="A335" s="3043" t="str">
        <f>Sheet1!C314</f>
        <v>9-3</v>
      </c>
      <c r="B335" s="717">
        <f>Sheet1!E314</f>
        <v>61.92</v>
      </c>
      <c r="C335" s="24">
        <f t="shared" si="58"/>
        <v>1</v>
      </c>
      <c r="D335" s="719"/>
      <c r="E335" s="24">
        <f t="shared" si="59"/>
        <v>1</v>
      </c>
      <c r="F335" s="719"/>
      <c r="G335" s="24">
        <f t="shared" si="60"/>
        <v>1</v>
      </c>
      <c r="H335" s="719"/>
      <c r="I335" s="24">
        <f t="shared" si="61"/>
        <v>1</v>
      </c>
      <c r="J335" s="719"/>
      <c r="K335" s="24">
        <f t="shared" si="62"/>
        <v>1</v>
      </c>
      <c r="L335" s="719"/>
      <c r="M335" s="24">
        <f t="shared" si="63"/>
        <v>1</v>
      </c>
      <c r="N335" s="719"/>
      <c r="O335" s="24">
        <f t="shared" si="64"/>
        <v>1</v>
      </c>
      <c r="P335" s="719" t="s">
        <v>3120</v>
      </c>
      <c r="Q335" s="24">
        <f t="shared" si="65"/>
        <v>1</v>
      </c>
      <c r="R335" s="715">
        <f t="shared" ca="1" si="66"/>
        <v>27374</v>
      </c>
      <c r="S335" s="361">
        <f t="shared" ca="1" si="68"/>
        <v>169</v>
      </c>
      <c r="U335" s="3056" t="str">
        <f>Sheet1!C314</f>
        <v>9-3</v>
      </c>
      <c r="V335" s="799">
        <f>Sheet1!E314</f>
        <v>61.92</v>
      </c>
      <c r="W335" s="799">
        <f t="shared" si="57"/>
        <v>0</v>
      </c>
    </row>
    <row r="336" spans="1:23">
      <c r="A336" s="3043" t="str">
        <f>Sheet1!C315</f>
        <v>9-4</v>
      </c>
      <c r="B336" s="717">
        <f>Sheet1!E315</f>
        <v>212.37</v>
      </c>
      <c r="C336" s="24">
        <f t="shared" si="58"/>
        <v>0.98</v>
      </c>
      <c r="D336" s="719"/>
      <c r="E336" s="24">
        <f t="shared" si="59"/>
        <v>1</v>
      </c>
      <c r="F336" s="719"/>
      <c r="G336" s="24">
        <f t="shared" si="60"/>
        <v>1</v>
      </c>
      <c r="H336" s="719"/>
      <c r="I336" s="24">
        <f t="shared" si="61"/>
        <v>1</v>
      </c>
      <c r="J336" s="719"/>
      <c r="K336" s="24">
        <f t="shared" si="62"/>
        <v>1</v>
      </c>
      <c r="L336" s="719"/>
      <c r="M336" s="24">
        <f t="shared" si="63"/>
        <v>1</v>
      </c>
      <c r="N336" s="719"/>
      <c r="O336" s="24">
        <f t="shared" si="64"/>
        <v>1</v>
      </c>
      <c r="P336" s="719" t="s">
        <v>3120</v>
      </c>
      <c r="Q336" s="24">
        <f t="shared" si="65"/>
        <v>1</v>
      </c>
      <c r="R336" s="715">
        <f t="shared" ca="1" si="66"/>
        <v>26827</v>
      </c>
      <c r="S336" s="361">
        <f t="shared" ca="1" si="68"/>
        <v>570</v>
      </c>
      <c r="U336" s="3056" t="str">
        <f>Sheet1!C315</f>
        <v>9-4</v>
      </c>
      <c r="V336" s="799">
        <f>Sheet1!E315</f>
        <v>212.37</v>
      </c>
      <c r="W336" s="799">
        <f t="shared" si="57"/>
        <v>0</v>
      </c>
    </row>
    <row r="337" spans="1:23">
      <c r="A337" s="3043" t="str">
        <f>Sheet1!C316</f>
        <v>9-5</v>
      </c>
      <c r="B337" s="717">
        <f>Sheet1!E316</f>
        <v>165.56</v>
      </c>
      <c r="C337" s="24">
        <f t="shared" si="58"/>
        <v>0.99</v>
      </c>
      <c r="D337" s="719"/>
      <c r="E337" s="24">
        <f t="shared" si="59"/>
        <v>1</v>
      </c>
      <c r="F337" s="719"/>
      <c r="G337" s="24">
        <f t="shared" si="60"/>
        <v>1</v>
      </c>
      <c r="H337" s="719"/>
      <c r="I337" s="24">
        <f t="shared" si="61"/>
        <v>1</v>
      </c>
      <c r="J337" s="719"/>
      <c r="K337" s="24">
        <f t="shared" si="62"/>
        <v>1</v>
      </c>
      <c r="L337" s="719"/>
      <c r="M337" s="24">
        <f t="shared" si="63"/>
        <v>1</v>
      </c>
      <c r="N337" s="719"/>
      <c r="O337" s="24">
        <f t="shared" si="64"/>
        <v>1</v>
      </c>
      <c r="P337" s="719" t="s">
        <v>3120</v>
      </c>
      <c r="Q337" s="24">
        <f t="shared" si="65"/>
        <v>1</v>
      </c>
      <c r="R337" s="715">
        <f t="shared" ca="1" si="66"/>
        <v>27100</v>
      </c>
      <c r="S337" s="361">
        <f t="shared" ca="1" si="68"/>
        <v>449</v>
      </c>
      <c r="U337" s="3056" t="str">
        <f>Sheet1!C316</f>
        <v>9-5</v>
      </c>
      <c r="V337" s="799">
        <f>Sheet1!E316</f>
        <v>165.56</v>
      </c>
      <c r="W337" s="799">
        <f t="shared" si="57"/>
        <v>0</v>
      </c>
    </row>
    <row r="338" spans="1:23">
      <c r="A338" s="3043" t="str">
        <f>Sheet1!C317</f>
        <v>9-6</v>
      </c>
      <c r="B338" s="717">
        <f>Sheet1!E317</f>
        <v>165.56</v>
      </c>
      <c r="C338" s="24">
        <f t="shared" si="58"/>
        <v>0.99</v>
      </c>
      <c r="D338" s="719"/>
      <c r="E338" s="24">
        <f t="shared" si="59"/>
        <v>1</v>
      </c>
      <c r="F338" s="719"/>
      <c r="G338" s="24">
        <f t="shared" si="60"/>
        <v>1</v>
      </c>
      <c r="H338" s="719"/>
      <c r="I338" s="24">
        <f t="shared" si="61"/>
        <v>1</v>
      </c>
      <c r="J338" s="719"/>
      <c r="K338" s="24">
        <f t="shared" si="62"/>
        <v>1</v>
      </c>
      <c r="L338" s="719"/>
      <c r="M338" s="24">
        <f t="shared" si="63"/>
        <v>1</v>
      </c>
      <c r="N338" s="719"/>
      <c r="O338" s="24">
        <f t="shared" si="64"/>
        <v>1</v>
      </c>
      <c r="P338" s="719" t="s">
        <v>3120</v>
      </c>
      <c r="Q338" s="24">
        <f t="shared" si="65"/>
        <v>1</v>
      </c>
      <c r="R338" s="715">
        <f t="shared" ca="1" si="66"/>
        <v>27100</v>
      </c>
      <c r="S338" s="361">
        <f t="shared" ca="1" si="68"/>
        <v>449</v>
      </c>
      <c r="U338" s="3056" t="str">
        <f>Sheet1!C317</f>
        <v>9-6</v>
      </c>
      <c r="V338" s="799">
        <f>Sheet1!E317</f>
        <v>165.56</v>
      </c>
      <c r="W338" s="799">
        <f t="shared" si="57"/>
        <v>0</v>
      </c>
    </row>
    <row r="339" spans="1:23">
      <c r="A339" s="3043" t="str">
        <f>Sheet1!C318</f>
        <v>9-7</v>
      </c>
      <c r="B339" s="717">
        <f>Sheet1!E318</f>
        <v>324.07</v>
      </c>
      <c r="C339" s="24">
        <f t="shared" si="58"/>
        <v>0.97</v>
      </c>
      <c r="D339" s="719"/>
      <c r="E339" s="24">
        <f t="shared" si="59"/>
        <v>1</v>
      </c>
      <c r="F339" s="719"/>
      <c r="G339" s="24">
        <f t="shared" si="60"/>
        <v>1</v>
      </c>
      <c r="H339" s="719"/>
      <c r="I339" s="24">
        <f t="shared" si="61"/>
        <v>1</v>
      </c>
      <c r="J339" s="719"/>
      <c r="K339" s="24">
        <f t="shared" si="62"/>
        <v>1</v>
      </c>
      <c r="L339" s="719"/>
      <c r="M339" s="24">
        <f t="shared" si="63"/>
        <v>1</v>
      </c>
      <c r="N339" s="719"/>
      <c r="O339" s="24">
        <f t="shared" si="64"/>
        <v>1</v>
      </c>
      <c r="P339" s="719" t="s">
        <v>3120</v>
      </c>
      <c r="Q339" s="24">
        <f t="shared" si="65"/>
        <v>1</v>
      </c>
      <c r="R339" s="715">
        <f t="shared" ca="1" si="66"/>
        <v>26553</v>
      </c>
      <c r="S339" s="361">
        <f t="shared" ca="1" si="68"/>
        <v>861</v>
      </c>
      <c r="U339" s="3056" t="str">
        <f>Sheet1!C318</f>
        <v>9-7</v>
      </c>
      <c r="V339" s="799">
        <f>Sheet1!E318</f>
        <v>324.07</v>
      </c>
      <c r="W339" s="799">
        <f t="shared" si="57"/>
        <v>0</v>
      </c>
    </row>
    <row r="340" spans="1:23">
      <c r="A340" s="3043" t="str">
        <f>Sheet1!C319</f>
        <v>10-1</v>
      </c>
      <c r="B340" s="717">
        <f>Sheet1!E319</f>
        <v>78.430000000000007</v>
      </c>
      <c r="C340" s="24">
        <f t="shared" si="58"/>
        <v>1</v>
      </c>
      <c r="D340" s="719"/>
      <c r="E340" s="24">
        <f t="shared" si="59"/>
        <v>1</v>
      </c>
      <c r="F340" s="719"/>
      <c r="G340" s="24">
        <f t="shared" si="60"/>
        <v>1</v>
      </c>
      <c r="H340" s="719"/>
      <c r="I340" s="24">
        <f t="shared" si="61"/>
        <v>1</v>
      </c>
      <c r="J340" s="719"/>
      <c r="K340" s="24">
        <f t="shared" si="62"/>
        <v>1</v>
      </c>
      <c r="L340" s="719"/>
      <c r="M340" s="24">
        <f t="shared" si="63"/>
        <v>1</v>
      </c>
      <c r="N340" s="719"/>
      <c r="O340" s="24">
        <f t="shared" si="64"/>
        <v>1</v>
      </c>
      <c r="P340" s="719" t="s">
        <v>3120</v>
      </c>
      <c r="Q340" s="24">
        <f t="shared" si="65"/>
        <v>1</v>
      </c>
      <c r="R340" s="715">
        <f t="shared" ca="1" si="66"/>
        <v>27374</v>
      </c>
      <c r="S340" s="361">
        <f t="shared" ca="1" si="68"/>
        <v>215</v>
      </c>
      <c r="U340" s="3056" t="str">
        <f>Sheet1!C319</f>
        <v>10-1</v>
      </c>
      <c r="V340" s="799">
        <f>Sheet1!E319</f>
        <v>78.430000000000007</v>
      </c>
      <c r="W340" s="799">
        <f t="shared" si="57"/>
        <v>0</v>
      </c>
    </row>
    <row r="341" spans="1:23">
      <c r="A341" s="3043" t="str">
        <f>Sheet1!C320</f>
        <v>10-2</v>
      </c>
      <c r="B341" s="717">
        <f>Sheet1!E320</f>
        <v>103.96</v>
      </c>
      <c r="C341" s="24">
        <f t="shared" si="58"/>
        <v>0.99</v>
      </c>
      <c r="D341" s="719"/>
      <c r="E341" s="24">
        <f t="shared" si="59"/>
        <v>1</v>
      </c>
      <c r="F341" s="719"/>
      <c r="G341" s="24">
        <f t="shared" si="60"/>
        <v>1</v>
      </c>
      <c r="H341" s="719"/>
      <c r="I341" s="24">
        <f t="shared" si="61"/>
        <v>1</v>
      </c>
      <c r="J341" s="719"/>
      <c r="K341" s="24">
        <f t="shared" si="62"/>
        <v>1</v>
      </c>
      <c r="L341" s="719"/>
      <c r="M341" s="24">
        <f t="shared" si="63"/>
        <v>1</v>
      </c>
      <c r="N341" s="719"/>
      <c r="O341" s="24">
        <f t="shared" si="64"/>
        <v>1</v>
      </c>
      <c r="P341" s="719" t="s">
        <v>3120</v>
      </c>
      <c r="Q341" s="24">
        <f t="shared" si="65"/>
        <v>1</v>
      </c>
      <c r="R341" s="715">
        <f t="shared" ca="1" si="66"/>
        <v>27100</v>
      </c>
      <c r="S341" s="361">
        <f t="shared" ca="1" si="68"/>
        <v>282</v>
      </c>
      <c r="U341" s="3056" t="str">
        <f>Sheet1!C320</f>
        <v>10-2</v>
      </c>
      <c r="V341" s="799">
        <f>Sheet1!E320</f>
        <v>103.96</v>
      </c>
      <c r="W341" s="799">
        <f t="shared" si="57"/>
        <v>0</v>
      </c>
    </row>
    <row r="342" spans="1:23">
      <c r="A342" s="3043" t="str">
        <f>Sheet1!C321</f>
        <v>10-3</v>
      </c>
      <c r="B342" s="717">
        <f>Sheet1!E321</f>
        <v>92.74</v>
      </c>
      <c r="C342" s="24">
        <f t="shared" si="58"/>
        <v>1</v>
      </c>
      <c r="D342" s="719"/>
      <c r="E342" s="24">
        <f t="shared" si="59"/>
        <v>1</v>
      </c>
      <c r="F342" s="719"/>
      <c r="G342" s="24">
        <f t="shared" si="60"/>
        <v>1</v>
      </c>
      <c r="H342" s="719"/>
      <c r="I342" s="24">
        <f t="shared" si="61"/>
        <v>1</v>
      </c>
      <c r="J342" s="719"/>
      <c r="K342" s="24">
        <f t="shared" si="62"/>
        <v>1</v>
      </c>
      <c r="L342" s="719"/>
      <c r="M342" s="24">
        <f t="shared" si="63"/>
        <v>1</v>
      </c>
      <c r="N342" s="719"/>
      <c r="O342" s="24">
        <f t="shared" si="64"/>
        <v>1</v>
      </c>
      <c r="P342" s="719" t="s">
        <v>3120</v>
      </c>
      <c r="Q342" s="24">
        <f t="shared" si="65"/>
        <v>1</v>
      </c>
      <c r="R342" s="715">
        <f t="shared" ca="1" si="66"/>
        <v>27374</v>
      </c>
      <c r="S342" s="361">
        <f t="shared" ca="1" si="68"/>
        <v>254</v>
      </c>
      <c r="U342" s="3056" t="str">
        <f>Sheet1!C321</f>
        <v>10-3</v>
      </c>
      <c r="V342" s="799">
        <f>Sheet1!E321</f>
        <v>92.74</v>
      </c>
      <c r="W342" s="799">
        <f t="shared" si="57"/>
        <v>0</v>
      </c>
    </row>
    <row r="343" spans="1:23">
      <c r="A343" s="3043" t="str">
        <f>Sheet1!C322</f>
        <v>10-4</v>
      </c>
      <c r="B343" s="717">
        <f>Sheet1!E322</f>
        <v>130.69</v>
      </c>
      <c r="C343" s="24">
        <f t="shared" si="58"/>
        <v>0.99</v>
      </c>
      <c r="D343" s="719"/>
      <c r="E343" s="24">
        <f t="shared" si="59"/>
        <v>1</v>
      </c>
      <c r="F343" s="719"/>
      <c r="G343" s="24">
        <f t="shared" si="60"/>
        <v>1</v>
      </c>
      <c r="H343" s="719"/>
      <c r="I343" s="24">
        <f t="shared" si="61"/>
        <v>1</v>
      </c>
      <c r="J343" s="719"/>
      <c r="K343" s="24">
        <f t="shared" si="62"/>
        <v>1</v>
      </c>
      <c r="L343" s="719"/>
      <c r="M343" s="24">
        <f t="shared" si="63"/>
        <v>1</v>
      </c>
      <c r="N343" s="719"/>
      <c r="O343" s="24">
        <f t="shared" si="64"/>
        <v>1</v>
      </c>
      <c r="P343" s="719" t="s">
        <v>3120</v>
      </c>
      <c r="Q343" s="24">
        <f t="shared" si="65"/>
        <v>1</v>
      </c>
      <c r="R343" s="715">
        <f t="shared" ca="1" si="66"/>
        <v>27100</v>
      </c>
      <c r="S343" s="361">
        <f t="shared" ca="1" si="68"/>
        <v>354</v>
      </c>
      <c r="U343" s="3056" t="str">
        <f>Sheet1!C322</f>
        <v>10-4</v>
      </c>
      <c r="V343" s="799">
        <f>Sheet1!E322</f>
        <v>130.69</v>
      </c>
      <c r="W343" s="799">
        <f t="shared" si="57"/>
        <v>0</v>
      </c>
    </row>
    <row r="344" spans="1:23">
      <c r="A344" s="3043" t="str">
        <f>Sheet1!C323</f>
        <v>11-1</v>
      </c>
      <c r="B344" s="717">
        <f>Sheet1!E323</f>
        <v>70.400000000000006</v>
      </c>
      <c r="C344" s="24">
        <f t="shared" si="58"/>
        <v>1</v>
      </c>
      <c r="D344" s="719"/>
      <c r="E344" s="24">
        <f t="shared" si="59"/>
        <v>1</v>
      </c>
      <c r="F344" s="719"/>
      <c r="G344" s="24">
        <f t="shared" si="60"/>
        <v>1</v>
      </c>
      <c r="H344" s="719"/>
      <c r="I344" s="24">
        <f t="shared" si="61"/>
        <v>1</v>
      </c>
      <c r="J344" s="719"/>
      <c r="K344" s="24">
        <f t="shared" si="62"/>
        <v>1</v>
      </c>
      <c r="L344" s="719"/>
      <c r="M344" s="24">
        <f t="shared" si="63"/>
        <v>1</v>
      </c>
      <c r="N344" s="719"/>
      <c r="O344" s="24">
        <f t="shared" si="64"/>
        <v>1</v>
      </c>
      <c r="P344" s="719" t="s">
        <v>3120</v>
      </c>
      <c r="Q344" s="24">
        <f t="shared" si="65"/>
        <v>1</v>
      </c>
      <c r="R344" s="715">
        <f t="shared" ca="1" si="66"/>
        <v>27374</v>
      </c>
      <c r="S344" s="361">
        <f t="shared" ca="1" si="68"/>
        <v>193</v>
      </c>
      <c r="U344" s="3056" t="str">
        <f>Sheet1!C323</f>
        <v>11-1</v>
      </c>
      <c r="V344" s="799">
        <f>Sheet1!E323</f>
        <v>70.400000000000006</v>
      </c>
      <c r="W344" s="799">
        <f t="shared" si="57"/>
        <v>0</v>
      </c>
    </row>
    <row r="345" spans="1:23">
      <c r="A345" s="3043" t="str">
        <f>Sheet1!C324</f>
        <v>11-2</v>
      </c>
      <c r="B345" s="717">
        <f>Sheet1!E324</f>
        <v>134.16</v>
      </c>
      <c r="C345" s="24">
        <f t="shared" si="58"/>
        <v>0.99</v>
      </c>
      <c r="D345" s="719"/>
      <c r="E345" s="24">
        <f t="shared" si="59"/>
        <v>1</v>
      </c>
      <c r="F345" s="719"/>
      <c r="G345" s="24">
        <f t="shared" si="60"/>
        <v>1</v>
      </c>
      <c r="H345" s="719"/>
      <c r="I345" s="24">
        <f t="shared" si="61"/>
        <v>1</v>
      </c>
      <c r="J345" s="719"/>
      <c r="K345" s="24">
        <f t="shared" si="62"/>
        <v>1</v>
      </c>
      <c r="L345" s="719"/>
      <c r="M345" s="24">
        <f t="shared" si="63"/>
        <v>1</v>
      </c>
      <c r="N345" s="719"/>
      <c r="O345" s="24">
        <f t="shared" si="64"/>
        <v>1</v>
      </c>
      <c r="P345" s="719" t="s">
        <v>3120</v>
      </c>
      <c r="Q345" s="24">
        <f t="shared" si="65"/>
        <v>1</v>
      </c>
      <c r="R345" s="715">
        <f t="shared" ca="1" si="66"/>
        <v>27100</v>
      </c>
      <c r="S345" s="361">
        <f t="shared" ca="1" si="68"/>
        <v>364</v>
      </c>
      <c r="U345" s="3056" t="str">
        <f>Sheet1!C324</f>
        <v>11-2</v>
      </c>
      <c r="V345" s="799">
        <f>Sheet1!E324</f>
        <v>134.16</v>
      </c>
      <c r="W345" s="799">
        <f t="shared" ref="W345:W383" si="69">B345-V345</f>
        <v>0</v>
      </c>
    </row>
    <row r="346" spans="1:23">
      <c r="A346" s="3043" t="str">
        <f>Sheet1!C325</f>
        <v>11-3</v>
      </c>
      <c r="B346" s="717">
        <f>Sheet1!E325</f>
        <v>131.51</v>
      </c>
      <c r="C346" s="24">
        <f t="shared" ref="C346:C409" si="70">IF(B346="",1,(LOOKUP(B346,$3:$3,$4:$4)-LOOKUP($B$24,$3:$3,$4:$4)+100)/100)</f>
        <v>0.99</v>
      </c>
      <c r="D346" s="719"/>
      <c r="E346" s="24">
        <f t="shared" ref="E346:E409" si="71">(SUMIF($5:$5,D346,$6:$6)-SUMIF($5:$5,$D$24,$6:$6)+100)/100</f>
        <v>1</v>
      </c>
      <c r="F346" s="719"/>
      <c r="G346" s="24">
        <f t="shared" ref="G346:G409" si="72">(SUMIF($7:$7,F346,$8:$8)-SUMIF($7:$7,$F$24,$8:$8)+100)/100</f>
        <v>1</v>
      </c>
      <c r="H346" s="719"/>
      <c r="I346" s="24">
        <f t="shared" ref="I346:I409" si="73">(SUMIF($9:$9,H346,$10:$10)-SUMIF($9:$9,$H$24,$10:$10)+100)/100</f>
        <v>1</v>
      </c>
      <c r="J346" s="719"/>
      <c r="K346" s="24">
        <f t="shared" ref="K346:K409" si="74">(SUMIF($11:$11,J346,$12:$12)-SUMIF($11:$11,$J$24,$12:$12)+100)/100</f>
        <v>1</v>
      </c>
      <c r="L346" s="719"/>
      <c r="M346" s="24">
        <f t="shared" ref="M346:M409" si="75">(SUMIF($13:$13,L346,$14:$14)-SUMIF($13:$13,$L$24,$14:$14)+100)/100</f>
        <v>1</v>
      </c>
      <c r="N346" s="719"/>
      <c r="O346" s="24">
        <f t="shared" ref="O346:O409" si="76">(SUMIF($15:$15,N346,$16:$16)-SUMIF($15:$15,$N$24,$16:$16)+100)/100</f>
        <v>1</v>
      </c>
      <c r="P346" s="719" t="s">
        <v>3120</v>
      </c>
      <c r="Q346" s="24">
        <f t="shared" ref="Q346:Q409" si="77">(SUMIF($17:$17,P346,$18:$18)-SUMIF($17:$17,$P$24,$18:$18)+100)/100</f>
        <v>1</v>
      </c>
      <c r="R346" s="715">
        <f t="shared" ref="R346:R409" ca="1" si="78">IF(B346="",0,ROUND($R$24*C346*E346*G346*I346*K346*M346*O346*Q346,0))</f>
        <v>27100</v>
      </c>
      <c r="S346" s="361">
        <f t="shared" ca="1" si="68"/>
        <v>356</v>
      </c>
      <c r="U346" s="3056" t="str">
        <f>Sheet1!C325</f>
        <v>11-3</v>
      </c>
      <c r="V346" s="799">
        <f>Sheet1!E325</f>
        <v>131.51</v>
      </c>
      <c r="W346" s="799">
        <f t="shared" si="69"/>
        <v>0</v>
      </c>
    </row>
    <row r="347" spans="1:23">
      <c r="A347" s="3043" t="str">
        <f>Sheet1!C326</f>
        <v>11-4</v>
      </c>
      <c r="B347" s="717">
        <f>Sheet1!E326</f>
        <v>125.41</v>
      </c>
      <c r="C347" s="24">
        <f t="shared" si="70"/>
        <v>0.99</v>
      </c>
      <c r="D347" s="719"/>
      <c r="E347" s="24">
        <f t="shared" si="71"/>
        <v>1</v>
      </c>
      <c r="F347" s="719"/>
      <c r="G347" s="24">
        <f t="shared" si="72"/>
        <v>1</v>
      </c>
      <c r="H347" s="719"/>
      <c r="I347" s="24">
        <f t="shared" si="73"/>
        <v>1</v>
      </c>
      <c r="J347" s="719"/>
      <c r="K347" s="24">
        <f t="shared" si="74"/>
        <v>1</v>
      </c>
      <c r="L347" s="719"/>
      <c r="M347" s="24">
        <f t="shared" si="75"/>
        <v>1</v>
      </c>
      <c r="N347" s="719"/>
      <c r="O347" s="24">
        <f t="shared" si="76"/>
        <v>1</v>
      </c>
      <c r="P347" s="719" t="s">
        <v>3120</v>
      </c>
      <c r="Q347" s="24">
        <f t="shared" si="77"/>
        <v>1</v>
      </c>
      <c r="R347" s="715">
        <f t="shared" ca="1" si="78"/>
        <v>27100</v>
      </c>
      <c r="S347" s="361">
        <f t="shared" ca="1" si="68"/>
        <v>340</v>
      </c>
      <c r="U347" s="3056" t="str">
        <f>Sheet1!C326</f>
        <v>11-4</v>
      </c>
      <c r="V347" s="799">
        <f>Sheet1!E326</f>
        <v>125.41</v>
      </c>
      <c r="W347" s="799">
        <f t="shared" si="69"/>
        <v>0</v>
      </c>
    </row>
    <row r="348" spans="1:23">
      <c r="A348" s="3043" t="str">
        <f>Sheet1!C327</f>
        <v>11-5</v>
      </c>
      <c r="B348" s="717">
        <f>Sheet1!E327</f>
        <v>131.51</v>
      </c>
      <c r="C348" s="24">
        <f t="shared" si="70"/>
        <v>0.99</v>
      </c>
      <c r="D348" s="719"/>
      <c r="E348" s="24">
        <f t="shared" si="71"/>
        <v>1</v>
      </c>
      <c r="F348" s="719"/>
      <c r="G348" s="24">
        <f t="shared" si="72"/>
        <v>1</v>
      </c>
      <c r="H348" s="719"/>
      <c r="I348" s="24">
        <f t="shared" si="73"/>
        <v>1</v>
      </c>
      <c r="J348" s="719"/>
      <c r="K348" s="24">
        <f t="shared" si="74"/>
        <v>1</v>
      </c>
      <c r="L348" s="719"/>
      <c r="M348" s="24">
        <f t="shared" si="75"/>
        <v>1</v>
      </c>
      <c r="N348" s="719"/>
      <c r="O348" s="24">
        <f t="shared" si="76"/>
        <v>1</v>
      </c>
      <c r="P348" s="719" t="s">
        <v>3120</v>
      </c>
      <c r="Q348" s="24">
        <f t="shared" si="77"/>
        <v>1</v>
      </c>
      <c r="R348" s="715">
        <f t="shared" ca="1" si="78"/>
        <v>27100</v>
      </c>
      <c r="S348" s="361">
        <f t="shared" ca="1" si="68"/>
        <v>356</v>
      </c>
      <c r="U348" s="3056" t="str">
        <f>Sheet1!C327</f>
        <v>11-5</v>
      </c>
      <c r="V348" s="799">
        <f>Sheet1!E327</f>
        <v>131.51</v>
      </c>
      <c r="W348" s="799">
        <f t="shared" si="69"/>
        <v>0</v>
      </c>
    </row>
    <row r="349" spans="1:23">
      <c r="A349" s="3043" t="str">
        <f>Sheet1!C328</f>
        <v>11-6</v>
      </c>
      <c r="B349" s="717">
        <f>Sheet1!E328</f>
        <v>134.16</v>
      </c>
      <c r="C349" s="24">
        <f t="shared" si="70"/>
        <v>0.99</v>
      </c>
      <c r="D349" s="719"/>
      <c r="E349" s="24">
        <f t="shared" si="71"/>
        <v>1</v>
      </c>
      <c r="F349" s="719"/>
      <c r="G349" s="24">
        <f t="shared" si="72"/>
        <v>1</v>
      </c>
      <c r="H349" s="719"/>
      <c r="I349" s="24">
        <f t="shared" si="73"/>
        <v>1</v>
      </c>
      <c r="J349" s="719"/>
      <c r="K349" s="24">
        <f t="shared" si="74"/>
        <v>1</v>
      </c>
      <c r="L349" s="719"/>
      <c r="M349" s="24">
        <f t="shared" si="75"/>
        <v>1</v>
      </c>
      <c r="N349" s="719"/>
      <c r="O349" s="24">
        <f t="shared" si="76"/>
        <v>1</v>
      </c>
      <c r="P349" s="719" t="s">
        <v>3120</v>
      </c>
      <c r="Q349" s="24">
        <f t="shared" si="77"/>
        <v>1</v>
      </c>
      <c r="R349" s="715">
        <f t="shared" ca="1" si="78"/>
        <v>27100</v>
      </c>
      <c r="S349" s="361">
        <f t="shared" ca="1" si="68"/>
        <v>364</v>
      </c>
      <c r="U349" s="3056" t="str">
        <f>Sheet1!C328</f>
        <v>11-6</v>
      </c>
      <c r="V349" s="799">
        <f>Sheet1!E328</f>
        <v>134.16</v>
      </c>
      <c r="W349" s="799">
        <f t="shared" si="69"/>
        <v>0</v>
      </c>
    </row>
    <row r="350" spans="1:23">
      <c r="A350" s="3043" t="str">
        <f>Sheet1!C329</f>
        <v>11-7</v>
      </c>
      <c r="B350" s="717">
        <f>Sheet1!E329</f>
        <v>78.290000000000006</v>
      </c>
      <c r="C350" s="24">
        <f t="shared" si="70"/>
        <v>1</v>
      </c>
      <c r="D350" s="719"/>
      <c r="E350" s="24">
        <f t="shared" si="71"/>
        <v>1</v>
      </c>
      <c r="F350" s="719"/>
      <c r="G350" s="24">
        <f t="shared" si="72"/>
        <v>1</v>
      </c>
      <c r="H350" s="719"/>
      <c r="I350" s="24">
        <f t="shared" si="73"/>
        <v>1</v>
      </c>
      <c r="J350" s="719"/>
      <c r="K350" s="24">
        <f t="shared" si="74"/>
        <v>1</v>
      </c>
      <c r="L350" s="719"/>
      <c r="M350" s="24">
        <f t="shared" si="75"/>
        <v>1</v>
      </c>
      <c r="N350" s="719"/>
      <c r="O350" s="24">
        <f t="shared" si="76"/>
        <v>1</v>
      </c>
      <c r="P350" s="719" t="s">
        <v>3120</v>
      </c>
      <c r="Q350" s="24">
        <f t="shared" si="77"/>
        <v>1</v>
      </c>
      <c r="R350" s="715">
        <f t="shared" ca="1" si="78"/>
        <v>27374</v>
      </c>
      <c r="S350" s="361">
        <f t="shared" ca="1" si="68"/>
        <v>214</v>
      </c>
      <c r="U350" s="3056" t="str">
        <f>Sheet1!C329</f>
        <v>11-7</v>
      </c>
      <c r="V350" s="799">
        <f>Sheet1!E329</f>
        <v>78.290000000000006</v>
      </c>
      <c r="W350" s="799">
        <f t="shared" si="69"/>
        <v>0</v>
      </c>
    </row>
    <row r="351" spans="1:23">
      <c r="A351" s="3043" t="str">
        <f>Sheet1!C330</f>
        <v>11-8</v>
      </c>
      <c r="B351" s="717">
        <f>Sheet1!E330</f>
        <v>117.46</v>
      </c>
      <c r="C351" s="24">
        <f t="shared" si="70"/>
        <v>0.99</v>
      </c>
      <c r="D351" s="719"/>
      <c r="E351" s="24">
        <f t="shared" si="71"/>
        <v>1</v>
      </c>
      <c r="F351" s="719"/>
      <c r="G351" s="24">
        <f t="shared" si="72"/>
        <v>1</v>
      </c>
      <c r="H351" s="719"/>
      <c r="I351" s="24">
        <f t="shared" si="73"/>
        <v>1</v>
      </c>
      <c r="J351" s="719"/>
      <c r="K351" s="24">
        <f t="shared" si="74"/>
        <v>1</v>
      </c>
      <c r="L351" s="719"/>
      <c r="M351" s="24">
        <f t="shared" si="75"/>
        <v>1</v>
      </c>
      <c r="N351" s="719"/>
      <c r="O351" s="24">
        <f t="shared" si="76"/>
        <v>1</v>
      </c>
      <c r="P351" s="719" t="s">
        <v>3120</v>
      </c>
      <c r="Q351" s="24">
        <f t="shared" si="77"/>
        <v>1</v>
      </c>
      <c r="R351" s="715">
        <f t="shared" ca="1" si="78"/>
        <v>27100</v>
      </c>
      <c r="S351" s="361">
        <f t="shared" ca="1" si="68"/>
        <v>318</v>
      </c>
      <c r="U351" s="3056" t="str">
        <f>Sheet1!C330</f>
        <v>11-8</v>
      </c>
      <c r="V351" s="799">
        <f>Sheet1!E330</f>
        <v>117.46</v>
      </c>
      <c r="W351" s="799">
        <f t="shared" si="69"/>
        <v>0</v>
      </c>
    </row>
    <row r="352" spans="1:23">
      <c r="A352" s="3043" t="str">
        <f>Sheet1!C331</f>
        <v>12-1复式</v>
      </c>
      <c r="B352" s="717">
        <f>Sheet1!E331</f>
        <v>247.14</v>
      </c>
      <c r="C352" s="24">
        <f t="shared" si="70"/>
        <v>0.98</v>
      </c>
      <c r="D352" s="719"/>
      <c r="E352" s="24">
        <f t="shared" si="71"/>
        <v>1</v>
      </c>
      <c r="F352" s="719"/>
      <c r="G352" s="24">
        <f t="shared" si="72"/>
        <v>1</v>
      </c>
      <c r="H352" s="719"/>
      <c r="I352" s="24">
        <f t="shared" si="73"/>
        <v>1</v>
      </c>
      <c r="J352" s="719"/>
      <c r="K352" s="24">
        <f t="shared" si="74"/>
        <v>1</v>
      </c>
      <c r="L352" s="719"/>
      <c r="M352" s="24">
        <f t="shared" si="75"/>
        <v>1</v>
      </c>
      <c r="N352" s="719"/>
      <c r="O352" s="24">
        <f t="shared" si="76"/>
        <v>1</v>
      </c>
      <c r="P352" s="719" t="s">
        <v>3558</v>
      </c>
      <c r="Q352" s="24">
        <f t="shared" si="77"/>
        <v>0.85</v>
      </c>
      <c r="R352" s="715">
        <f t="shared" ca="1" si="78"/>
        <v>22803</v>
      </c>
      <c r="S352" s="361">
        <f t="shared" ca="1" si="68"/>
        <v>564</v>
      </c>
      <c r="U352" s="3056" t="str">
        <f>Sheet1!C331</f>
        <v>12-1复式</v>
      </c>
      <c r="V352" s="799">
        <f>Sheet1!E331</f>
        <v>247.14</v>
      </c>
      <c r="W352" s="799">
        <f t="shared" si="69"/>
        <v>0</v>
      </c>
    </row>
    <row r="353" spans="1:23">
      <c r="A353" s="3043" t="str">
        <f>Sheet1!C332</f>
        <v>12-2复式</v>
      </c>
      <c r="B353" s="717">
        <f>Sheet1!E332</f>
        <v>258.73</v>
      </c>
      <c r="C353" s="24">
        <f t="shared" si="70"/>
        <v>0.98</v>
      </c>
      <c r="D353" s="719"/>
      <c r="E353" s="24">
        <f t="shared" si="71"/>
        <v>1</v>
      </c>
      <c r="F353" s="719"/>
      <c r="G353" s="24">
        <f t="shared" si="72"/>
        <v>1</v>
      </c>
      <c r="H353" s="719"/>
      <c r="I353" s="24">
        <f t="shared" si="73"/>
        <v>1</v>
      </c>
      <c r="J353" s="719"/>
      <c r="K353" s="24">
        <f t="shared" si="74"/>
        <v>1</v>
      </c>
      <c r="L353" s="719"/>
      <c r="M353" s="24">
        <f t="shared" si="75"/>
        <v>1</v>
      </c>
      <c r="N353" s="719"/>
      <c r="O353" s="24">
        <f t="shared" si="76"/>
        <v>1</v>
      </c>
      <c r="P353" s="719" t="s">
        <v>3558</v>
      </c>
      <c r="Q353" s="24">
        <f t="shared" si="77"/>
        <v>0.85</v>
      </c>
      <c r="R353" s="715">
        <f t="shared" ca="1" si="78"/>
        <v>22803</v>
      </c>
      <c r="S353" s="361">
        <f t="shared" ca="1" si="68"/>
        <v>590</v>
      </c>
      <c r="U353" s="3056" t="str">
        <f>Sheet1!C332</f>
        <v>12-2复式</v>
      </c>
      <c r="V353" s="799">
        <f>Sheet1!E332</f>
        <v>258.73</v>
      </c>
      <c r="W353" s="799">
        <f t="shared" si="69"/>
        <v>0</v>
      </c>
    </row>
    <row r="354" spans="1:23">
      <c r="A354" s="3043" t="str">
        <f>Sheet1!C333</f>
        <v>12-3复式</v>
      </c>
      <c r="B354" s="717">
        <f>Sheet1!E333</f>
        <v>258.73</v>
      </c>
      <c r="C354" s="24">
        <f t="shared" si="70"/>
        <v>0.98</v>
      </c>
      <c r="D354" s="719"/>
      <c r="E354" s="24">
        <f t="shared" si="71"/>
        <v>1</v>
      </c>
      <c r="F354" s="719"/>
      <c r="G354" s="24">
        <f t="shared" si="72"/>
        <v>1</v>
      </c>
      <c r="H354" s="719"/>
      <c r="I354" s="24">
        <f t="shared" si="73"/>
        <v>1</v>
      </c>
      <c r="J354" s="719"/>
      <c r="K354" s="24">
        <f t="shared" si="74"/>
        <v>1</v>
      </c>
      <c r="L354" s="719"/>
      <c r="M354" s="24">
        <f t="shared" si="75"/>
        <v>1</v>
      </c>
      <c r="N354" s="719"/>
      <c r="O354" s="24">
        <f t="shared" si="76"/>
        <v>1</v>
      </c>
      <c r="P354" s="719" t="s">
        <v>3558</v>
      </c>
      <c r="Q354" s="24">
        <f t="shared" si="77"/>
        <v>0.85</v>
      </c>
      <c r="R354" s="715">
        <f t="shared" ca="1" si="78"/>
        <v>22803</v>
      </c>
      <c r="S354" s="361">
        <f t="shared" ca="1" si="68"/>
        <v>590</v>
      </c>
      <c r="U354" s="3056" t="str">
        <f>Sheet1!C333</f>
        <v>12-3复式</v>
      </c>
      <c r="V354" s="799">
        <f>Sheet1!E333</f>
        <v>258.73</v>
      </c>
      <c r="W354" s="799">
        <f t="shared" si="69"/>
        <v>0</v>
      </c>
    </row>
    <row r="355" spans="1:23">
      <c r="A355" s="3043" t="str">
        <f>Sheet1!C334</f>
        <v>12-4复式</v>
      </c>
      <c r="B355" s="717">
        <f>Sheet1!E334</f>
        <v>258.73</v>
      </c>
      <c r="C355" s="24">
        <f t="shared" si="70"/>
        <v>0.98</v>
      </c>
      <c r="D355" s="719"/>
      <c r="E355" s="24">
        <f t="shared" si="71"/>
        <v>1</v>
      </c>
      <c r="F355" s="719"/>
      <c r="G355" s="24">
        <f t="shared" si="72"/>
        <v>1</v>
      </c>
      <c r="H355" s="719"/>
      <c r="I355" s="24">
        <f t="shared" si="73"/>
        <v>1</v>
      </c>
      <c r="J355" s="719"/>
      <c r="K355" s="24">
        <f t="shared" si="74"/>
        <v>1</v>
      </c>
      <c r="L355" s="719"/>
      <c r="M355" s="24">
        <f t="shared" si="75"/>
        <v>1</v>
      </c>
      <c r="N355" s="719"/>
      <c r="O355" s="24">
        <f t="shared" si="76"/>
        <v>1</v>
      </c>
      <c r="P355" s="719" t="s">
        <v>3558</v>
      </c>
      <c r="Q355" s="24">
        <f t="shared" si="77"/>
        <v>0.85</v>
      </c>
      <c r="R355" s="715">
        <f t="shared" ca="1" si="78"/>
        <v>22803</v>
      </c>
      <c r="S355" s="361">
        <f t="shared" ca="1" si="68"/>
        <v>590</v>
      </c>
      <c r="U355" s="3056" t="str">
        <f>Sheet1!C334</f>
        <v>12-4复式</v>
      </c>
      <c r="V355" s="799">
        <f>Sheet1!E334</f>
        <v>258.73</v>
      </c>
      <c r="W355" s="799">
        <f t="shared" si="69"/>
        <v>0</v>
      </c>
    </row>
    <row r="356" spans="1:23">
      <c r="A356" s="3043" t="str">
        <f>Sheet1!C335</f>
        <v>12-5</v>
      </c>
      <c r="B356" s="717">
        <f>Sheet1!E335</f>
        <v>66.87</v>
      </c>
      <c r="C356" s="24">
        <f t="shared" si="70"/>
        <v>1</v>
      </c>
      <c r="D356" s="719"/>
      <c r="E356" s="24">
        <f t="shared" si="71"/>
        <v>1</v>
      </c>
      <c r="F356" s="719"/>
      <c r="G356" s="24">
        <f t="shared" si="72"/>
        <v>1</v>
      </c>
      <c r="H356" s="719"/>
      <c r="I356" s="24">
        <f t="shared" si="73"/>
        <v>1</v>
      </c>
      <c r="J356" s="719"/>
      <c r="K356" s="24">
        <f t="shared" si="74"/>
        <v>1</v>
      </c>
      <c r="L356" s="719"/>
      <c r="M356" s="24">
        <f t="shared" si="75"/>
        <v>1</v>
      </c>
      <c r="N356" s="719"/>
      <c r="O356" s="24">
        <f t="shared" si="76"/>
        <v>1</v>
      </c>
      <c r="P356" s="719" t="s">
        <v>3120</v>
      </c>
      <c r="Q356" s="24">
        <f t="shared" si="77"/>
        <v>1</v>
      </c>
      <c r="R356" s="715">
        <f t="shared" ca="1" si="78"/>
        <v>27374</v>
      </c>
      <c r="S356" s="361">
        <f t="shared" ca="1" si="68"/>
        <v>183</v>
      </c>
      <c r="U356" s="3056" t="str">
        <f>Sheet1!C335</f>
        <v>12-5</v>
      </c>
      <c r="V356" s="799">
        <f>Sheet1!E335</f>
        <v>66.87</v>
      </c>
      <c r="W356" s="799">
        <f t="shared" si="69"/>
        <v>0</v>
      </c>
    </row>
    <row r="357" spans="1:23">
      <c r="A357" s="3043" t="str">
        <f>Sheet1!C336</f>
        <v>12-6</v>
      </c>
      <c r="B357" s="717">
        <f>Sheet1!E336</f>
        <v>103.13</v>
      </c>
      <c r="C357" s="24">
        <f t="shared" si="70"/>
        <v>0.99</v>
      </c>
      <c r="D357" s="719"/>
      <c r="E357" s="24">
        <f t="shared" si="71"/>
        <v>1</v>
      </c>
      <c r="F357" s="719"/>
      <c r="G357" s="24">
        <f t="shared" si="72"/>
        <v>1</v>
      </c>
      <c r="H357" s="719"/>
      <c r="I357" s="24">
        <f t="shared" si="73"/>
        <v>1</v>
      </c>
      <c r="J357" s="719"/>
      <c r="K357" s="24">
        <f t="shared" si="74"/>
        <v>1</v>
      </c>
      <c r="L357" s="719"/>
      <c r="M357" s="24">
        <f t="shared" si="75"/>
        <v>1</v>
      </c>
      <c r="N357" s="719"/>
      <c r="O357" s="24">
        <f t="shared" si="76"/>
        <v>1</v>
      </c>
      <c r="P357" s="719" t="s">
        <v>3120</v>
      </c>
      <c r="Q357" s="24">
        <f t="shared" si="77"/>
        <v>1</v>
      </c>
      <c r="R357" s="715">
        <f t="shared" ca="1" si="78"/>
        <v>27100</v>
      </c>
      <c r="S357" s="361">
        <f t="shared" ca="1" si="68"/>
        <v>279</v>
      </c>
      <c r="U357" s="3056" t="str">
        <f>Sheet1!C336</f>
        <v>12-6</v>
      </c>
      <c r="V357" s="799">
        <f>Sheet1!E336</f>
        <v>103.13</v>
      </c>
      <c r="W357" s="799">
        <f t="shared" si="69"/>
        <v>0</v>
      </c>
    </row>
    <row r="358" spans="1:23">
      <c r="A358" s="3043" t="str">
        <f>Sheet1!C337</f>
        <v>12-7</v>
      </c>
      <c r="B358" s="717">
        <f>Sheet1!E337</f>
        <v>175.66</v>
      </c>
      <c r="C358" s="24">
        <f t="shared" si="70"/>
        <v>0.99</v>
      </c>
      <c r="D358" s="719"/>
      <c r="E358" s="24">
        <f t="shared" si="71"/>
        <v>1</v>
      </c>
      <c r="F358" s="719"/>
      <c r="G358" s="24">
        <f t="shared" si="72"/>
        <v>1</v>
      </c>
      <c r="H358" s="719"/>
      <c r="I358" s="24">
        <f t="shared" si="73"/>
        <v>1</v>
      </c>
      <c r="J358" s="719"/>
      <c r="K358" s="24">
        <f t="shared" si="74"/>
        <v>1</v>
      </c>
      <c r="L358" s="719"/>
      <c r="M358" s="24">
        <f t="shared" si="75"/>
        <v>1</v>
      </c>
      <c r="N358" s="719"/>
      <c r="O358" s="24">
        <f t="shared" si="76"/>
        <v>1</v>
      </c>
      <c r="P358" s="719" t="s">
        <v>3120</v>
      </c>
      <c r="Q358" s="24">
        <f t="shared" si="77"/>
        <v>1</v>
      </c>
      <c r="R358" s="715">
        <f t="shared" ca="1" si="78"/>
        <v>27100</v>
      </c>
      <c r="S358" s="361">
        <f t="shared" ca="1" si="68"/>
        <v>476</v>
      </c>
      <c r="U358" s="3056" t="str">
        <f>Sheet1!C337</f>
        <v>12-7</v>
      </c>
      <c r="V358" s="799">
        <f>Sheet1!E337</f>
        <v>175.66</v>
      </c>
      <c r="W358" s="799">
        <f t="shared" si="69"/>
        <v>0</v>
      </c>
    </row>
    <row r="359" spans="1:23">
      <c r="A359" s="3043" t="str">
        <f>Sheet1!C338</f>
        <v>12-8</v>
      </c>
      <c r="B359" s="717">
        <f>Sheet1!E338</f>
        <v>139.59</v>
      </c>
      <c r="C359" s="24">
        <f t="shared" si="70"/>
        <v>0.99</v>
      </c>
      <c r="D359" s="719"/>
      <c r="E359" s="24">
        <f t="shared" si="71"/>
        <v>1</v>
      </c>
      <c r="F359" s="719"/>
      <c r="G359" s="24">
        <f t="shared" si="72"/>
        <v>1</v>
      </c>
      <c r="H359" s="719"/>
      <c r="I359" s="24">
        <f t="shared" si="73"/>
        <v>1</v>
      </c>
      <c r="J359" s="719"/>
      <c r="K359" s="24">
        <f t="shared" si="74"/>
        <v>1</v>
      </c>
      <c r="L359" s="719"/>
      <c r="M359" s="24">
        <f t="shared" si="75"/>
        <v>1</v>
      </c>
      <c r="N359" s="719"/>
      <c r="O359" s="24">
        <f t="shared" si="76"/>
        <v>1</v>
      </c>
      <c r="P359" s="719" t="s">
        <v>3120</v>
      </c>
      <c r="Q359" s="24">
        <f t="shared" si="77"/>
        <v>1</v>
      </c>
      <c r="R359" s="715">
        <f t="shared" ca="1" si="78"/>
        <v>27100</v>
      </c>
      <c r="S359" s="361">
        <f t="shared" ca="1" si="68"/>
        <v>378</v>
      </c>
      <c r="U359" s="3056" t="str">
        <f>Sheet1!C338</f>
        <v>12-8</v>
      </c>
      <c r="V359" s="799">
        <f>Sheet1!E338</f>
        <v>139.59</v>
      </c>
      <c r="W359" s="799">
        <f t="shared" si="69"/>
        <v>0</v>
      </c>
    </row>
    <row r="360" spans="1:23">
      <c r="A360" s="3043" t="str">
        <f>Sheet1!C339</f>
        <v>12-9</v>
      </c>
      <c r="B360" s="717">
        <f>Sheet1!E339</f>
        <v>140.79</v>
      </c>
      <c r="C360" s="24">
        <f t="shared" si="70"/>
        <v>0.99</v>
      </c>
      <c r="D360" s="719"/>
      <c r="E360" s="24">
        <f t="shared" si="71"/>
        <v>1</v>
      </c>
      <c r="F360" s="719"/>
      <c r="G360" s="24">
        <f t="shared" si="72"/>
        <v>1</v>
      </c>
      <c r="H360" s="719"/>
      <c r="I360" s="24">
        <f t="shared" si="73"/>
        <v>1</v>
      </c>
      <c r="J360" s="719"/>
      <c r="K360" s="24">
        <f t="shared" si="74"/>
        <v>1</v>
      </c>
      <c r="L360" s="719"/>
      <c r="M360" s="24">
        <f t="shared" si="75"/>
        <v>1</v>
      </c>
      <c r="N360" s="719"/>
      <c r="O360" s="24">
        <f t="shared" si="76"/>
        <v>1</v>
      </c>
      <c r="P360" s="719" t="s">
        <v>3120</v>
      </c>
      <c r="Q360" s="24">
        <f t="shared" si="77"/>
        <v>1</v>
      </c>
      <c r="R360" s="715">
        <f t="shared" ca="1" si="78"/>
        <v>27100</v>
      </c>
      <c r="S360" s="361">
        <f t="shared" ca="1" si="68"/>
        <v>382</v>
      </c>
      <c r="U360" s="3056" t="str">
        <f>Sheet1!C339</f>
        <v>12-9</v>
      </c>
      <c r="V360" s="799">
        <f>Sheet1!E339</f>
        <v>140.79</v>
      </c>
      <c r="W360" s="799">
        <f t="shared" si="69"/>
        <v>0</v>
      </c>
    </row>
    <row r="361" spans="1:23">
      <c r="A361" s="3043" t="str">
        <f>Sheet1!C340</f>
        <v>12-10</v>
      </c>
      <c r="B361" s="717">
        <f>Sheet1!E340</f>
        <v>164.27</v>
      </c>
      <c r="C361" s="24">
        <f t="shared" si="70"/>
        <v>0.99</v>
      </c>
      <c r="D361" s="719"/>
      <c r="E361" s="24">
        <f t="shared" si="71"/>
        <v>1</v>
      </c>
      <c r="F361" s="719"/>
      <c r="G361" s="24">
        <f t="shared" si="72"/>
        <v>1</v>
      </c>
      <c r="H361" s="719"/>
      <c r="I361" s="24">
        <f t="shared" si="73"/>
        <v>1</v>
      </c>
      <c r="J361" s="719"/>
      <c r="K361" s="24">
        <f t="shared" si="74"/>
        <v>1</v>
      </c>
      <c r="L361" s="719"/>
      <c r="M361" s="24">
        <f t="shared" si="75"/>
        <v>1</v>
      </c>
      <c r="N361" s="719"/>
      <c r="O361" s="24">
        <f t="shared" si="76"/>
        <v>1</v>
      </c>
      <c r="P361" s="719" t="s">
        <v>3120</v>
      </c>
      <c r="Q361" s="24">
        <f t="shared" si="77"/>
        <v>1</v>
      </c>
      <c r="R361" s="715">
        <f t="shared" ca="1" si="78"/>
        <v>27100</v>
      </c>
      <c r="S361" s="361">
        <f t="shared" ca="1" si="68"/>
        <v>445</v>
      </c>
      <c r="U361" s="3056" t="str">
        <f>Sheet1!C340</f>
        <v>12-10</v>
      </c>
      <c r="V361" s="799">
        <f>Sheet1!E340</f>
        <v>164.27</v>
      </c>
      <c r="W361" s="799">
        <f t="shared" si="69"/>
        <v>0</v>
      </c>
    </row>
    <row r="362" spans="1:23">
      <c r="A362" s="3043" t="str">
        <f>Sheet1!C341</f>
        <v>13-1</v>
      </c>
      <c r="B362" s="717">
        <f>Sheet1!E341</f>
        <v>121.39</v>
      </c>
      <c r="C362" s="24">
        <f t="shared" si="70"/>
        <v>0.99</v>
      </c>
      <c r="D362" s="719"/>
      <c r="E362" s="24">
        <f t="shared" si="71"/>
        <v>1</v>
      </c>
      <c r="F362" s="719"/>
      <c r="G362" s="24">
        <f t="shared" si="72"/>
        <v>1</v>
      </c>
      <c r="H362" s="719"/>
      <c r="I362" s="24">
        <f t="shared" si="73"/>
        <v>1</v>
      </c>
      <c r="J362" s="719"/>
      <c r="K362" s="24">
        <f t="shared" si="74"/>
        <v>1</v>
      </c>
      <c r="L362" s="719"/>
      <c r="M362" s="24">
        <f t="shared" si="75"/>
        <v>1</v>
      </c>
      <c r="N362" s="719"/>
      <c r="O362" s="24">
        <f t="shared" si="76"/>
        <v>1</v>
      </c>
      <c r="P362" s="719" t="s">
        <v>3120</v>
      </c>
      <c r="Q362" s="24">
        <f t="shared" si="77"/>
        <v>1</v>
      </c>
      <c r="R362" s="715">
        <f t="shared" ca="1" si="78"/>
        <v>27100</v>
      </c>
      <c r="S362" s="361">
        <f t="shared" ca="1" si="68"/>
        <v>329</v>
      </c>
      <c r="U362" s="3056" t="str">
        <f>Sheet1!C341</f>
        <v>13-1</v>
      </c>
      <c r="V362" s="799">
        <f>Sheet1!E341</f>
        <v>121.39</v>
      </c>
      <c r="W362" s="799">
        <f t="shared" si="69"/>
        <v>0</v>
      </c>
    </row>
    <row r="363" spans="1:23">
      <c r="A363" s="3043" t="str">
        <f>Sheet1!C342</f>
        <v>13-2</v>
      </c>
      <c r="B363" s="717">
        <f>Sheet1!E342</f>
        <v>68.790000000000006</v>
      </c>
      <c r="C363" s="24">
        <f t="shared" si="70"/>
        <v>1</v>
      </c>
      <c r="D363" s="719"/>
      <c r="E363" s="24">
        <f t="shared" si="71"/>
        <v>1</v>
      </c>
      <c r="F363" s="719"/>
      <c r="G363" s="24">
        <f t="shared" si="72"/>
        <v>1</v>
      </c>
      <c r="H363" s="719"/>
      <c r="I363" s="24">
        <f t="shared" si="73"/>
        <v>1</v>
      </c>
      <c r="J363" s="719"/>
      <c r="K363" s="24">
        <f t="shared" si="74"/>
        <v>1</v>
      </c>
      <c r="L363" s="719"/>
      <c r="M363" s="24">
        <f t="shared" si="75"/>
        <v>1</v>
      </c>
      <c r="N363" s="719"/>
      <c r="O363" s="24">
        <f t="shared" si="76"/>
        <v>1</v>
      </c>
      <c r="P363" s="719" t="s">
        <v>3120</v>
      </c>
      <c r="Q363" s="24">
        <f t="shared" si="77"/>
        <v>1</v>
      </c>
      <c r="R363" s="715">
        <f t="shared" ca="1" si="78"/>
        <v>27374</v>
      </c>
      <c r="S363" s="361">
        <f t="shared" ca="1" si="68"/>
        <v>188</v>
      </c>
      <c r="U363" s="3056" t="str">
        <f>Sheet1!C342</f>
        <v>13-2</v>
      </c>
      <c r="V363" s="799">
        <f>Sheet1!E342</f>
        <v>68.790000000000006</v>
      </c>
      <c r="W363" s="799">
        <f t="shared" si="69"/>
        <v>0</v>
      </c>
    </row>
    <row r="364" spans="1:23">
      <c r="A364" s="3043" t="str">
        <f>Sheet1!C343</f>
        <v>13-3</v>
      </c>
      <c r="B364" s="717">
        <f>Sheet1!E343</f>
        <v>80.849999999999994</v>
      </c>
      <c r="C364" s="24">
        <f t="shared" si="70"/>
        <v>1</v>
      </c>
      <c r="D364" s="719"/>
      <c r="E364" s="24">
        <f t="shared" si="71"/>
        <v>1</v>
      </c>
      <c r="F364" s="719"/>
      <c r="G364" s="24">
        <f t="shared" si="72"/>
        <v>1</v>
      </c>
      <c r="H364" s="719"/>
      <c r="I364" s="24">
        <f t="shared" si="73"/>
        <v>1</v>
      </c>
      <c r="J364" s="719"/>
      <c r="K364" s="24">
        <f t="shared" si="74"/>
        <v>1</v>
      </c>
      <c r="L364" s="719"/>
      <c r="M364" s="24">
        <f t="shared" si="75"/>
        <v>1</v>
      </c>
      <c r="N364" s="719"/>
      <c r="O364" s="24">
        <f t="shared" si="76"/>
        <v>1</v>
      </c>
      <c r="P364" s="719" t="s">
        <v>3120</v>
      </c>
      <c r="Q364" s="24">
        <f t="shared" si="77"/>
        <v>1</v>
      </c>
      <c r="R364" s="715">
        <f t="shared" ca="1" si="78"/>
        <v>27374</v>
      </c>
      <c r="S364" s="361">
        <f t="shared" ca="1" si="68"/>
        <v>221</v>
      </c>
      <c r="U364" s="3056" t="str">
        <f>Sheet1!C343</f>
        <v>13-3</v>
      </c>
      <c r="V364" s="799">
        <f>Sheet1!E343</f>
        <v>80.849999999999994</v>
      </c>
      <c r="W364" s="799">
        <f t="shared" si="69"/>
        <v>0</v>
      </c>
    </row>
    <row r="365" spans="1:23">
      <c r="A365" s="3043" t="str">
        <f>Sheet1!C344</f>
        <v>13-4</v>
      </c>
      <c r="B365" s="717">
        <f>Sheet1!E344</f>
        <v>143.66</v>
      </c>
      <c r="C365" s="24">
        <f t="shared" si="70"/>
        <v>0.99</v>
      </c>
      <c r="D365" s="719"/>
      <c r="E365" s="24">
        <f t="shared" si="71"/>
        <v>1</v>
      </c>
      <c r="F365" s="719"/>
      <c r="G365" s="24">
        <f t="shared" si="72"/>
        <v>1</v>
      </c>
      <c r="H365" s="719"/>
      <c r="I365" s="24">
        <f t="shared" si="73"/>
        <v>1</v>
      </c>
      <c r="J365" s="719"/>
      <c r="K365" s="24">
        <f t="shared" si="74"/>
        <v>1</v>
      </c>
      <c r="L365" s="719"/>
      <c r="M365" s="24">
        <f t="shared" si="75"/>
        <v>1</v>
      </c>
      <c r="N365" s="719"/>
      <c r="O365" s="24">
        <f t="shared" si="76"/>
        <v>1</v>
      </c>
      <c r="P365" s="719" t="s">
        <v>3120</v>
      </c>
      <c r="Q365" s="24">
        <f t="shared" si="77"/>
        <v>1</v>
      </c>
      <c r="R365" s="715">
        <f t="shared" ca="1" si="78"/>
        <v>27100</v>
      </c>
      <c r="S365" s="361">
        <f t="shared" ca="1" si="68"/>
        <v>389</v>
      </c>
      <c r="U365" s="3056" t="str">
        <f>Sheet1!C344</f>
        <v>13-4</v>
      </c>
      <c r="V365" s="799">
        <f>Sheet1!E344</f>
        <v>143.66</v>
      </c>
      <c r="W365" s="799">
        <f t="shared" si="69"/>
        <v>0</v>
      </c>
    </row>
    <row r="366" spans="1:23">
      <c r="A366" s="3043" t="str">
        <f>Sheet1!C345</f>
        <v>13-5复式</v>
      </c>
      <c r="B366" s="717">
        <f>Sheet1!E345</f>
        <v>263.95</v>
      </c>
      <c r="C366" s="24">
        <f t="shared" si="70"/>
        <v>0.98</v>
      </c>
      <c r="D366" s="719"/>
      <c r="E366" s="24">
        <f t="shared" si="71"/>
        <v>1</v>
      </c>
      <c r="F366" s="719"/>
      <c r="G366" s="24">
        <f t="shared" si="72"/>
        <v>1</v>
      </c>
      <c r="H366" s="719"/>
      <c r="I366" s="24">
        <f t="shared" si="73"/>
        <v>1</v>
      </c>
      <c r="J366" s="719"/>
      <c r="K366" s="24">
        <f t="shared" si="74"/>
        <v>1</v>
      </c>
      <c r="L366" s="719"/>
      <c r="M366" s="24">
        <f t="shared" si="75"/>
        <v>1</v>
      </c>
      <c r="N366" s="719"/>
      <c r="O366" s="24">
        <f t="shared" si="76"/>
        <v>1</v>
      </c>
      <c r="P366" s="719" t="s">
        <v>3558</v>
      </c>
      <c r="Q366" s="24">
        <f t="shared" si="77"/>
        <v>0.85</v>
      </c>
      <c r="R366" s="715">
        <f t="shared" ca="1" si="78"/>
        <v>22803</v>
      </c>
      <c r="S366" s="361">
        <f t="shared" ca="1" si="68"/>
        <v>602</v>
      </c>
      <c r="U366" s="3056" t="str">
        <f>Sheet1!C345</f>
        <v>13-5复式</v>
      </c>
      <c r="V366" s="799">
        <f>Sheet1!E345</f>
        <v>263.95</v>
      </c>
      <c r="W366" s="799">
        <f t="shared" si="69"/>
        <v>0</v>
      </c>
    </row>
    <row r="367" spans="1:23">
      <c r="A367" s="3043" t="str">
        <f>Sheet1!C346</f>
        <v>13-6复式</v>
      </c>
      <c r="B367" s="717">
        <f>Sheet1!E346</f>
        <v>263.95</v>
      </c>
      <c r="C367" s="24">
        <f t="shared" si="70"/>
        <v>0.98</v>
      </c>
      <c r="D367" s="719"/>
      <c r="E367" s="24">
        <f t="shared" si="71"/>
        <v>1</v>
      </c>
      <c r="F367" s="719"/>
      <c r="G367" s="24">
        <f t="shared" si="72"/>
        <v>1</v>
      </c>
      <c r="H367" s="719"/>
      <c r="I367" s="24">
        <f t="shared" si="73"/>
        <v>1</v>
      </c>
      <c r="J367" s="719"/>
      <c r="K367" s="24">
        <f t="shared" si="74"/>
        <v>1</v>
      </c>
      <c r="L367" s="719"/>
      <c r="M367" s="24">
        <f t="shared" si="75"/>
        <v>1</v>
      </c>
      <c r="N367" s="719"/>
      <c r="O367" s="24">
        <f t="shared" si="76"/>
        <v>1</v>
      </c>
      <c r="P367" s="719" t="s">
        <v>3558</v>
      </c>
      <c r="Q367" s="24">
        <f t="shared" si="77"/>
        <v>0.85</v>
      </c>
      <c r="R367" s="715">
        <f t="shared" ca="1" si="78"/>
        <v>22803</v>
      </c>
      <c r="S367" s="361">
        <f t="shared" ca="1" si="68"/>
        <v>602</v>
      </c>
      <c r="U367" s="3056" t="str">
        <f>Sheet1!C346</f>
        <v>13-6复式</v>
      </c>
      <c r="V367" s="799">
        <f>Sheet1!E346</f>
        <v>263.95</v>
      </c>
      <c r="W367" s="799">
        <f t="shared" si="69"/>
        <v>0</v>
      </c>
    </row>
    <row r="368" spans="1:23">
      <c r="A368" s="3043" t="str">
        <f>Sheet1!C347</f>
        <v>13-7复式</v>
      </c>
      <c r="B368" s="717">
        <f>Sheet1!E347</f>
        <v>263.95</v>
      </c>
      <c r="C368" s="24">
        <f t="shared" si="70"/>
        <v>0.98</v>
      </c>
      <c r="D368" s="719"/>
      <c r="E368" s="24">
        <f t="shared" si="71"/>
        <v>1</v>
      </c>
      <c r="F368" s="719"/>
      <c r="G368" s="24">
        <f t="shared" si="72"/>
        <v>1</v>
      </c>
      <c r="H368" s="719"/>
      <c r="I368" s="24">
        <f t="shared" si="73"/>
        <v>1</v>
      </c>
      <c r="J368" s="719"/>
      <c r="K368" s="24">
        <f t="shared" si="74"/>
        <v>1</v>
      </c>
      <c r="L368" s="719"/>
      <c r="M368" s="24">
        <f t="shared" si="75"/>
        <v>1</v>
      </c>
      <c r="N368" s="719"/>
      <c r="O368" s="24">
        <f t="shared" si="76"/>
        <v>1</v>
      </c>
      <c r="P368" s="719" t="s">
        <v>3558</v>
      </c>
      <c r="Q368" s="24">
        <f t="shared" si="77"/>
        <v>0.85</v>
      </c>
      <c r="R368" s="715">
        <f t="shared" ca="1" si="78"/>
        <v>22803</v>
      </c>
      <c r="S368" s="361">
        <f t="shared" ca="1" si="68"/>
        <v>602</v>
      </c>
      <c r="U368" s="3056" t="str">
        <f>Sheet1!C347</f>
        <v>13-7复式</v>
      </c>
      <c r="V368" s="799">
        <f>Sheet1!E347</f>
        <v>263.95</v>
      </c>
      <c r="W368" s="799">
        <f t="shared" si="69"/>
        <v>0</v>
      </c>
    </row>
    <row r="369" spans="1:23">
      <c r="A369" s="3043" t="str">
        <f>Sheet1!C348</f>
        <v>13-8复式</v>
      </c>
      <c r="B369" s="717">
        <f>Sheet1!E348</f>
        <v>239.95</v>
      </c>
      <c r="C369" s="24">
        <f t="shared" si="70"/>
        <v>0.98</v>
      </c>
      <c r="D369" s="719"/>
      <c r="E369" s="24">
        <f t="shared" si="71"/>
        <v>1</v>
      </c>
      <c r="F369" s="719"/>
      <c r="G369" s="24">
        <f t="shared" si="72"/>
        <v>1</v>
      </c>
      <c r="H369" s="719"/>
      <c r="I369" s="24">
        <f t="shared" si="73"/>
        <v>1</v>
      </c>
      <c r="J369" s="719"/>
      <c r="K369" s="24">
        <f t="shared" si="74"/>
        <v>1</v>
      </c>
      <c r="L369" s="719"/>
      <c r="M369" s="24">
        <f t="shared" si="75"/>
        <v>1</v>
      </c>
      <c r="N369" s="719"/>
      <c r="O369" s="24">
        <f t="shared" si="76"/>
        <v>1</v>
      </c>
      <c r="P369" s="719" t="s">
        <v>3558</v>
      </c>
      <c r="Q369" s="24">
        <f t="shared" si="77"/>
        <v>0.85</v>
      </c>
      <c r="R369" s="715">
        <f t="shared" ca="1" si="78"/>
        <v>22803</v>
      </c>
      <c r="S369" s="361">
        <f t="shared" ca="1" si="68"/>
        <v>547</v>
      </c>
      <c r="U369" s="3056" t="str">
        <f>Sheet1!C348</f>
        <v>13-8复式</v>
      </c>
      <c r="V369" s="799">
        <f>Sheet1!E348</f>
        <v>239.95</v>
      </c>
      <c r="W369" s="799">
        <f t="shared" si="69"/>
        <v>0</v>
      </c>
    </row>
    <row r="370" spans="1:23">
      <c r="A370" s="3043" t="str">
        <f>Sheet1!C349</f>
        <v>14-1</v>
      </c>
      <c r="B370" s="717">
        <f>Sheet1!E349</f>
        <v>123.6</v>
      </c>
      <c r="C370" s="24">
        <f t="shared" si="70"/>
        <v>0.99</v>
      </c>
      <c r="D370" s="719"/>
      <c r="E370" s="24">
        <f t="shared" si="71"/>
        <v>1</v>
      </c>
      <c r="F370" s="719"/>
      <c r="G370" s="24">
        <f t="shared" si="72"/>
        <v>1</v>
      </c>
      <c r="H370" s="719"/>
      <c r="I370" s="24">
        <f t="shared" si="73"/>
        <v>1</v>
      </c>
      <c r="J370" s="719"/>
      <c r="K370" s="24">
        <f t="shared" si="74"/>
        <v>1</v>
      </c>
      <c r="L370" s="719"/>
      <c r="M370" s="24">
        <f t="shared" si="75"/>
        <v>1</v>
      </c>
      <c r="N370" s="719"/>
      <c r="O370" s="24">
        <f t="shared" si="76"/>
        <v>1</v>
      </c>
      <c r="P370" s="719" t="s">
        <v>3120</v>
      </c>
      <c r="Q370" s="24">
        <f t="shared" si="77"/>
        <v>1</v>
      </c>
      <c r="R370" s="715">
        <f t="shared" ca="1" si="78"/>
        <v>27100</v>
      </c>
      <c r="S370" s="361">
        <f t="shared" ca="1" si="68"/>
        <v>335</v>
      </c>
      <c r="U370" s="3056" t="str">
        <f>Sheet1!C349</f>
        <v>14-1</v>
      </c>
      <c r="V370" s="799">
        <f>Sheet1!E349</f>
        <v>123.6</v>
      </c>
      <c r="W370" s="799">
        <f t="shared" si="69"/>
        <v>0</v>
      </c>
    </row>
    <row r="371" spans="1:23">
      <c r="A371" s="3043" t="str">
        <f>Sheet1!C350</f>
        <v>14-2</v>
      </c>
      <c r="B371" s="717">
        <f>Sheet1!E350</f>
        <v>72.989999999999995</v>
      </c>
      <c r="C371" s="24">
        <f t="shared" si="70"/>
        <v>1</v>
      </c>
      <c r="D371" s="719"/>
      <c r="E371" s="24">
        <f t="shared" si="71"/>
        <v>1</v>
      </c>
      <c r="F371" s="719"/>
      <c r="G371" s="24">
        <f t="shared" si="72"/>
        <v>1</v>
      </c>
      <c r="H371" s="719"/>
      <c r="I371" s="24">
        <f t="shared" si="73"/>
        <v>1</v>
      </c>
      <c r="J371" s="719"/>
      <c r="K371" s="24">
        <f t="shared" si="74"/>
        <v>1</v>
      </c>
      <c r="L371" s="719"/>
      <c r="M371" s="24">
        <f t="shared" si="75"/>
        <v>1</v>
      </c>
      <c r="N371" s="719"/>
      <c r="O371" s="24">
        <f t="shared" si="76"/>
        <v>1</v>
      </c>
      <c r="P371" s="719" t="s">
        <v>3120</v>
      </c>
      <c r="Q371" s="24">
        <f t="shared" si="77"/>
        <v>1</v>
      </c>
      <c r="R371" s="715">
        <f t="shared" ca="1" si="78"/>
        <v>27374</v>
      </c>
      <c r="S371" s="361">
        <f t="shared" ca="1" si="68"/>
        <v>200</v>
      </c>
      <c r="U371" s="3056" t="str">
        <f>Sheet1!C350</f>
        <v>14-2</v>
      </c>
      <c r="V371" s="799">
        <f>Sheet1!E350</f>
        <v>72.989999999999995</v>
      </c>
      <c r="W371" s="799">
        <f t="shared" si="69"/>
        <v>0</v>
      </c>
    </row>
    <row r="372" spans="1:23">
      <c r="A372" s="3043" t="str">
        <f>Sheet1!C351</f>
        <v>14-3</v>
      </c>
      <c r="B372" s="717">
        <f>Sheet1!E351</f>
        <v>65.45</v>
      </c>
      <c r="C372" s="24">
        <f t="shared" si="70"/>
        <v>1</v>
      </c>
      <c r="D372" s="719"/>
      <c r="E372" s="24">
        <f t="shared" si="71"/>
        <v>1</v>
      </c>
      <c r="F372" s="719"/>
      <c r="G372" s="24">
        <f t="shared" si="72"/>
        <v>1</v>
      </c>
      <c r="H372" s="719"/>
      <c r="I372" s="24">
        <f t="shared" si="73"/>
        <v>1</v>
      </c>
      <c r="J372" s="719"/>
      <c r="K372" s="24">
        <f t="shared" si="74"/>
        <v>1</v>
      </c>
      <c r="L372" s="719"/>
      <c r="M372" s="24">
        <f t="shared" si="75"/>
        <v>1</v>
      </c>
      <c r="N372" s="719"/>
      <c r="O372" s="24">
        <f t="shared" si="76"/>
        <v>1</v>
      </c>
      <c r="P372" s="719" t="s">
        <v>3120</v>
      </c>
      <c r="Q372" s="24">
        <f t="shared" si="77"/>
        <v>1</v>
      </c>
      <c r="R372" s="715">
        <f t="shared" ca="1" si="78"/>
        <v>27374</v>
      </c>
      <c r="S372" s="361">
        <f t="shared" ca="1" si="68"/>
        <v>179</v>
      </c>
      <c r="U372" s="3056" t="str">
        <f>Sheet1!C351</f>
        <v>14-3</v>
      </c>
      <c r="V372" s="799">
        <f>Sheet1!E351</f>
        <v>65.45</v>
      </c>
      <c r="W372" s="799">
        <f t="shared" si="69"/>
        <v>0</v>
      </c>
    </row>
    <row r="373" spans="1:23">
      <c r="A373" s="3043" t="str">
        <f>Sheet1!C352</f>
        <v>14-4</v>
      </c>
      <c r="B373" s="717">
        <f>Sheet1!E352</f>
        <v>60.26</v>
      </c>
      <c r="C373" s="24">
        <f t="shared" si="70"/>
        <v>1</v>
      </c>
      <c r="D373" s="719"/>
      <c r="E373" s="24">
        <f t="shared" si="71"/>
        <v>1</v>
      </c>
      <c r="F373" s="719"/>
      <c r="G373" s="24">
        <f t="shared" si="72"/>
        <v>1</v>
      </c>
      <c r="H373" s="719"/>
      <c r="I373" s="24">
        <f t="shared" si="73"/>
        <v>1</v>
      </c>
      <c r="J373" s="719"/>
      <c r="K373" s="24">
        <f t="shared" si="74"/>
        <v>1</v>
      </c>
      <c r="L373" s="719"/>
      <c r="M373" s="24">
        <f t="shared" si="75"/>
        <v>1</v>
      </c>
      <c r="N373" s="719"/>
      <c r="O373" s="24">
        <f t="shared" si="76"/>
        <v>1</v>
      </c>
      <c r="P373" s="719" t="s">
        <v>3120</v>
      </c>
      <c r="Q373" s="24">
        <f t="shared" si="77"/>
        <v>1</v>
      </c>
      <c r="R373" s="715">
        <f t="shared" ca="1" si="78"/>
        <v>27374</v>
      </c>
      <c r="S373" s="361">
        <f t="shared" ca="1" si="68"/>
        <v>165</v>
      </c>
      <c r="U373" s="3056" t="str">
        <f>Sheet1!C352</f>
        <v>14-4</v>
      </c>
      <c r="V373" s="799">
        <f>Sheet1!E352</f>
        <v>60.26</v>
      </c>
      <c r="W373" s="799">
        <f t="shared" si="69"/>
        <v>0</v>
      </c>
    </row>
    <row r="374" spans="1:23">
      <c r="A374" s="3043" t="str">
        <f>Sheet1!C353</f>
        <v>14-5</v>
      </c>
      <c r="B374" s="717">
        <f>Sheet1!E353</f>
        <v>74.7</v>
      </c>
      <c r="C374" s="24">
        <f t="shared" si="70"/>
        <v>1</v>
      </c>
      <c r="D374" s="719"/>
      <c r="E374" s="24">
        <f t="shared" si="71"/>
        <v>1</v>
      </c>
      <c r="F374" s="719"/>
      <c r="G374" s="24">
        <f t="shared" si="72"/>
        <v>1</v>
      </c>
      <c r="H374" s="719"/>
      <c r="I374" s="24">
        <f t="shared" si="73"/>
        <v>1</v>
      </c>
      <c r="J374" s="719"/>
      <c r="K374" s="24">
        <f t="shared" si="74"/>
        <v>1</v>
      </c>
      <c r="L374" s="719"/>
      <c r="M374" s="24">
        <f t="shared" si="75"/>
        <v>1</v>
      </c>
      <c r="N374" s="719"/>
      <c r="O374" s="24">
        <f t="shared" si="76"/>
        <v>1</v>
      </c>
      <c r="P374" s="719" t="s">
        <v>3120</v>
      </c>
      <c r="Q374" s="24">
        <f t="shared" si="77"/>
        <v>1</v>
      </c>
      <c r="R374" s="715">
        <f t="shared" ca="1" si="78"/>
        <v>27374</v>
      </c>
      <c r="S374" s="361">
        <f t="shared" ca="1" si="68"/>
        <v>204</v>
      </c>
      <c r="U374" s="3056" t="str">
        <f>Sheet1!C353</f>
        <v>14-5</v>
      </c>
      <c r="V374" s="799">
        <f>Sheet1!E353</f>
        <v>74.7</v>
      </c>
      <c r="W374" s="799">
        <f t="shared" si="69"/>
        <v>0</v>
      </c>
    </row>
    <row r="375" spans="1:23">
      <c r="A375" s="3043" t="str">
        <f>Sheet1!C354</f>
        <v>14-6</v>
      </c>
      <c r="B375" s="717">
        <f>Sheet1!E354</f>
        <v>113.24</v>
      </c>
      <c r="C375" s="24">
        <f t="shared" si="70"/>
        <v>0.99</v>
      </c>
      <c r="D375" s="719"/>
      <c r="E375" s="24">
        <f t="shared" si="71"/>
        <v>1</v>
      </c>
      <c r="F375" s="719"/>
      <c r="G375" s="24">
        <f t="shared" si="72"/>
        <v>1</v>
      </c>
      <c r="H375" s="719"/>
      <c r="I375" s="24">
        <f t="shared" si="73"/>
        <v>1</v>
      </c>
      <c r="J375" s="719"/>
      <c r="K375" s="24">
        <f t="shared" si="74"/>
        <v>1</v>
      </c>
      <c r="L375" s="719"/>
      <c r="M375" s="24">
        <f t="shared" si="75"/>
        <v>1</v>
      </c>
      <c r="N375" s="719"/>
      <c r="O375" s="24">
        <f t="shared" si="76"/>
        <v>1</v>
      </c>
      <c r="P375" s="719" t="s">
        <v>3120</v>
      </c>
      <c r="Q375" s="24">
        <f t="shared" si="77"/>
        <v>1</v>
      </c>
      <c r="R375" s="715">
        <f t="shared" ca="1" si="78"/>
        <v>27100</v>
      </c>
      <c r="S375" s="361">
        <f t="shared" ca="1" si="68"/>
        <v>307</v>
      </c>
      <c r="U375" s="3056" t="str">
        <f>Sheet1!C354</f>
        <v>14-6</v>
      </c>
      <c r="V375" s="799">
        <f>Sheet1!E354</f>
        <v>113.24</v>
      </c>
      <c r="W375" s="799">
        <f t="shared" si="69"/>
        <v>0</v>
      </c>
    </row>
    <row r="376" spans="1:23">
      <c r="A376" s="3043" t="str">
        <f>Sheet1!C355</f>
        <v>14-7</v>
      </c>
      <c r="B376" s="717">
        <f>Sheet1!E355</f>
        <v>109.36</v>
      </c>
      <c r="C376" s="24">
        <f t="shared" si="70"/>
        <v>0.99</v>
      </c>
      <c r="D376" s="719"/>
      <c r="E376" s="24">
        <f t="shared" si="71"/>
        <v>1</v>
      </c>
      <c r="F376" s="719"/>
      <c r="G376" s="24">
        <f t="shared" si="72"/>
        <v>1</v>
      </c>
      <c r="H376" s="719"/>
      <c r="I376" s="24">
        <f t="shared" si="73"/>
        <v>1</v>
      </c>
      <c r="J376" s="719"/>
      <c r="K376" s="24">
        <f t="shared" si="74"/>
        <v>1</v>
      </c>
      <c r="L376" s="719"/>
      <c r="M376" s="24">
        <f t="shared" si="75"/>
        <v>1</v>
      </c>
      <c r="N376" s="719"/>
      <c r="O376" s="24">
        <f t="shared" si="76"/>
        <v>1</v>
      </c>
      <c r="P376" s="719" t="s">
        <v>3120</v>
      </c>
      <c r="Q376" s="24">
        <f t="shared" si="77"/>
        <v>1</v>
      </c>
      <c r="R376" s="715">
        <f t="shared" ca="1" si="78"/>
        <v>27100</v>
      </c>
      <c r="S376" s="361">
        <f t="shared" ca="1" si="68"/>
        <v>296</v>
      </c>
      <c r="U376" s="3056" t="str">
        <f>Sheet1!C355</f>
        <v>14-7</v>
      </c>
      <c r="V376" s="799">
        <f>Sheet1!E355</f>
        <v>109.36</v>
      </c>
      <c r="W376" s="799">
        <f t="shared" si="69"/>
        <v>0</v>
      </c>
    </row>
    <row r="377" spans="1:23">
      <c r="A377" s="3043" t="str">
        <f>Sheet1!C356</f>
        <v>14-8</v>
      </c>
      <c r="B377" s="717">
        <f>Sheet1!E356</f>
        <v>88.33</v>
      </c>
      <c r="C377" s="24">
        <f t="shared" si="70"/>
        <v>1</v>
      </c>
      <c r="D377" s="719"/>
      <c r="E377" s="24">
        <f t="shared" si="71"/>
        <v>1</v>
      </c>
      <c r="F377" s="719"/>
      <c r="G377" s="24">
        <f t="shared" si="72"/>
        <v>1</v>
      </c>
      <c r="H377" s="719"/>
      <c r="I377" s="24">
        <f t="shared" si="73"/>
        <v>1</v>
      </c>
      <c r="J377" s="719"/>
      <c r="K377" s="24">
        <f t="shared" si="74"/>
        <v>1</v>
      </c>
      <c r="L377" s="719"/>
      <c r="M377" s="24">
        <f t="shared" si="75"/>
        <v>1</v>
      </c>
      <c r="N377" s="719"/>
      <c r="O377" s="24">
        <f t="shared" si="76"/>
        <v>1</v>
      </c>
      <c r="P377" s="719" t="s">
        <v>3120</v>
      </c>
      <c r="Q377" s="24">
        <f t="shared" si="77"/>
        <v>1</v>
      </c>
      <c r="R377" s="715">
        <f t="shared" ca="1" si="78"/>
        <v>27374</v>
      </c>
      <c r="S377" s="361">
        <f t="shared" ca="1" si="68"/>
        <v>242</v>
      </c>
      <c r="U377" s="3056" t="str">
        <f>Sheet1!C356</f>
        <v>14-8</v>
      </c>
      <c r="V377" s="799">
        <f>Sheet1!E356</f>
        <v>88.33</v>
      </c>
      <c r="W377" s="799">
        <f t="shared" si="69"/>
        <v>0</v>
      </c>
    </row>
    <row r="378" spans="1:23">
      <c r="A378" s="3043" t="str">
        <f>Sheet1!C357</f>
        <v>17-1复式</v>
      </c>
      <c r="B378" s="717">
        <f>Sheet1!E357</f>
        <v>165.2</v>
      </c>
      <c r="C378" s="24">
        <f t="shared" si="70"/>
        <v>0.99</v>
      </c>
      <c r="D378" s="719"/>
      <c r="E378" s="24">
        <f t="shared" si="71"/>
        <v>1</v>
      </c>
      <c r="F378" s="719"/>
      <c r="G378" s="24">
        <f t="shared" si="72"/>
        <v>1</v>
      </c>
      <c r="H378" s="719"/>
      <c r="I378" s="24">
        <f t="shared" si="73"/>
        <v>1</v>
      </c>
      <c r="J378" s="719"/>
      <c r="K378" s="24">
        <f t="shared" si="74"/>
        <v>1</v>
      </c>
      <c r="L378" s="719"/>
      <c r="M378" s="24">
        <f t="shared" si="75"/>
        <v>1</v>
      </c>
      <c r="N378" s="719"/>
      <c r="O378" s="24">
        <f t="shared" si="76"/>
        <v>1</v>
      </c>
      <c r="P378" s="719" t="s">
        <v>3558</v>
      </c>
      <c r="Q378" s="24">
        <f t="shared" si="77"/>
        <v>0.85</v>
      </c>
      <c r="R378" s="715">
        <f t="shared" ca="1" si="78"/>
        <v>23035</v>
      </c>
      <c r="S378" s="361">
        <f t="shared" ca="1" si="68"/>
        <v>381</v>
      </c>
      <c r="U378" s="3056" t="str">
        <f>Sheet1!C357</f>
        <v>17-1复式</v>
      </c>
      <c r="V378" s="799">
        <f>Sheet1!E357</f>
        <v>165.2</v>
      </c>
      <c r="W378" s="799">
        <f t="shared" si="69"/>
        <v>0</v>
      </c>
    </row>
    <row r="379" spans="1:23">
      <c r="A379" s="3043" t="str">
        <f>Sheet1!C358</f>
        <v>17-2复式</v>
      </c>
      <c r="B379" s="717">
        <f>Sheet1!E358</f>
        <v>267.37</v>
      </c>
      <c r="C379" s="24">
        <f t="shared" si="70"/>
        <v>0.98</v>
      </c>
      <c r="D379" s="719"/>
      <c r="E379" s="24">
        <f t="shared" si="71"/>
        <v>1</v>
      </c>
      <c r="F379" s="719"/>
      <c r="G379" s="24">
        <f t="shared" si="72"/>
        <v>1</v>
      </c>
      <c r="H379" s="719"/>
      <c r="I379" s="24">
        <f t="shared" si="73"/>
        <v>1</v>
      </c>
      <c r="J379" s="719"/>
      <c r="K379" s="24">
        <f t="shared" si="74"/>
        <v>1</v>
      </c>
      <c r="L379" s="719"/>
      <c r="M379" s="24">
        <f t="shared" si="75"/>
        <v>1</v>
      </c>
      <c r="N379" s="719"/>
      <c r="O379" s="24">
        <f t="shared" si="76"/>
        <v>1</v>
      </c>
      <c r="P379" s="719" t="s">
        <v>3558</v>
      </c>
      <c r="Q379" s="24">
        <f t="shared" si="77"/>
        <v>0.85</v>
      </c>
      <c r="R379" s="715">
        <f t="shared" ca="1" si="78"/>
        <v>22803</v>
      </c>
      <c r="S379" s="361">
        <f t="shared" ca="1" si="68"/>
        <v>610</v>
      </c>
      <c r="U379" s="3056" t="str">
        <f>Sheet1!C358</f>
        <v>17-2复式</v>
      </c>
      <c r="V379" s="799">
        <f>Sheet1!E358</f>
        <v>267.37</v>
      </c>
      <c r="W379" s="799">
        <f t="shared" si="69"/>
        <v>0</v>
      </c>
    </row>
    <row r="380" spans="1:23">
      <c r="A380" s="3043" t="str">
        <f>Sheet1!C359</f>
        <v>17-3复式</v>
      </c>
      <c r="B380" s="717">
        <f>Sheet1!E359</f>
        <v>254.68</v>
      </c>
      <c r="C380" s="24">
        <f t="shared" si="70"/>
        <v>0.98</v>
      </c>
      <c r="D380" s="719"/>
      <c r="E380" s="24">
        <f t="shared" si="71"/>
        <v>1</v>
      </c>
      <c r="F380" s="719"/>
      <c r="G380" s="24">
        <f t="shared" si="72"/>
        <v>1</v>
      </c>
      <c r="H380" s="719"/>
      <c r="I380" s="24">
        <f t="shared" si="73"/>
        <v>1</v>
      </c>
      <c r="J380" s="719"/>
      <c r="K380" s="24">
        <f t="shared" si="74"/>
        <v>1</v>
      </c>
      <c r="L380" s="719"/>
      <c r="M380" s="24">
        <f t="shared" si="75"/>
        <v>1</v>
      </c>
      <c r="N380" s="719"/>
      <c r="O380" s="24">
        <f t="shared" si="76"/>
        <v>1</v>
      </c>
      <c r="P380" s="719" t="s">
        <v>3558</v>
      </c>
      <c r="Q380" s="24">
        <f t="shared" si="77"/>
        <v>0.85</v>
      </c>
      <c r="R380" s="715">
        <f t="shared" ca="1" si="78"/>
        <v>22803</v>
      </c>
      <c r="S380" s="361">
        <f t="shared" ca="1" si="68"/>
        <v>581</v>
      </c>
      <c r="U380" s="3056" t="str">
        <f>Sheet1!C359</f>
        <v>17-3复式</v>
      </c>
      <c r="V380" s="799">
        <f>Sheet1!E359</f>
        <v>254.68</v>
      </c>
      <c r="W380" s="799">
        <f t="shared" si="69"/>
        <v>0</v>
      </c>
    </row>
    <row r="381" spans="1:23">
      <c r="A381" s="3043" t="str">
        <f>Sheet1!C360</f>
        <v>17-4复式</v>
      </c>
      <c r="B381" s="717">
        <f>Sheet1!E360</f>
        <v>260.12</v>
      </c>
      <c r="C381" s="24">
        <f t="shared" si="70"/>
        <v>0.98</v>
      </c>
      <c r="D381" s="719"/>
      <c r="E381" s="24">
        <f t="shared" si="71"/>
        <v>1</v>
      </c>
      <c r="F381" s="719"/>
      <c r="G381" s="24">
        <f t="shared" si="72"/>
        <v>1</v>
      </c>
      <c r="H381" s="719"/>
      <c r="I381" s="24">
        <f t="shared" si="73"/>
        <v>1</v>
      </c>
      <c r="J381" s="719"/>
      <c r="K381" s="24">
        <f t="shared" si="74"/>
        <v>1</v>
      </c>
      <c r="L381" s="719"/>
      <c r="M381" s="24">
        <f t="shared" si="75"/>
        <v>1</v>
      </c>
      <c r="N381" s="719"/>
      <c r="O381" s="24">
        <f t="shared" si="76"/>
        <v>1</v>
      </c>
      <c r="P381" s="719" t="s">
        <v>3558</v>
      </c>
      <c r="Q381" s="24">
        <f t="shared" si="77"/>
        <v>0.85</v>
      </c>
      <c r="R381" s="715">
        <f t="shared" ca="1" si="78"/>
        <v>22803</v>
      </c>
      <c r="S381" s="361">
        <f t="shared" ca="1" si="68"/>
        <v>593</v>
      </c>
      <c r="U381" s="3056" t="str">
        <f>Sheet1!C360</f>
        <v>17-4复式</v>
      </c>
      <c r="V381" s="799">
        <f>Sheet1!E360</f>
        <v>260.12</v>
      </c>
      <c r="W381" s="799">
        <f t="shared" si="69"/>
        <v>0</v>
      </c>
    </row>
    <row r="382" spans="1:23">
      <c r="A382" s="3043" t="str">
        <f>Sheet1!C361</f>
        <v>17-5复式</v>
      </c>
      <c r="B382" s="717">
        <f>Sheet1!E361</f>
        <v>260.12</v>
      </c>
      <c r="C382" s="24">
        <f t="shared" si="70"/>
        <v>0.98</v>
      </c>
      <c r="D382" s="719"/>
      <c r="E382" s="24">
        <f t="shared" si="71"/>
        <v>1</v>
      </c>
      <c r="F382" s="719"/>
      <c r="G382" s="24">
        <f t="shared" si="72"/>
        <v>1</v>
      </c>
      <c r="H382" s="719"/>
      <c r="I382" s="24">
        <f t="shared" si="73"/>
        <v>1</v>
      </c>
      <c r="J382" s="719"/>
      <c r="K382" s="24">
        <f t="shared" si="74"/>
        <v>1</v>
      </c>
      <c r="L382" s="719"/>
      <c r="M382" s="24">
        <f t="shared" si="75"/>
        <v>1</v>
      </c>
      <c r="N382" s="719"/>
      <c r="O382" s="24">
        <f t="shared" si="76"/>
        <v>1</v>
      </c>
      <c r="P382" s="719" t="s">
        <v>3558</v>
      </c>
      <c r="Q382" s="24">
        <f t="shared" si="77"/>
        <v>0.85</v>
      </c>
      <c r="R382" s="715">
        <f t="shared" ca="1" si="78"/>
        <v>22803</v>
      </c>
      <c r="S382" s="361">
        <f t="shared" ca="1" si="68"/>
        <v>593</v>
      </c>
      <c r="U382" s="3056" t="str">
        <f>Sheet1!C361</f>
        <v>17-5复式</v>
      </c>
      <c r="V382" s="799">
        <f>Sheet1!E361</f>
        <v>260.12</v>
      </c>
      <c r="W382" s="799">
        <f t="shared" si="69"/>
        <v>0</v>
      </c>
    </row>
    <row r="383" spans="1:23">
      <c r="A383" s="3043" t="str">
        <f>Sheet1!C362</f>
        <v>17-6复式</v>
      </c>
      <c r="B383" s="717">
        <f>Sheet1!E362</f>
        <v>299.89999999999998</v>
      </c>
      <c r="C383" s="24">
        <f t="shared" si="70"/>
        <v>0.98</v>
      </c>
      <c r="D383" s="719"/>
      <c r="E383" s="24">
        <f t="shared" si="71"/>
        <v>1</v>
      </c>
      <c r="F383" s="719"/>
      <c r="G383" s="24">
        <f t="shared" si="72"/>
        <v>1</v>
      </c>
      <c r="H383" s="719"/>
      <c r="I383" s="24">
        <f t="shared" si="73"/>
        <v>1</v>
      </c>
      <c r="J383" s="719"/>
      <c r="K383" s="24">
        <f t="shared" si="74"/>
        <v>1</v>
      </c>
      <c r="L383" s="719"/>
      <c r="M383" s="24">
        <f t="shared" si="75"/>
        <v>1</v>
      </c>
      <c r="N383" s="719"/>
      <c r="O383" s="24">
        <f t="shared" si="76"/>
        <v>1</v>
      </c>
      <c r="P383" s="719" t="s">
        <v>3558</v>
      </c>
      <c r="Q383" s="24">
        <f t="shared" si="77"/>
        <v>0.85</v>
      </c>
      <c r="R383" s="715">
        <f t="shared" ca="1" si="78"/>
        <v>22803</v>
      </c>
      <c r="S383" s="361">
        <f t="shared" ca="1" si="68"/>
        <v>684</v>
      </c>
      <c r="U383" s="3056" t="str">
        <f>Sheet1!C362</f>
        <v>17-6复式</v>
      </c>
      <c r="V383" s="799">
        <f>Sheet1!E362</f>
        <v>299.89999999999998</v>
      </c>
      <c r="W383" s="799">
        <f t="shared" si="69"/>
        <v>0</v>
      </c>
    </row>
    <row r="384" spans="1:23">
      <c r="A384" s="3043"/>
      <c r="B384" s="717"/>
      <c r="C384" s="24">
        <f t="shared" si="70"/>
        <v>1</v>
      </c>
      <c r="D384" s="719"/>
      <c r="E384" s="24">
        <f t="shared" si="71"/>
        <v>1</v>
      </c>
      <c r="F384" s="719"/>
      <c r="G384" s="24">
        <f t="shared" si="72"/>
        <v>1</v>
      </c>
      <c r="H384" s="719"/>
      <c r="I384" s="24">
        <f t="shared" si="73"/>
        <v>1</v>
      </c>
      <c r="J384" s="719"/>
      <c r="K384" s="24">
        <f t="shared" si="74"/>
        <v>1</v>
      </c>
      <c r="L384" s="719"/>
      <c r="M384" s="24">
        <f t="shared" si="75"/>
        <v>1</v>
      </c>
      <c r="N384" s="719"/>
      <c r="O384" s="24">
        <f t="shared" si="76"/>
        <v>1</v>
      </c>
      <c r="P384" s="719"/>
      <c r="Q384" s="24">
        <f t="shared" si="77"/>
        <v>0</v>
      </c>
      <c r="R384" s="715">
        <f t="shared" si="78"/>
        <v>0</v>
      </c>
      <c r="S384" s="361">
        <f t="shared" si="68"/>
        <v>0</v>
      </c>
    </row>
    <row r="385" spans="1:19">
      <c r="A385" s="3043"/>
      <c r="B385" s="717"/>
      <c r="C385" s="24">
        <f t="shared" si="70"/>
        <v>1</v>
      </c>
      <c r="D385" s="719"/>
      <c r="E385" s="24">
        <f t="shared" si="71"/>
        <v>1</v>
      </c>
      <c r="F385" s="719"/>
      <c r="G385" s="24">
        <f t="shared" si="72"/>
        <v>1</v>
      </c>
      <c r="H385" s="719"/>
      <c r="I385" s="24">
        <f t="shared" si="73"/>
        <v>1</v>
      </c>
      <c r="J385" s="719"/>
      <c r="K385" s="24">
        <f t="shared" si="74"/>
        <v>1</v>
      </c>
      <c r="L385" s="719"/>
      <c r="M385" s="24">
        <f t="shared" si="75"/>
        <v>1</v>
      </c>
      <c r="N385" s="719"/>
      <c r="O385" s="24">
        <f t="shared" si="76"/>
        <v>1</v>
      </c>
      <c r="P385" s="719"/>
      <c r="Q385" s="24">
        <f t="shared" si="77"/>
        <v>0</v>
      </c>
      <c r="R385" s="715">
        <f t="shared" si="78"/>
        <v>0</v>
      </c>
      <c r="S385" s="361">
        <f t="shared" ref="S385:S422" si="79">ROUND(R385*B385/10000,0)</f>
        <v>0</v>
      </c>
    </row>
    <row r="386" spans="1:19">
      <c r="A386" s="3043"/>
      <c r="B386" s="717"/>
      <c r="C386" s="24">
        <f t="shared" si="70"/>
        <v>1</v>
      </c>
      <c r="D386" s="719"/>
      <c r="E386" s="24">
        <f t="shared" si="71"/>
        <v>1</v>
      </c>
      <c r="F386" s="719"/>
      <c r="G386" s="24">
        <f t="shared" si="72"/>
        <v>1</v>
      </c>
      <c r="H386" s="719"/>
      <c r="I386" s="24">
        <f t="shared" si="73"/>
        <v>1</v>
      </c>
      <c r="J386" s="719"/>
      <c r="K386" s="24">
        <f t="shared" si="74"/>
        <v>1</v>
      </c>
      <c r="L386" s="719"/>
      <c r="M386" s="24">
        <f t="shared" si="75"/>
        <v>1</v>
      </c>
      <c r="N386" s="719"/>
      <c r="O386" s="24">
        <f t="shared" si="76"/>
        <v>1</v>
      </c>
      <c r="P386" s="719"/>
      <c r="Q386" s="24">
        <f t="shared" si="77"/>
        <v>0</v>
      </c>
      <c r="R386" s="715">
        <f t="shared" si="78"/>
        <v>0</v>
      </c>
      <c r="S386" s="361">
        <f t="shared" si="79"/>
        <v>0</v>
      </c>
    </row>
    <row r="387" spans="1:19">
      <c r="A387" s="3043"/>
      <c r="B387" s="717"/>
      <c r="C387" s="24">
        <f t="shared" si="70"/>
        <v>1</v>
      </c>
      <c r="D387" s="719"/>
      <c r="E387" s="24">
        <f t="shared" si="71"/>
        <v>1</v>
      </c>
      <c r="F387" s="719"/>
      <c r="G387" s="24">
        <f t="shared" si="72"/>
        <v>1</v>
      </c>
      <c r="H387" s="719"/>
      <c r="I387" s="24">
        <f t="shared" si="73"/>
        <v>1</v>
      </c>
      <c r="J387" s="719"/>
      <c r="K387" s="24">
        <f t="shared" si="74"/>
        <v>1</v>
      </c>
      <c r="L387" s="719"/>
      <c r="M387" s="24">
        <f t="shared" si="75"/>
        <v>1</v>
      </c>
      <c r="N387" s="719"/>
      <c r="O387" s="24">
        <f t="shared" si="76"/>
        <v>1</v>
      </c>
      <c r="P387" s="719"/>
      <c r="Q387" s="24">
        <f t="shared" si="77"/>
        <v>0</v>
      </c>
      <c r="R387" s="715">
        <f t="shared" si="78"/>
        <v>0</v>
      </c>
      <c r="S387" s="361">
        <f t="shared" si="79"/>
        <v>0</v>
      </c>
    </row>
    <row r="388" spans="1:19">
      <c r="A388" s="3043"/>
      <c r="B388" s="717"/>
      <c r="C388" s="24">
        <f t="shared" si="70"/>
        <v>1</v>
      </c>
      <c r="D388" s="719"/>
      <c r="E388" s="24">
        <f t="shared" si="71"/>
        <v>1</v>
      </c>
      <c r="F388" s="719"/>
      <c r="G388" s="24">
        <f t="shared" si="72"/>
        <v>1</v>
      </c>
      <c r="H388" s="719"/>
      <c r="I388" s="24">
        <f t="shared" si="73"/>
        <v>1</v>
      </c>
      <c r="J388" s="719"/>
      <c r="K388" s="24">
        <f t="shared" si="74"/>
        <v>1</v>
      </c>
      <c r="L388" s="719"/>
      <c r="M388" s="24">
        <f t="shared" si="75"/>
        <v>1</v>
      </c>
      <c r="N388" s="719"/>
      <c r="O388" s="24">
        <f t="shared" si="76"/>
        <v>1</v>
      </c>
      <c r="P388" s="719"/>
      <c r="Q388" s="24">
        <f t="shared" si="77"/>
        <v>0</v>
      </c>
      <c r="R388" s="715">
        <f t="shared" si="78"/>
        <v>0</v>
      </c>
      <c r="S388" s="361">
        <f t="shared" si="79"/>
        <v>0</v>
      </c>
    </row>
    <row r="389" spans="1:19">
      <c r="A389" s="3043"/>
      <c r="B389" s="717"/>
      <c r="C389" s="24">
        <f t="shared" si="70"/>
        <v>1</v>
      </c>
      <c r="D389" s="719"/>
      <c r="E389" s="24">
        <f t="shared" si="71"/>
        <v>1</v>
      </c>
      <c r="F389" s="719"/>
      <c r="G389" s="24">
        <f t="shared" si="72"/>
        <v>1</v>
      </c>
      <c r="H389" s="719"/>
      <c r="I389" s="24">
        <f t="shared" si="73"/>
        <v>1</v>
      </c>
      <c r="J389" s="719"/>
      <c r="K389" s="24">
        <f t="shared" si="74"/>
        <v>1</v>
      </c>
      <c r="L389" s="719"/>
      <c r="M389" s="24">
        <f t="shared" si="75"/>
        <v>1</v>
      </c>
      <c r="N389" s="719"/>
      <c r="O389" s="24">
        <f t="shared" si="76"/>
        <v>1</v>
      </c>
      <c r="P389" s="719"/>
      <c r="Q389" s="24">
        <f t="shared" si="77"/>
        <v>0</v>
      </c>
      <c r="R389" s="715">
        <f t="shared" si="78"/>
        <v>0</v>
      </c>
      <c r="S389" s="361">
        <f t="shared" si="79"/>
        <v>0</v>
      </c>
    </row>
    <row r="390" spans="1:19">
      <c r="A390" s="3043"/>
      <c r="B390" s="717"/>
      <c r="C390" s="24">
        <f t="shared" si="70"/>
        <v>1</v>
      </c>
      <c r="D390" s="719"/>
      <c r="E390" s="24">
        <f t="shared" si="71"/>
        <v>1</v>
      </c>
      <c r="F390" s="719"/>
      <c r="G390" s="24">
        <f t="shared" si="72"/>
        <v>1</v>
      </c>
      <c r="H390" s="719"/>
      <c r="I390" s="24">
        <f t="shared" si="73"/>
        <v>1</v>
      </c>
      <c r="J390" s="719"/>
      <c r="K390" s="24">
        <f t="shared" si="74"/>
        <v>1</v>
      </c>
      <c r="L390" s="719"/>
      <c r="M390" s="24">
        <f t="shared" si="75"/>
        <v>1</v>
      </c>
      <c r="N390" s="719"/>
      <c r="O390" s="24">
        <f t="shared" si="76"/>
        <v>1</v>
      </c>
      <c r="P390" s="719"/>
      <c r="Q390" s="24">
        <f t="shared" si="77"/>
        <v>0</v>
      </c>
      <c r="R390" s="715">
        <f t="shared" si="78"/>
        <v>0</v>
      </c>
      <c r="S390" s="361">
        <f t="shared" si="79"/>
        <v>0</v>
      </c>
    </row>
    <row r="391" spans="1:19">
      <c r="A391" s="3043"/>
      <c r="B391" s="717"/>
      <c r="C391" s="24">
        <f t="shared" si="70"/>
        <v>1</v>
      </c>
      <c r="D391" s="719"/>
      <c r="E391" s="24">
        <f t="shared" si="71"/>
        <v>1</v>
      </c>
      <c r="F391" s="719"/>
      <c r="G391" s="24">
        <f t="shared" si="72"/>
        <v>1</v>
      </c>
      <c r="H391" s="719"/>
      <c r="I391" s="24">
        <f t="shared" si="73"/>
        <v>1</v>
      </c>
      <c r="J391" s="719"/>
      <c r="K391" s="24">
        <f t="shared" si="74"/>
        <v>1</v>
      </c>
      <c r="L391" s="719"/>
      <c r="M391" s="24">
        <f t="shared" si="75"/>
        <v>1</v>
      </c>
      <c r="N391" s="719"/>
      <c r="O391" s="24">
        <f t="shared" si="76"/>
        <v>1</v>
      </c>
      <c r="P391" s="719"/>
      <c r="Q391" s="24">
        <f t="shared" si="77"/>
        <v>0</v>
      </c>
      <c r="R391" s="715">
        <f t="shared" si="78"/>
        <v>0</v>
      </c>
      <c r="S391" s="361">
        <f t="shared" si="79"/>
        <v>0</v>
      </c>
    </row>
    <row r="392" spans="1:19">
      <c r="A392" s="3043"/>
      <c r="B392" s="717"/>
      <c r="C392" s="24">
        <f t="shared" si="70"/>
        <v>1</v>
      </c>
      <c r="D392" s="719"/>
      <c r="E392" s="24">
        <f t="shared" si="71"/>
        <v>1</v>
      </c>
      <c r="F392" s="719"/>
      <c r="G392" s="24">
        <f t="shared" si="72"/>
        <v>1</v>
      </c>
      <c r="H392" s="719"/>
      <c r="I392" s="24">
        <f t="shared" si="73"/>
        <v>1</v>
      </c>
      <c r="J392" s="719"/>
      <c r="K392" s="24">
        <f t="shared" si="74"/>
        <v>1</v>
      </c>
      <c r="L392" s="719"/>
      <c r="M392" s="24">
        <f t="shared" si="75"/>
        <v>1</v>
      </c>
      <c r="N392" s="719"/>
      <c r="O392" s="24">
        <f t="shared" si="76"/>
        <v>1</v>
      </c>
      <c r="P392" s="719"/>
      <c r="Q392" s="24">
        <f t="shared" si="77"/>
        <v>0</v>
      </c>
      <c r="R392" s="715">
        <f t="shared" si="78"/>
        <v>0</v>
      </c>
      <c r="S392" s="361">
        <f t="shared" si="79"/>
        <v>0</v>
      </c>
    </row>
    <row r="393" spans="1:19">
      <c r="A393" s="3043"/>
      <c r="B393" s="717"/>
      <c r="C393" s="24">
        <f t="shared" si="70"/>
        <v>1</v>
      </c>
      <c r="D393" s="719"/>
      <c r="E393" s="24">
        <f t="shared" si="71"/>
        <v>1</v>
      </c>
      <c r="F393" s="719"/>
      <c r="G393" s="24">
        <f t="shared" si="72"/>
        <v>1</v>
      </c>
      <c r="H393" s="719"/>
      <c r="I393" s="24">
        <f t="shared" si="73"/>
        <v>1</v>
      </c>
      <c r="J393" s="719"/>
      <c r="K393" s="24">
        <f t="shared" si="74"/>
        <v>1</v>
      </c>
      <c r="L393" s="719"/>
      <c r="M393" s="24">
        <f t="shared" si="75"/>
        <v>1</v>
      </c>
      <c r="N393" s="719"/>
      <c r="O393" s="24">
        <f t="shared" si="76"/>
        <v>1</v>
      </c>
      <c r="P393" s="719"/>
      <c r="Q393" s="24">
        <f t="shared" si="77"/>
        <v>0</v>
      </c>
      <c r="R393" s="715">
        <f t="shared" si="78"/>
        <v>0</v>
      </c>
      <c r="S393" s="361">
        <f t="shared" si="79"/>
        <v>0</v>
      </c>
    </row>
    <row r="394" spans="1:19">
      <c r="A394" s="3043"/>
      <c r="B394" s="717"/>
      <c r="C394" s="24">
        <f t="shared" si="70"/>
        <v>1</v>
      </c>
      <c r="D394" s="719"/>
      <c r="E394" s="24">
        <f t="shared" si="71"/>
        <v>1</v>
      </c>
      <c r="F394" s="719"/>
      <c r="G394" s="24">
        <f t="shared" si="72"/>
        <v>1</v>
      </c>
      <c r="H394" s="719"/>
      <c r="I394" s="24">
        <f t="shared" si="73"/>
        <v>1</v>
      </c>
      <c r="J394" s="719"/>
      <c r="K394" s="24">
        <f t="shared" si="74"/>
        <v>1</v>
      </c>
      <c r="L394" s="719"/>
      <c r="M394" s="24">
        <f t="shared" si="75"/>
        <v>1</v>
      </c>
      <c r="N394" s="719"/>
      <c r="O394" s="24">
        <f t="shared" si="76"/>
        <v>1</v>
      </c>
      <c r="P394" s="719"/>
      <c r="Q394" s="24">
        <f t="shared" si="77"/>
        <v>0</v>
      </c>
      <c r="R394" s="715">
        <f t="shared" si="78"/>
        <v>0</v>
      </c>
      <c r="S394" s="361">
        <f t="shared" si="79"/>
        <v>0</v>
      </c>
    </row>
    <row r="395" spans="1:19">
      <c r="A395" s="3043"/>
      <c r="B395" s="717"/>
      <c r="C395" s="24">
        <f t="shared" si="70"/>
        <v>1</v>
      </c>
      <c r="D395" s="719"/>
      <c r="E395" s="24">
        <f t="shared" si="71"/>
        <v>1</v>
      </c>
      <c r="F395" s="719"/>
      <c r="G395" s="24">
        <f t="shared" si="72"/>
        <v>1</v>
      </c>
      <c r="H395" s="719"/>
      <c r="I395" s="24">
        <f t="shared" si="73"/>
        <v>1</v>
      </c>
      <c r="J395" s="719"/>
      <c r="K395" s="24">
        <f t="shared" si="74"/>
        <v>1</v>
      </c>
      <c r="L395" s="719"/>
      <c r="M395" s="24">
        <f t="shared" si="75"/>
        <v>1</v>
      </c>
      <c r="N395" s="719"/>
      <c r="O395" s="24">
        <f t="shared" si="76"/>
        <v>1</v>
      </c>
      <c r="P395" s="719"/>
      <c r="Q395" s="24">
        <f t="shared" si="77"/>
        <v>0</v>
      </c>
      <c r="R395" s="715">
        <f t="shared" si="78"/>
        <v>0</v>
      </c>
      <c r="S395" s="361">
        <f t="shared" si="79"/>
        <v>0</v>
      </c>
    </row>
    <row r="396" spans="1:19">
      <c r="A396" s="3043"/>
      <c r="B396" s="717"/>
      <c r="C396" s="24">
        <f t="shared" si="70"/>
        <v>1</v>
      </c>
      <c r="D396" s="719"/>
      <c r="E396" s="24">
        <f t="shared" si="71"/>
        <v>1</v>
      </c>
      <c r="F396" s="719"/>
      <c r="G396" s="24">
        <f t="shared" si="72"/>
        <v>1</v>
      </c>
      <c r="H396" s="719"/>
      <c r="I396" s="24">
        <f t="shared" si="73"/>
        <v>1</v>
      </c>
      <c r="J396" s="719"/>
      <c r="K396" s="24">
        <f t="shared" si="74"/>
        <v>1</v>
      </c>
      <c r="L396" s="719"/>
      <c r="M396" s="24">
        <f t="shared" si="75"/>
        <v>1</v>
      </c>
      <c r="N396" s="719"/>
      <c r="O396" s="24">
        <f t="shared" si="76"/>
        <v>1</v>
      </c>
      <c r="P396" s="719"/>
      <c r="Q396" s="24">
        <f t="shared" si="77"/>
        <v>0</v>
      </c>
      <c r="R396" s="715">
        <f t="shared" si="78"/>
        <v>0</v>
      </c>
      <c r="S396" s="361">
        <f t="shared" si="79"/>
        <v>0</v>
      </c>
    </row>
    <row r="397" spans="1:19">
      <c r="A397" s="3043"/>
      <c r="B397" s="717"/>
      <c r="C397" s="24">
        <f t="shared" si="70"/>
        <v>1</v>
      </c>
      <c r="D397" s="719"/>
      <c r="E397" s="24">
        <f t="shared" si="71"/>
        <v>1</v>
      </c>
      <c r="F397" s="719"/>
      <c r="G397" s="24">
        <f t="shared" si="72"/>
        <v>1</v>
      </c>
      <c r="H397" s="719"/>
      <c r="I397" s="24">
        <f t="shared" si="73"/>
        <v>1</v>
      </c>
      <c r="J397" s="719"/>
      <c r="K397" s="24">
        <f t="shared" si="74"/>
        <v>1</v>
      </c>
      <c r="L397" s="719"/>
      <c r="M397" s="24">
        <f t="shared" si="75"/>
        <v>1</v>
      </c>
      <c r="N397" s="719"/>
      <c r="O397" s="24">
        <f t="shared" si="76"/>
        <v>1</v>
      </c>
      <c r="P397" s="719"/>
      <c r="Q397" s="24">
        <f t="shared" si="77"/>
        <v>0</v>
      </c>
      <c r="R397" s="715">
        <f t="shared" si="78"/>
        <v>0</v>
      </c>
      <c r="S397" s="361">
        <f t="shared" si="79"/>
        <v>0</v>
      </c>
    </row>
    <row r="398" spans="1:19">
      <c r="A398" s="3043"/>
      <c r="B398" s="717"/>
      <c r="C398" s="24">
        <f t="shared" si="70"/>
        <v>1</v>
      </c>
      <c r="D398" s="719"/>
      <c r="E398" s="24">
        <f t="shared" si="71"/>
        <v>1</v>
      </c>
      <c r="F398" s="719"/>
      <c r="G398" s="24">
        <f t="shared" si="72"/>
        <v>1</v>
      </c>
      <c r="H398" s="719"/>
      <c r="I398" s="24">
        <f t="shared" si="73"/>
        <v>1</v>
      </c>
      <c r="J398" s="719"/>
      <c r="K398" s="24">
        <f t="shared" si="74"/>
        <v>1</v>
      </c>
      <c r="L398" s="719"/>
      <c r="M398" s="24">
        <f t="shared" si="75"/>
        <v>1</v>
      </c>
      <c r="N398" s="719"/>
      <c r="O398" s="24">
        <f t="shared" si="76"/>
        <v>1</v>
      </c>
      <c r="P398" s="719"/>
      <c r="Q398" s="24">
        <f t="shared" si="77"/>
        <v>0</v>
      </c>
      <c r="R398" s="715">
        <f t="shared" si="78"/>
        <v>0</v>
      </c>
      <c r="S398" s="361">
        <f t="shared" si="79"/>
        <v>0</v>
      </c>
    </row>
    <row r="399" spans="1:19">
      <c r="A399" s="3043"/>
      <c r="B399" s="717"/>
      <c r="C399" s="24">
        <f t="shared" si="70"/>
        <v>1</v>
      </c>
      <c r="D399" s="719"/>
      <c r="E399" s="24">
        <f t="shared" si="71"/>
        <v>1</v>
      </c>
      <c r="F399" s="719"/>
      <c r="G399" s="24">
        <f t="shared" si="72"/>
        <v>1</v>
      </c>
      <c r="H399" s="719"/>
      <c r="I399" s="24">
        <f t="shared" si="73"/>
        <v>1</v>
      </c>
      <c r="J399" s="719"/>
      <c r="K399" s="24">
        <f t="shared" si="74"/>
        <v>1</v>
      </c>
      <c r="L399" s="719"/>
      <c r="M399" s="24">
        <f t="shared" si="75"/>
        <v>1</v>
      </c>
      <c r="N399" s="719"/>
      <c r="O399" s="24">
        <f t="shared" si="76"/>
        <v>1</v>
      </c>
      <c r="P399" s="719"/>
      <c r="Q399" s="24">
        <f t="shared" si="77"/>
        <v>0</v>
      </c>
      <c r="R399" s="715">
        <f t="shared" si="78"/>
        <v>0</v>
      </c>
      <c r="S399" s="361">
        <f t="shared" si="79"/>
        <v>0</v>
      </c>
    </row>
    <row r="400" spans="1:19">
      <c r="A400" s="3043"/>
      <c r="B400" s="717"/>
      <c r="C400" s="24">
        <f t="shared" si="70"/>
        <v>1</v>
      </c>
      <c r="D400" s="719"/>
      <c r="E400" s="24">
        <f t="shared" si="71"/>
        <v>1</v>
      </c>
      <c r="F400" s="719"/>
      <c r="G400" s="24">
        <f t="shared" si="72"/>
        <v>1</v>
      </c>
      <c r="H400" s="719"/>
      <c r="I400" s="24">
        <f t="shared" si="73"/>
        <v>1</v>
      </c>
      <c r="J400" s="719"/>
      <c r="K400" s="24">
        <f t="shared" si="74"/>
        <v>1</v>
      </c>
      <c r="L400" s="719"/>
      <c r="M400" s="24">
        <f t="shared" si="75"/>
        <v>1</v>
      </c>
      <c r="N400" s="719"/>
      <c r="O400" s="24">
        <f t="shared" si="76"/>
        <v>1</v>
      </c>
      <c r="P400" s="719"/>
      <c r="Q400" s="24">
        <f t="shared" si="77"/>
        <v>0</v>
      </c>
      <c r="R400" s="715">
        <f t="shared" si="78"/>
        <v>0</v>
      </c>
      <c r="S400" s="361">
        <f t="shared" si="79"/>
        <v>0</v>
      </c>
    </row>
    <row r="401" spans="1:19">
      <c r="A401" s="3043"/>
      <c r="B401" s="717"/>
      <c r="C401" s="24">
        <f t="shared" si="70"/>
        <v>1</v>
      </c>
      <c r="D401" s="719"/>
      <c r="E401" s="24">
        <f t="shared" si="71"/>
        <v>1</v>
      </c>
      <c r="F401" s="719"/>
      <c r="G401" s="24">
        <f t="shared" si="72"/>
        <v>1</v>
      </c>
      <c r="H401" s="719"/>
      <c r="I401" s="24">
        <f t="shared" si="73"/>
        <v>1</v>
      </c>
      <c r="J401" s="719"/>
      <c r="K401" s="24">
        <f t="shared" si="74"/>
        <v>1</v>
      </c>
      <c r="L401" s="719"/>
      <c r="M401" s="24">
        <f t="shared" si="75"/>
        <v>1</v>
      </c>
      <c r="N401" s="719"/>
      <c r="O401" s="24">
        <f t="shared" si="76"/>
        <v>1</v>
      </c>
      <c r="P401" s="719"/>
      <c r="Q401" s="24">
        <f t="shared" si="77"/>
        <v>0</v>
      </c>
      <c r="R401" s="715">
        <f t="shared" si="78"/>
        <v>0</v>
      </c>
      <c r="S401" s="361">
        <f t="shared" si="79"/>
        <v>0</v>
      </c>
    </row>
    <row r="402" spans="1:19">
      <c r="A402" s="3043"/>
      <c r="B402" s="717"/>
      <c r="C402" s="24">
        <f t="shared" si="70"/>
        <v>1</v>
      </c>
      <c r="D402" s="719"/>
      <c r="E402" s="24">
        <f t="shared" si="71"/>
        <v>1</v>
      </c>
      <c r="F402" s="719"/>
      <c r="G402" s="24">
        <f t="shared" si="72"/>
        <v>1</v>
      </c>
      <c r="H402" s="719"/>
      <c r="I402" s="24">
        <f t="shared" si="73"/>
        <v>1</v>
      </c>
      <c r="J402" s="719"/>
      <c r="K402" s="24">
        <f t="shared" si="74"/>
        <v>1</v>
      </c>
      <c r="L402" s="719"/>
      <c r="M402" s="24">
        <f t="shared" si="75"/>
        <v>1</v>
      </c>
      <c r="N402" s="719"/>
      <c r="O402" s="24">
        <f t="shared" si="76"/>
        <v>1</v>
      </c>
      <c r="P402" s="719"/>
      <c r="Q402" s="24">
        <f t="shared" si="77"/>
        <v>0</v>
      </c>
      <c r="R402" s="715">
        <f t="shared" si="78"/>
        <v>0</v>
      </c>
      <c r="S402" s="361">
        <f t="shared" si="79"/>
        <v>0</v>
      </c>
    </row>
    <row r="403" spans="1:19">
      <c r="A403" s="3043"/>
      <c r="B403" s="717"/>
      <c r="C403" s="24">
        <f t="shared" si="70"/>
        <v>1</v>
      </c>
      <c r="D403" s="719"/>
      <c r="E403" s="24">
        <f t="shared" si="71"/>
        <v>1</v>
      </c>
      <c r="F403" s="719"/>
      <c r="G403" s="24">
        <f t="shared" si="72"/>
        <v>1</v>
      </c>
      <c r="H403" s="719"/>
      <c r="I403" s="24">
        <f t="shared" si="73"/>
        <v>1</v>
      </c>
      <c r="J403" s="719"/>
      <c r="K403" s="24">
        <f t="shared" si="74"/>
        <v>1</v>
      </c>
      <c r="L403" s="719"/>
      <c r="M403" s="24">
        <f t="shared" si="75"/>
        <v>1</v>
      </c>
      <c r="N403" s="719"/>
      <c r="O403" s="24">
        <f t="shared" si="76"/>
        <v>1</v>
      </c>
      <c r="P403" s="719"/>
      <c r="Q403" s="24">
        <f t="shared" si="77"/>
        <v>0</v>
      </c>
      <c r="R403" s="715">
        <f t="shared" si="78"/>
        <v>0</v>
      </c>
      <c r="S403" s="361">
        <f t="shared" si="79"/>
        <v>0</v>
      </c>
    </row>
    <row r="404" spans="1:19">
      <c r="A404" s="3043"/>
      <c r="B404" s="717"/>
      <c r="C404" s="24">
        <f t="shared" si="70"/>
        <v>1</v>
      </c>
      <c r="D404" s="719"/>
      <c r="E404" s="24">
        <f t="shared" si="71"/>
        <v>1</v>
      </c>
      <c r="F404" s="719"/>
      <c r="G404" s="24">
        <f t="shared" si="72"/>
        <v>1</v>
      </c>
      <c r="H404" s="719"/>
      <c r="I404" s="24">
        <f t="shared" si="73"/>
        <v>1</v>
      </c>
      <c r="J404" s="719"/>
      <c r="K404" s="24">
        <f t="shared" si="74"/>
        <v>1</v>
      </c>
      <c r="L404" s="719"/>
      <c r="M404" s="24">
        <f t="shared" si="75"/>
        <v>1</v>
      </c>
      <c r="N404" s="719"/>
      <c r="O404" s="24">
        <f t="shared" si="76"/>
        <v>1</v>
      </c>
      <c r="P404" s="719"/>
      <c r="Q404" s="24">
        <f t="shared" si="77"/>
        <v>0</v>
      </c>
      <c r="R404" s="715">
        <f t="shared" si="78"/>
        <v>0</v>
      </c>
      <c r="S404" s="361">
        <f t="shared" si="79"/>
        <v>0</v>
      </c>
    </row>
    <row r="405" spans="1:19">
      <c r="A405" s="3043"/>
      <c r="B405" s="717"/>
      <c r="C405" s="24">
        <f t="shared" si="70"/>
        <v>1</v>
      </c>
      <c r="D405" s="719"/>
      <c r="E405" s="24">
        <f t="shared" si="71"/>
        <v>1</v>
      </c>
      <c r="F405" s="719"/>
      <c r="G405" s="24">
        <f t="shared" si="72"/>
        <v>1</v>
      </c>
      <c r="H405" s="719"/>
      <c r="I405" s="24">
        <f t="shared" si="73"/>
        <v>1</v>
      </c>
      <c r="J405" s="719"/>
      <c r="K405" s="24">
        <f t="shared" si="74"/>
        <v>1</v>
      </c>
      <c r="L405" s="719"/>
      <c r="M405" s="24">
        <f t="shared" si="75"/>
        <v>1</v>
      </c>
      <c r="N405" s="719"/>
      <c r="O405" s="24">
        <f t="shared" si="76"/>
        <v>1</v>
      </c>
      <c r="P405" s="719"/>
      <c r="Q405" s="24">
        <f t="shared" si="77"/>
        <v>0</v>
      </c>
      <c r="R405" s="715">
        <f t="shared" si="78"/>
        <v>0</v>
      </c>
      <c r="S405" s="361">
        <f t="shared" si="79"/>
        <v>0</v>
      </c>
    </row>
    <row r="406" spans="1:19">
      <c r="A406" s="3043"/>
      <c r="B406" s="717"/>
      <c r="C406" s="24">
        <f t="shared" si="70"/>
        <v>1</v>
      </c>
      <c r="D406" s="719"/>
      <c r="E406" s="24">
        <f t="shared" si="71"/>
        <v>1</v>
      </c>
      <c r="F406" s="719"/>
      <c r="G406" s="24">
        <f t="shared" si="72"/>
        <v>1</v>
      </c>
      <c r="H406" s="719"/>
      <c r="I406" s="24">
        <f t="shared" si="73"/>
        <v>1</v>
      </c>
      <c r="J406" s="719"/>
      <c r="K406" s="24">
        <f t="shared" si="74"/>
        <v>1</v>
      </c>
      <c r="L406" s="719"/>
      <c r="M406" s="24">
        <f t="shared" si="75"/>
        <v>1</v>
      </c>
      <c r="N406" s="719"/>
      <c r="O406" s="24">
        <f t="shared" si="76"/>
        <v>1</v>
      </c>
      <c r="P406" s="719"/>
      <c r="Q406" s="24">
        <f t="shared" si="77"/>
        <v>0</v>
      </c>
      <c r="R406" s="715">
        <f t="shared" si="78"/>
        <v>0</v>
      </c>
      <c r="S406" s="361">
        <f t="shared" si="79"/>
        <v>0</v>
      </c>
    </row>
    <row r="407" spans="1:19">
      <c r="A407" s="3043"/>
      <c r="B407" s="717"/>
      <c r="C407" s="24">
        <f t="shared" si="70"/>
        <v>1</v>
      </c>
      <c r="D407" s="719"/>
      <c r="E407" s="24">
        <f t="shared" si="71"/>
        <v>1</v>
      </c>
      <c r="F407" s="719"/>
      <c r="G407" s="24">
        <f t="shared" si="72"/>
        <v>1</v>
      </c>
      <c r="H407" s="719"/>
      <c r="I407" s="24">
        <f t="shared" si="73"/>
        <v>1</v>
      </c>
      <c r="J407" s="719"/>
      <c r="K407" s="24">
        <f t="shared" si="74"/>
        <v>1</v>
      </c>
      <c r="L407" s="719"/>
      <c r="M407" s="24">
        <f t="shared" si="75"/>
        <v>1</v>
      </c>
      <c r="N407" s="719"/>
      <c r="O407" s="24">
        <f t="shared" si="76"/>
        <v>1</v>
      </c>
      <c r="P407" s="719"/>
      <c r="Q407" s="24">
        <f t="shared" si="77"/>
        <v>0</v>
      </c>
      <c r="R407" s="715">
        <f t="shared" si="78"/>
        <v>0</v>
      </c>
      <c r="S407" s="361">
        <f t="shared" si="79"/>
        <v>0</v>
      </c>
    </row>
    <row r="408" spans="1:19">
      <c r="A408" s="3043"/>
      <c r="B408" s="717"/>
      <c r="C408" s="24">
        <f t="shared" si="70"/>
        <v>1</v>
      </c>
      <c r="D408" s="719"/>
      <c r="E408" s="24">
        <f t="shared" si="71"/>
        <v>1</v>
      </c>
      <c r="F408" s="719"/>
      <c r="G408" s="24">
        <f t="shared" si="72"/>
        <v>1</v>
      </c>
      <c r="H408" s="719"/>
      <c r="I408" s="24">
        <f t="shared" si="73"/>
        <v>1</v>
      </c>
      <c r="J408" s="719"/>
      <c r="K408" s="24">
        <f t="shared" si="74"/>
        <v>1</v>
      </c>
      <c r="L408" s="719"/>
      <c r="M408" s="24">
        <f t="shared" si="75"/>
        <v>1</v>
      </c>
      <c r="N408" s="719"/>
      <c r="O408" s="24">
        <f t="shared" si="76"/>
        <v>1</v>
      </c>
      <c r="P408" s="719"/>
      <c r="Q408" s="24">
        <f t="shared" si="77"/>
        <v>0</v>
      </c>
      <c r="R408" s="715">
        <f t="shared" si="78"/>
        <v>0</v>
      </c>
      <c r="S408" s="361">
        <f t="shared" si="79"/>
        <v>0</v>
      </c>
    </row>
    <row r="409" spans="1:19">
      <c r="A409" s="3043"/>
      <c r="B409" s="717"/>
      <c r="C409" s="24">
        <f t="shared" si="70"/>
        <v>1</v>
      </c>
      <c r="D409" s="719"/>
      <c r="E409" s="24">
        <f t="shared" si="71"/>
        <v>1</v>
      </c>
      <c r="F409" s="719"/>
      <c r="G409" s="24">
        <f t="shared" si="72"/>
        <v>1</v>
      </c>
      <c r="H409" s="719"/>
      <c r="I409" s="24">
        <f t="shared" si="73"/>
        <v>1</v>
      </c>
      <c r="J409" s="719"/>
      <c r="K409" s="24">
        <f t="shared" si="74"/>
        <v>1</v>
      </c>
      <c r="L409" s="719"/>
      <c r="M409" s="24">
        <f t="shared" si="75"/>
        <v>1</v>
      </c>
      <c r="N409" s="719"/>
      <c r="O409" s="24">
        <f t="shared" si="76"/>
        <v>1</v>
      </c>
      <c r="P409" s="719"/>
      <c r="Q409" s="24">
        <f t="shared" si="77"/>
        <v>0</v>
      </c>
      <c r="R409" s="715">
        <f t="shared" si="78"/>
        <v>0</v>
      </c>
      <c r="S409" s="361">
        <f t="shared" si="79"/>
        <v>0</v>
      </c>
    </row>
    <row r="410" spans="1:19">
      <c r="A410" s="3043"/>
      <c r="B410" s="717"/>
      <c r="C410" s="24">
        <f t="shared" ref="C410:C473" si="80">IF(B410="",1,(LOOKUP(B410,$3:$3,$4:$4)-LOOKUP($B$24,$3:$3,$4:$4)+100)/100)</f>
        <v>1</v>
      </c>
      <c r="D410" s="719"/>
      <c r="E410" s="24">
        <f t="shared" ref="E410:E473" si="81">(SUMIF($5:$5,D410,$6:$6)-SUMIF($5:$5,$D$24,$6:$6)+100)/100</f>
        <v>1</v>
      </c>
      <c r="F410" s="719"/>
      <c r="G410" s="24">
        <f t="shared" ref="G410:G473" si="82">(SUMIF($7:$7,F410,$8:$8)-SUMIF($7:$7,$F$24,$8:$8)+100)/100</f>
        <v>1</v>
      </c>
      <c r="H410" s="719"/>
      <c r="I410" s="24">
        <f t="shared" ref="I410:I473" si="83">(SUMIF($9:$9,H410,$10:$10)-SUMIF($9:$9,$H$24,$10:$10)+100)/100</f>
        <v>1</v>
      </c>
      <c r="J410" s="719"/>
      <c r="K410" s="24">
        <f t="shared" ref="K410:K473" si="84">(SUMIF($11:$11,J410,$12:$12)-SUMIF($11:$11,$J$24,$12:$12)+100)/100</f>
        <v>1</v>
      </c>
      <c r="L410" s="719"/>
      <c r="M410" s="24">
        <f t="shared" ref="M410:M473" si="85">(SUMIF($13:$13,L410,$14:$14)-SUMIF($13:$13,$L$24,$14:$14)+100)/100</f>
        <v>1</v>
      </c>
      <c r="N410" s="719"/>
      <c r="O410" s="24">
        <f t="shared" ref="O410:O473" si="86">(SUMIF($15:$15,N410,$16:$16)-SUMIF($15:$15,$N$24,$16:$16)+100)/100</f>
        <v>1</v>
      </c>
      <c r="P410" s="719"/>
      <c r="Q410" s="24">
        <f t="shared" ref="Q410:Q473" si="87">(SUMIF($17:$17,P410,$18:$18)-SUMIF($17:$17,$P$24,$18:$18)+100)/100</f>
        <v>0</v>
      </c>
      <c r="R410" s="715">
        <f t="shared" ref="R410:R473" si="88">IF(B410="",0,ROUND($R$24*C410*E410*G410*I410*K410*M410*O410*Q410,0))</f>
        <v>0</v>
      </c>
      <c r="S410" s="361">
        <f t="shared" si="79"/>
        <v>0</v>
      </c>
    </row>
    <row r="411" spans="1:19">
      <c r="A411" s="3043"/>
      <c r="B411" s="717"/>
      <c r="C411" s="24">
        <f t="shared" si="80"/>
        <v>1</v>
      </c>
      <c r="D411" s="719"/>
      <c r="E411" s="24">
        <f t="shared" si="81"/>
        <v>1</v>
      </c>
      <c r="F411" s="719"/>
      <c r="G411" s="24">
        <f t="shared" si="82"/>
        <v>1</v>
      </c>
      <c r="H411" s="719"/>
      <c r="I411" s="24">
        <f t="shared" si="83"/>
        <v>1</v>
      </c>
      <c r="J411" s="719"/>
      <c r="K411" s="24">
        <f t="shared" si="84"/>
        <v>1</v>
      </c>
      <c r="L411" s="719"/>
      <c r="M411" s="24">
        <f t="shared" si="85"/>
        <v>1</v>
      </c>
      <c r="N411" s="719"/>
      <c r="O411" s="24">
        <f t="shared" si="86"/>
        <v>1</v>
      </c>
      <c r="P411" s="719"/>
      <c r="Q411" s="24">
        <f t="shared" si="87"/>
        <v>0</v>
      </c>
      <c r="R411" s="715">
        <f t="shared" si="88"/>
        <v>0</v>
      </c>
      <c r="S411" s="361">
        <f t="shared" si="79"/>
        <v>0</v>
      </c>
    </row>
    <row r="412" spans="1:19">
      <c r="A412" s="3043"/>
      <c r="B412" s="717"/>
      <c r="C412" s="24">
        <f t="shared" si="80"/>
        <v>1</v>
      </c>
      <c r="D412" s="719"/>
      <c r="E412" s="24">
        <f t="shared" si="81"/>
        <v>1</v>
      </c>
      <c r="F412" s="719"/>
      <c r="G412" s="24">
        <f t="shared" si="82"/>
        <v>1</v>
      </c>
      <c r="H412" s="719"/>
      <c r="I412" s="24">
        <f t="shared" si="83"/>
        <v>1</v>
      </c>
      <c r="J412" s="719"/>
      <c r="K412" s="24">
        <f t="shared" si="84"/>
        <v>1</v>
      </c>
      <c r="L412" s="719"/>
      <c r="M412" s="24">
        <f t="shared" si="85"/>
        <v>1</v>
      </c>
      <c r="N412" s="719"/>
      <c r="O412" s="24">
        <f t="shared" si="86"/>
        <v>1</v>
      </c>
      <c r="P412" s="719"/>
      <c r="Q412" s="24">
        <f t="shared" si="87"/>
        <v>0</v>
      </c>
      <c r="R412" s="715">
        <f t="shared" si="88"/>
        <v>0</v>
      </c>
      <c r="S412" s="361">
        <f t="shared" si="79"/>
        <v>0</v>
      </c>
    </row>
    <row r="413" spans="1:19">
      <c r="A413" s="3043"/>
      <c r="B413" s="717"/>
      <c r="C413" s="24">
        <f t="shared" si="80"/>
        <v>1</v>
      </c>
      <c r="D413" s="719"/>
      <c r="E413" s="24">
        <f t="shared" si="81"/>
        <v>1</v>
      </c>
      <c r="F413" s="719"/>
      <c r="G413" s="24">
        <f t="shared" si="82"/>
        <v>1</v>
      </c>
      <c r="H413" s="719"/>
      <c r="I413" s="24">
        <f t="shared" si="83"/>
        <v>1</v>
      </c>
      <c r="J413" s="719"/>
      <c r="K413" s="24">
        <f t="shared" si="84"/>
        <v>1</v>
      </c>
      <c r="L413" s="719"/>
      <c r="M413" s="24">
        <f t="shared" si="85"/>
        <v>1</v>
      </c>
      <c r="N413" s="719"/>
      <c r="O413" s="24">
        <f t="shared" si="86"/>
        <v>1</v>
      </c>
      <c r="P413" s="719"/>
      <c r="Q413" s="24">
        <f t="shared" si="87"/>
        <v>0</v>
      </c>
      <c r="R413" s="715">
        <f t="shared" si="88"/>
        <v>0</v>
      </c>
      <c r="S413" s="361">
        <f t="shared" si="79"/>
        <v>0</v>
      </c>
    </row>
    <row r="414" spans="1:19">
      <c r="A414" s="3043"/>
      <c r="B414" s="717"/>
      <c r="C414" s="24">
        <f t="shared" si="80"/>
        <v>1</v>
      </c>
      <c r="D414" s="719"/>
      <c r="E414" s="24">
        <f t="shared" si="81"/>
        <v>1</v>
      </c>
      <c r="F414" s="719"/>
      <c r="G414" s="24">
        <f t="shared" si="82"/>
        <v>1</v>
      </c>
      <c r="H414" s="719"/>
      <c r="I414" s="24">
        <f t="shared" si="83"/>
        <v>1</v>
      </c>
      <c r="J414" s="719"/>
      <c r="K414" s="24">
        <f t="shared" si="84"/>
        <v>1</v>
      </c>
      <c r="L414" s="719"/>
      <c r="M414" s="24">
        <f t="shared" si="85"/>
        <v>1</v>
      </c>
      <c r="N414" s="719"/>
      <c r="O414" s="24">
        <f t="shared" si="86"/>
        <v>1</v>
      </c>
      <c r="P414" s="719"/>
      <c r="Q414" s="24">
        <f t="shared" si="87"/>
        <v>0</v>
      </c>
      <c r="R414" s="715">
        <f t="shared" si="88"/>
        <v>0</v>
      </c>
      <c r="S414" s="361">
        <f t="shared" si="79"/>
        <v>0</v>
      </c>
    </row>
    <row r="415" spans="1:19">
      <c r="A415" s="3043"/>
      <c r="B415" s="717"/>
      <c r="C415" s="24">
        <f t="shared" si="80"/>
        <v>1</v>
      </c>
      <c r="D415" s="719"/>
      <c r="E415" s="24">
        <f t="shared" si="81"/>
        <v>1</v>
      </c>
      <c r="F415" s="719"/>
      <c r="G415" s="24">
        <f t="shared" si="82"/>
        <v>1</v>
      </c>
      <c r="H415" s="719"/>
      <c r="I415" s="24">
        <f t="shared" si="83"/>
        <v>1</v>
      </c>
      <c r="J415" s="719"/>
      <c r="K415" s="24">
        <f t="shared" si="84"/>
        <v>1</v>
      </c>
      <c r="L415" s="719"/>
      <c r="M415" s="24">
        <f t="shared" si="85"/>
        <v>1</v>
      </c>
      <c r="N415" s="719"/>
      <c r="O415" s="24">
        <f t="shared" si="86"/>
        <v>1</v>
      </c>
      <c r="P415" s="719"/>
      <c r="Q415" s="24">
        <f t="shared" si="87"/>
        <v>0</v>
      </c>
      <c r="R415" s="715">
        <f t="shared" si="88"/>
        <v>0</v>
      </c>
      <c r="S415" s="361">
        <f t="shared" si="79"/>
        <v>0</v>
      </c>
    </row>
    <row r="416" spans="1:19">
      <c r="A416" s="3043"/>
      <c r="B416" s="717"/>
      <c r="C416" s="24">
        <f t="shared" si="80"/>
        <v>1</v>
      </c>
      <c r="D416" s="719"/>
      <c r="E416" s="24">
        <f t="shared" si="81"/>
        <v>1</v>
      </c>
      <c r="F416" s="719"/>
      <c r="G416" s="24">
        <f t="shared" si="82"/>
        <v>1</v>
      </c>
      <c r="H416" s="719"/>
      <c r="I416" s="24">
        <f t="shared" si="83"/>
        <v>1</v>
      </c>
      <c r="J416" s="719"/>
      <c r="K416" s="24">
        <f t="shared" si="84"/>
        <v>1</v>
      </c>
      <c r="L416" s="719"/>
      <c r="M416" s="24">
        <f t="shared" si="85"/>
        <v>1</v>
      </c>
      <c r="N416" s="719"/>
      <c r="O416" s="24">
        <f t="shared" si="86"/>
        <v>1</v>
      </c>
      <c r="P416" s="719"/>
      <c r="Q416" s="24">
        <f t="shared" si="87"/>
        <v>0</v>
      </c>
      <c r="R416" s="715">
        <f t="shared" si="88"/>
        <v>0</v>
      </c>
      <c r="S416" s="361">
        <f t="shared" si="79"/>
        <v>0</v>
      </c>
    </row>
    <row r="417" spans="1:19">
      <c r="A417" s="3043"/>
      <c r="B417" s="717"/>
      <c r="C417" s="24">
        <f t="shared" si="80"/>
        <v>1</v>
      </c>
      <c r="D417" s="719"/>
      <c r="E417" s="24">
        <f t="shared" si="81"/>
        <v>1</v>
      </c>
      <c r="F417" s="719"/>
      <c r="G417" s="24">
        <f t="shared" si="82"/>
        <v>1</v>
      </c>
      <c r="H417" s="719"/>
      <c r="I417" s="24">
        <f t="shared" si="83"/>
        <v>1</v>
      </c>
      <c r="J417" s="719"/>
      <c r="K417" s="24">
        <f t="shared" si="84"/>
        <v>1</v>
      </c>
      <c r="L417" s="719"/>
      <c r="M417" s="24">
        <f t="shared" si="85"/>
        <v>1</v>
      </c>
      <c r="N417" s="719"/>
      <c r="O417" s="24">
        <f t="shared" si="86"/>
        <v>1</v>
      </c>
      <c r="P417" s="719"/>
      <c r="Q417" s="24">
        <f t="shared" si="87"/>
        <v>0</v>
      </c>
      <c r="R417" s="715">
        <f t="shared" si="88"/>
        <v>0</v>
      </c>
      <c r="S417" s="361">
        <f t="shared" si="79"/>
        <v>0</v>
      </c>
    </row>
    <row r="418" spans="1:19">
      <c r="A418" s="3043"/>
      <c r="B418" s="717"/>
      <c r="C418" s="24">
        <f t="shared" si="80"/>
        <v>1</v>
      </c>
      <c r="D418" s="719"/>
      <c r="E418" s="24">
        <f t="shared" si="81"/>
        <v>1</v>
      </c>
      <c r="F418" s="719"/>
      <c r="G418" s="24">
        <f t="shared" si="82"/>
        <v>1</v>
      </c>
      <c r="H418" s="719"/>
      <c r="I418" s="24">
        <f t="shared" si="83"/>
        <v>1</v>
      </c>
      <c r="J418" s="719"/>
      <c r="K418" s="24">
        <f t="shared" si="84"/>
        <v>1</v>
      </c>
      <c r="L418" s="719"/>
      <c r="M418" s="24">
        <f t="shared" si="85"/>
        <v>1</v>
      </c>
      <c r="N418" s="719"/>
      <c r="O418" s="24">
        <f t="shared" si="86"/>
        <v>1</v>
      </c>
      <c r="P418" s="719"/>
      <c r="Q418" s="24">
        <f t="shared" si="87"/>
        <v>0</v>
      </c>
      <c r="R418" s="715">
        <f t="shared" si="88"/>
        <v>0</v>
      </c>
      <c r="S418" s="361">
        <f t="shared" si="79"/>
        <v>0</v>
      </c>
    </row>
    <row r="419" spans="1:19">
      <c r="A419" s="3043"/>
      <c r="B419" s="717"/>
      <c r="C419" s="24">
        <f t="shared" si="80"/>
        <v>1</v>
      </c>
      <c r="D419" s="719"/>
      <c r="E419" s="24">
        <f t="shared" si="81"/>
        <v>1</v>
      </c>
      <c r="F419" s="719"/>
      <c r="G419" s="24">
        <f t="shared" si="82"/>
        <v>1</v>
      </c>
      <c r="H419" s="719"/>
      <c r="I419" s="24">
        <f t="shared" si="83"/>
        <v>1</v>
      </c>
      <c r="J419" s="719"/>
      <c r="K419" s="24">
        <f t="shared" si="84"/>
        <v>1</v>
      </c>
      <c r="L419" s="719"/>
      <c r="M419" s="24">
        <f t="shared" si="85"/>
        <v>1</v>
      </c>
      <c r="N419" s="719"/>
      <c r="O419" s="24">
        <f t="shared" si="86"/>
        <v>1</v>
      </c>
      <c r="P419" s="719"/>
      <c r="Q419" s="24">
        <f t="shared" si="87"/>
        <v>0</v>
      </c>
      <c r="R419" s="715">
        <f t="shared" si="88"/>
        <v>0</v>
      </c>
      <c r="S419" s="361">
        <f t="shared" si="79"/>
        <v>0</v>
      </c>
    </row>
    <row r="420" spans="1:19">
      <c r="A420" s="3043"/>
      <c r="B420" s="717"/>
      <c r="C420" s="24">
        <f t="shared" si="80"/>
        <v>1</v>
      </c>
      <c r="D420" s="719"/>
      <c r="E420" s="24">
        <f t="shared" si="81"/>
        <v>1</v>
      </c>
      <c r="F420" s="719"/>
      <c r="G420" s="24">
        <f t="shared" si="82"/>
        <v>1</v>
      </c>
      <c r="H420" s="719"/>
      <c r="I420" s="24">
        <f t="shared" si="83"/>
        <v>1</v>
      </c>
      <c r="J420" s="719"/>
      <c r="K420" s="24">
        <f t="shared" si="84"/>
        <v>1</v>
      </c>
      <c r="L420" s="719"/>
      <c r="M420" s="24">
        <f t="shared" si="85"/>
        <v>1</v>
      </c>
      <c r="N420" s="719"/>
      <c r="O420" s="24">
        <f t="shared" si="86"/>
        <v>1</v>
      </c>
      <c r="P420" s="719"/>
      <c r="Q420" s="24">
        <f t="shared" si="87"/>
        <v>0</v>
      </c>
      <c r="R420" s="715">
        <f t="shared" si="88"/>
        <v>0</v>
      </c>
      <c r="S420" s="361">
        <f t="shared" si="79"/>
        <v>0</v>
      </c>
    </row>
    <row r="421" spans="1:19">
      <c r="A421" s="3043"/>
      <c r="B421" s="717"/>
      <c r="C421" s="24">
        <f t="shared" si="80"/>
        <v>1</v>
      </c>
      <c r="D421" s="719"/>
      <c r="E421" s="24">
        <f t="shared" si="81"/>
        <v>1</v>
      </c>
      <c r="F421" s="719"/>
      <c r="G421" s="24">
        <f t="shared" si="82"/>
        <v>1</v>
      </c>
      <c r="H421" s="719"/>
      <c r="I421" s="24">
        <f t="shared" si="83"/>
        <v>1</v>
      </c>
      <c r="J421" s="719"/>
      <c r="K421" s="24">
        <f t="shared" si="84"/>
        <v>1</v>
      </c>
      <c r="L421" s="719"/>
      <c r="M421" s="24">
        <f t="shared" si="85"/>
        <v>1</v>
      </c>
      <c r="N421" s="719"/>
      <c r="O421" s="24">
        <f t="shared" si="86"/>
        <v>1</v>
      </c>
      <c r="P421" s="719"/>
      <c r="Q421" s="24">
        <f t="shared" si="87"/>
        <v>0</v>
      </c>
      <c r="R421" s="715">
        <f t="shared" si="88"/>
        <v>0</v>
      </c>
      <c r="S421" s="361">
        <f t="shared" si="79"/>
        <v>0</v>
      </c>
    </row>
    <row r="422" spans="1:19">
      <c r="A422" s="3043"/>
      <c r="B422" s="717"/>
      <c r="C422" s="24">
        <f t="shared" si="80"/>
        <v>1</v>
      </c>
      <c r="D422" s="719"/>
      <c r="E422" s="24">
        <f t="shared" si="81"/>
        <v>1</v>
      </c>
      <c r="F422" s="719"/>
      <c r="G422" s="24">
        <f t="shared" si="82"/>
        <v>1</v>
      </c>
      <c r="H422" s="719"/>
      <c r="I422" s="24">
        <f t="shared" si="83"/>
        <v>1</v>
      </c>
      <c r="J422" s="719"/>
      <c r="K422" s="24">
        <f t="shared" si="84"/>
        <v>1</v>
      </c>
      <c r="L422" s="719"/>
      <c r="M422" s="24">
        <f t="shared" si="85"/>
        <v>1</v>
      </c>
      <c r="N422" s="719"/>
      <c r="O422" s="24">
        <f t="shared" si="86"/>
        <v>1</v>
      </c>
      <c r="P422" s="719"/>
      <c r="Q422" s="24">
        <f t="shared" si="87"/>
        <v>0</v>
      </c>
      <c r="R422" s="715">
        <f t="shared" si="88"/>
        <v>0</v>
      </c>
      <c r="S422" s="361">
        <f t="shared" si="79"/>
        <v>0</v>
      </c>
    </row>
    <row r="423" spans="1:19">
      <c r="A423" s="3043"/>
      <c r="B423" s="717"/>
      <c r="C423" s="24">
        <f t="shared" si="80"/>
        <v>1</v>
      </c>
      <c r="D423" s="719"/>
      <c r="E423" s="24">
        <f t="shared" si="81"/>
        <v>1</v>
      </c>
      <c r="F423" s="719"/>
      <c r="G423" s="24">
        <f t="shared" si="82"/>
        <v>1</v>
      </c>
      <c r="H423" s="719"/>
      <c r="I423" s="24">
        <f t="shared" si="83"/>
        <v>1</v>
      </c>
      <c r="J423" s="719"/>
      <c r="K423" s="24">
        <f t="shared" si="84"/>
        <v>1</v>
      </c>
      <c r="L423" s="719"/>
      <c r="M423" s="24">
        <f t="shared" si="85"/>
        <v>1</v>
      </c>
      <c r="N423" s="719"/>
      <c r="O423" s="24">
        <f t="shared" si="86"/>
        <v>1</v>
      </c>
      <c r="P423" s="719"/>
      <c r="Q423" s="24">
        <f t="shared" si="87"/>
        <v>0</v>
      </c>
      <c r="R423" s="715">
        <f t="shared" si="88"/>
        <v>0</v>
      </c>
      <c r="S423" s="361">
        <f t="shared" ref="S423:S467" si="89">ROUND(R423*B423/10000,0)</f>
        <v>0</v>
      </c>
    </row>
    <row r="424" spans="1:19">
      <c r="A424" s="3043"/>
      <c r="B424" s="717"/>
      <c r="C424" s="24">
        <f t="shared" si="80"/>
        <v>1</v>
      </c>
      <c r="D424" s="719"/>
      <c r="E424" s="24">
        <f t="shared" si="81"/>
        <v>1</v>
      </c>
      <c r="F424" s="719"/>
      <c r="G424" s="24">
        <f t="shared" si="82"/>
        <v>1</v>
      </c>
      <c r="H424" s="719"/>
      <c r="I424" s="24">
        <f t="shared" si="83"/>
        <v>1</v>
      </c>
      <c r="J424" s="719"/>
      <c r="K424" s="24">
        <f t="shared" si="84"/>
        <v>1</v>
      </c>
      <c r="L424" s="719"/>
      <c r="M424" s="24">
        <f t="shared" si="85"/>
        <v>1</v>
      </c>
      <c r="N424" s="719"/>
      <c r="O424" s="24">
        <f t="shared" si="86"/>
        <v>1</v>
      </c>
      <c r="P424" s="719"/>
      <c r="Q424" s="24">
        <f t="shared" si="87"/>
        <v>0</v>
      </c>
      <c r="R424" s="715">
        <f t="shared" si="88"/>
        <v>0</v>
      </c>
      <c r="S424" s="361">
        <f t="shared" si="89"/>
        <v>0</v>
      </c>
    </row>
    <row r="425" spans="1:19">
      <c r="A425" s="3043"/>
      <c r="B425" s="717"/>
      <c r="C425" s="24">
        <f t="shared" si="80"/>
        <v>1</v>
      </c>
      <c r="D425" s="719"/>
      <c r="E425" s="24">
        <f t="shared" si="81"/>
        <v>1</v>
      </c>
      <c r="F425" s="719"/>
      <c r="G425" s="24">
        <f t="shared" si="82"/>
        <v>1</v>
      </c>
      <c r="H425" s="719"/>
      <c r="I425" s="24">
        <f t="shared" si="83"/>
        <v>1</v>
      </c>
      <c r="J425" s="719"/>
      <c r="K425" s="24">
        <f t="shared" si="84"/>
        <v>1</v>
      </c>
      <c r="L425" s="719"/>
      <c r="M425" s="24">
        <f t="shared" si="85"/>
        <v>1</v>
      </c>
      <c r="N425" s="719"/>
      <c r="O425" s="24">
        <f t="shared" si="86"/>
        <v>1</v>
      </c>
      <c r="P425" s="719"/>
      <c r="Q425" s="24">
        <f t="shared" si="87"/>
        <v>0</v>
      </c>
      <c r="R425" s="715">
        <f t="shared" si="88"/>
        <v>0</v>
      </c>
      <c r="S425" s="361">
        <f t="shared" si="89"/>
        <v>0</v>
      </c>
    </row>
    <row r="426" spans="1:19">
      <c r="A426" s="3043"/>
      <c r="B426" s="717"/>
      <c r="C426" s="24">
        <f t="shared" si="80"/>
        <v>1</v>
      </c>
      <c r="D426" s="719"/>
      <c r="E426" s="24">
        <f t="shared" si="81"/>
        <v>1</v>
      </c>
      <c r="F426" s="719"/>
      <c r="G426" s="24">
        <f t="shared" si="82"/>
        <v>1</v>
      </c>
      <c r="H426" s="719"/>
      <c r="I426" s="24">
        <f t="shared" si="83"/>
        <v>1</v>
      </c>
      <c r="J426" s="719"/>
      <c r="K426" s="24">
        <f t="shared" si="84"/>
        <v>1</v>
      </c>
      <c r="L426" s="719"/>
      <c r="M426" s="24">
        <f t="shared" si="85"/>
        <v>1</v>
      </c>
      <c r="N426" s="719"/>
      <c r="O426" s="24">
        <f t="shared" si="86"/>
        <v>1</v>
      </c>
      <c r="P426" s="719"/>
      <c r="Q426" s="24">
        <f t="shared" si="87"/>
        <v>0</v>
      </c>
      <c r="R426" s="715">
        <f t="shared" si="88"/>
        <v>0</v>
      </c>
      <c r="S426" s="361">
        <f t="shared" si="89"/>
        <v>0</v>
      </c>
    </row>
    <row r="427" spans="1:19">
      <c r="A427" s="3043"/>
      <c r="B427" s="717"/>
      <c r="C427" s="24">
        <f t="shared" si="80"/>
        <v>1</v>
      </c>
      <c r="D427" s="719"/>
      <c r="E427" s="24">
        <f t="shared" si="81"/>
        <v>1</v>
      </c>
      <c r="F427" s="719"/>
      <c r="G427" s="24">
        <f t="shared" si="82"/>
        <v>1</v>
      </c>
      <c r="H427" s="719"/>
      <c r="I427" s="24">
        <f t="shared" si="83"/>
        <v>1</v>
      </c>
      <c r="J427" s="719"/>
      <c r="K427" s="24">
        <f t="shared" si="84"/>
        <v>1</v>
      </c>
      <c r="L427" s="719"/>
      <c r="M427" s="24">
        <f t="shared" si="85"/>
        <v>1</v>
      </c>
      <c r="N427" s="719"/>
      <c r="O427" s="24">
        <f t="shared" si="86"/>
        <v>1</v>
      </c>
      <c r="P427" s="719"/>
      <c r="Q427" s="24">
        <f t="shared" si="87"/>
        <v>0</v>
      </c>
      <c r="R427" s="715">
        <f t="shared" si="88"/>
        <v>0</v>
      </c>
      <c r="S427" s="361">
        <f t="shared" si="89"/>
        <v>0</v>
      </c>
    </row>
    <row r="428" spans="1:19">
      <c r="A428" s="3043"/>
      <c r="B428" s="717"/>
      <c r="C428" s="24">
        <f t="shared" si="80"/>
        <v>1</v>
      </c>
      <c r="D428" s="719"/>
      <c r="E428" s="24">
        <f t="shared" si="81"/>
        <v>1</v>
      </c>
      <c r="F428" s="719"/>
      <c r="G428" s="24">
        <f t="shared" si="82"/>
        <v>1</v>
      </c>
      <c r="H428" s="719"/>
      <c r="I428" s="24">
        <f t="shared" si="83"/>
        <v>1</v>
      </c>
      <c r="J428" s="719"/>
      <c r="K428" s="24">
        <f t="shared" si="84"/>
        <v>1</v>
      </c>
      <c r="L428" s="719"/>
      <c r="M428" s="24">
        <f t="shared" si="85"/>
        <v>1</v>
      </c>
      <c r="N428" s="719"/>
      <c r="O428" s="24">
        <f t="shared" si="86"/>
        <v>1</v>
      </c>
      <c r="P428" s="719"/>
      <c r="Q428" s="24">
        <f t="shared" si="87"/>
        <v>0</v>
      </c>
      <c r="R428" s="715">
        <f t="shared" si="88"/>
        <v>0</v>
      </c>
      <c r="S428" s="361">
        <f t="shared" si="89"/>
        <v>0</v>
      </c>
    </row>
    <row r="429" spans="1:19">
      <c r="A429" s="3043"/>
      <c r="B429" s="717"/>
      <c r="C429" s="24">
        <f t="shared" si="80"/>
        <v>1</v>
      </c>
      <c r="D429" s="719"/>
      <c r="E429" s="24">
        <f t="shared" si="81"/>
        <v>1</v>
      </c>
      <c r="F429" s="719"/>
      <c r="G429" s="24">
        <f t="shared" si="82"/>
        <v>1</v>
      </c>
      <c r="H429" s="719"/>
      <c r="I429" s="24">
        <f t="shared" si="83"/>
        <v>1</v>
      </c>
      <c r="J429" s="719"/>
      <c r="K429" s="24">
        <f t="shared" si="84"/>
        <v>1</v>
      </c>
      <c r="L429" s="719"/>
      <c r="M429" s="24">
        <f t="shared" si="85"/>
        <v>1</v>
      </c>
      <c r="N429" s="719"/>
      <c r="O429" s="24">
        <f t="shared" si="86"/>
        <v>1</v>
      </c>
      <c r="P429" s="719"/>
      <c r="Q429" s="24">
        <f t="shared" si="87"/>
        <v>0</v>
      </c>
      <c r="R429" s="715">
        <f t="shared" si="88"/>
        <v>0</v>
      </c>
      <c r="S429" s="361">
        <f t="shared" si="89"/>
        <v>0</v>
      </c>
    </row>
    <row r="430" spans="1:19">
      <c r="A430" s="3043"/>
      <c r="B430" s="717"/>
      <c r="C430" s="24">
        <f t="shared" si="80"/>
        <v>1</v>
      </c>
      <c r="D430" s="719"/>
      <c r="E430" s="24">
        <f t="shared" si="81"/>
        <v>1</v>
      </c>
      <c r="F430" s="719"/>
      <c r="G430" s="24">
        <f t="shared" si="82"/>
        <v>1</v>
      </c>
      <c r="H430" s="719"/>
      <c r="I430" s="24">
        <f t="shared" si="83"/>
        <v>1</v>
      </c>
      <c r="J430" s="719"/>
      <c r="K430" s="24">
        <f t="shared" si="84"/>
        <v>1</v>
      </c>
      <c r="L430" s="719"/>
      <c r="M430" s="24">
        <f t="shared" si="85"/>
        <v>1</v>
      </c>
      <c r="N430" s="719"/>
      <c r="O430" s="24">
        <f t="shared" si="86"/>
        <v>1</v>
      </c>
      <c r="P430" s="719"/>
      <c r="Q430" s="24">
        <f t="shared" si="87"/>
        <v>0</v>
      </c>
      <c r="R430" s="715">
        <f t="shared" si="88"/>
        <v>0</v>
      </c>
      <c r="S430" s="361">
        <f t="shared" si="89"/>
        <v>0</v>
      </c>
    </row>
    <row r="431" spans="1:19">
      <c r="A431" s="3043"/>
      <c r="B431" s="717"/>
      <c r="C431" s="24">
        <f t="shared" si="80"/>
        <v>1</v>
      </c>
      <c r="D431" s="719"/>
      <c r="E431" s="24">
        <f t="shared" si="81"/>
        <v>1</v>
      </c>
      <c r="F431" s="719"/>
      <c r="G431" s="24">
        <f t="shared" si="82"/>
        <v>1</v>
      </c>
      <c r="H431" s="719"/>
      <c r="I431" s="24">
        <f t="shared" si="83"/>
        <v>1</v>
      </c>
      <c r="J431" s="719"/>
      <c r="K431" s="24">
        <f t="shared" si="84"/>
        <v>1</v>
      </c>
      <c r="L431" s="719"/>
      <c r="M431" s="24">
        <f t="shared" si="85"/>
        <v>1</v>
      </c>
      <c r="N431" s="719"/>
      <c r="O431" s="24">
        <f t="shared" si="86"/>
        <v>1</v>
      </c>
      <c r="P431" s="719"/>
      <c r="Q431" s="24">
        <f t="shared" si="87"/>
        <v>0</v>
      </c>
      <c r="R431" s="715">
        <f t="shared" si="88"/>
        <v>0</v>
      </c>
      <c r="S431" s="361">
        <f t="shared" si="89"/>
        <v>0</v>
      </c>
    </row>
    <row r="432" spans="1:19">
      <c r="A432" s="3043"/>
      <c r="B432" s="717"/>
      <c r="C432" s="24">
        <f t="shared" si="80"/>
        <v>1</v>
      </c>
      <c r="D432" s="719"/>
      <c r="E432" s="24">
        <f t="shared" si="81"/>
        <v>1</v>
      </c>
      <c r="F432" s="719"/>
      <c r="G432" s="24">
        <f t="shared" si="82"/>
        <v>1</v>
      </c>
      <c r="H432" s="719"/>
      <c r="I432" s="24">
        <f t="shared" si="83"/>
        <v>1</v>
      </c>
      <c r="J432" s="719"/>
      <c r="K432" s="24">
        <f t="shared" si="84"/>
        <v>1</v>
      </c>
      <c r="L432" s="719"/>
      <c r="M432" s="24">
        <f t="shared" si="85"/>
        <v>1</v>
      </c>
      <c r="N432" s="719"/>
      <c r="O432" s="24">
        <f t="shared" si="86"/>
        <v>1</v>
      </c>
      <c r="P432" s="719"/>
      <c r="Q432" s="24">
        <f t="shared" si="87"/>
        <v>0</v>
      </c>
      <c r="R432" s="715">
        <f t="shared" si="88"/>
        <v>0</v>
      </c>
      <c r="S432" s="361">
        <f t="shared" si="89"/>
        <v>0</v>
      </c>
    </row>
    <row r="433" spans="1:19">
      <c r="A433" s="3043"/>
      <c r="B433" s="717"/>
      <c r="C433" s="24">
        <f t="shared" si="80"/>
        <v>1</v>
      </c>
      <c r="D433" s="719"/>
      <c r="E433" s="24">
        <f t="shared" si="81"/>
        <v>1</v>
      </c>
      <c r="F433" s="719"/>
      <c r="G433" s="24">
        <f t="shared" si="82"/>
        <v>1</v>
      </c>
      <c r="H433" s="719"/>
      <c r="I433" s="24">
        <f t="shared" si="83"/>
        <v>1</v>
      </c>
      <c r="J433" s="719"/>
      <c r="K433" s="24">
        <f t="shared" si="84"/>
        <v>1</v>
      </c>
      <c r="L433" s="719"/>
      <c r="M433" s="24">
        <f t="shared" si="85"/>
        <v>1</v>
      </c>
      <c r="N433" s="719"/>
      <c r="O433" s="24">
        <f t="shared" si="86"/>
        <v>1</v>
      </c>
      <c r="P433" s="719"/>
      <c r="Q433" s="24">
        <f t="shared" si="87"/>
        <v>0</v>
      </c>
      <c r="R433" s="715">
        <f t="shared" si="88"/>
        <v>0</v>
      </c>
      <c r="S433" s="361">
        <f t="shared" si="89"/>
        <v>0</v>
      </c>
    </row>
    <row r="434" spans="1:19">
      <c r="A434" s="3043"/>
      <c r="B434" s="717"/>
      <c r="C434" s="24">
        <f t="shared" si="80"/>
        <v>1</v>
      </c>
      <c r="D434" s="719"/>
      <c r="E434" s="24">
        <f t="shared" si="81"/>
        <v>1</v>
      </c>
      <c r="F434" s="719"/>
      <c r="G434" s="24">
        <f t="shared" si="82"/>
        <v>1</v>
      </c>
      <c r="H434" s="719"/>
      <c r="I434" s="24">
        <f t="shared" si="83"/>
        <v>1</v>
      </c>
      <c r="J434" s="719"/>
      <c r="K434" s="24">
        <f t="shared" si="84"/>
        <v>1</v>
      </c>
      <c r="L434" s="719"/>
      <c r="M434" s="24">
        <f t="shared" si="85"/>
        <v>1</v>
      </c>
      <c r="N434" s="719"/>
      <c r="O434" s="24">
        <f t="shared" si="86"/>
        <v>1</v>
      </c>
      <c r="P434" s="719"/>
      <c r="Q434" s="24">
        <f t="shared" si="87"/>
        <v>0</v>
      </c>
      <c r="R434" s="715">
        <f t="shared" si="88"/>
        <v>0</v>
      </c>
      <c r="S434" s="361">
        <f t="shared" si="89"/>
        <v>0</v>
      </c>
    </row>
    <row r="435" spans="1:19">
      <c r="A435" s="3043"/>
      <c r="B435" s="717"/>
      <c r="C435" s="24">
        <f t="shared" si="80"/>
        <v>1</v>
      </c>
      <c r="D435" s="719"/>
      <c r="E435" s="24">
        <f t="shared" si="81"/>
        <v>1</v>
      </c>
      <c r="F435" s="719"/>
      <c r="G435" s="24">
        <f t="shared" si="82"/>
        <v>1</v>
      </c>
      <c r="H435" s="719"/>
      <c r="I435" s="24">
        <f t="shared" si="83"/>
        <v>1</v>
      </c>
      <c r="J435" s="719"/>
      <c r="K435" s="24">
        <f t="shared" si="84"/>
        <v>1</v>
      </c>
      <c r="L435" s="719"/>
      <c r="M435" s="24">
        <f t="shared" si="85"/>
        <v>1</v>
      </c>
      <c r="N435" s="719"/>
      <c r="O435" s="24">
        <f t="shared" si="86"/>
        <v>1</v>
      </c>
      <c r="P435" s="719"/>
      <c r="Q435" s="24">
        <f t="shared" si="87"/>
        <v>0</v>
      </c>
      <c r="R435" s="715">
        <f t="shared" si="88"/>
        <v>0</v>
      </c>
      <c r="S435" s="361">
        <f t="shared" si="89"/>
        <v>0</v>
      </c>
    </row>
    <row r="436" spans="1:19">
      <c r="A436" s="3043"/>
      <c r="B436" s="717"/>
      <c r="C436" s="24">
        <f t="shared" si="80"/>
        <v>1</v>
      </c>
      <c r="D436" s="719"/>
      <c r="E436" s="24">
        <f t="shared" si="81"/>
        <v>1</v>
      </c>
      <c r="F436" s="719"/>
      <c r="G436" s="24">
        <f t="shared" si="82"/>
        <v>1</v>
      </c>
      <c r="H436" s="719"/>
      <c r="I436" s="24">
        <f t="shared" si="83"/>
        <v>1</v>
      </c>
      <c r="J436" s="719"/>
      <c r="K436" s="24">
        <f t="shared" si="84"/>
        <v>1</v>
      </c>
      <c r="L436" s="719"/>
      <c r="M436" s="24">
        <f t="shared" si="85"/>
        <v>1</v>
      </c>
      <c r="N436" s="719"/>
      <c r="O436" s="24">
        <f t="shared" si="86"/>
        <v>1</v>
      </c>
      <c r="P436" s="719"/>
      <c r="Q436" s="24">
        <f t="shared" si="87"/>
        <v>0</v>
      </c>
      <c r="R436" s="715">
        <f t="shared" si="88"/>
        <v>0</v>
      </c>
      <c r="S436" s="361">
        <f t="shared" si="89"/>
        <v>0</v>
      </c>
    </row>
    <row r="437" spans="1:19">
      <c r="A437" s="3043"/>
      <c r="B437" s="717"/>
      <c r="C437" s="24">
        <f t="shared" si="80"/>
        <v>1</v>
      </c>
      <c r="D437" s="719"/>
      <c r="E437" s="24">
        <f t="shared" si="81"/>
        <v>1</v>
      </c>
      <c r="F437" s="719"/>
      <c r="G437" s="24">
        <f t="shared" si="82"/>
        <v>1</v>
      </c>
      <c r="H437" s="719"/>
      <c r="I437" s="24">
        <f t="shared" si="83"/>
        <v>1</v>
      </c>
      <c r="J437" s="719"/>
      <c r="K437" s="24">
        <f t="shared" si="84"/>
        <v>1</v>
      </c>
      <c r="L437" s="719"/>
      <c r="M437" s="24">
        <f t="shared" si="85"/>
        <v>1</v>
      </c>
      <c r="N437" s="719"/>
      <c r="O437" s="24">
        <f t="shared" si="86"/>
        <v>1</v>
      </c>
      <c r="P437" s="719"/>
      <c r="Q437" s="24">
        <f t="shared" si="87"/>
        <v>0</v>
      </c>
      <c r="R437" s="715">
        <f t="shared" si="88"/>
        <v>0</v>
      </c>
      <c r="S437" s="361">
        <f t="shared" si="89"/>
        <v>0</v>
      </c>
    </row>
    <row r="438" spans="1:19">
      <c r="A438" s="3043"/>
      <c r="B438" s="717"/>
      <c r="C438" s="24">
        <f t="shared" si="80"/>
        <v>1</v>
      </c>
      <c r="D438" s="719"/>
      <c r="E438" s="24">
        <f t="shared" si="81"/>
        <v>1</v>
      </c>
      <c r="F438" s="719"/>
      <c r="G438" s="24">
        <f t="shared" si="82"/>
        <v>1</v>
      </c>
      <c r="H438" s="719"/>
      <c r="I438" s="24">
        <f t="shared" si="83"/>
        <v>1</v>
      </c>
      <c r="J438" s="719"/>
      <c r="K438" s="24">
        <f t="shared" si="84"/>
        <v>1</v>
      </c>
      <c r="L438" s="719"/>
      <c r="M438" s="24">
        <f t="shared" si="85"/>
        <v>1</v>
      </c>
      <c r="N438" s="719"/>
      <c r="O438" s="24">
        <f t="shared" si="86"/>
        <v>1</v>
      </c>
      <c r="P438" s="719"/>
      <c r="Q438" s="24">
        <f t="shared" si="87"/>
        <v>0</v>
      </c>
      <c r="R438" s="715">
        <f t="shared" si="88"/>
        <v>0</v>
      </c>
      <c r="S438" s="361">
        <f t="shared" si="89"/>
        <v>0</v>
      </c>
    </row>
    <row r="439" spans="1:19">
      <c r="A439" s="3043"/>
      <c r="B439" s="717"/>
      <c r="C439" s="24">
        <f t="shared" si="80"/>
        <v>1</v>
      </c>
      <c r="D439" s="719"/>
      <c r="E439" s="24">
        <f t="shared" si="81"/>
        <v>1</v>
      </c>
      <c r="F439" s="719"/>
      <c r="G439" s="24">
        <f t="shared" si="82"/>
        <v>1</v>
      </c>
      <c r="H439" s="719"/>
      <c r="I439" s="24">
        <f t="shared" si="83"/>
        <v>1</v>
      </c>
      <c r="J439" s="719"/>
      <c r="K439" s="24">
        <f t="shared" si="84"/>
        <v>1</v>
      </c>
      <c r="L439" s="719"/>
      <c r="M439" s="24">
        <f t="shared" si="85"/>
        <v>1</v>
      </c>
      <c r="N439" s="719"/>
      <c r="O439" s="24">
        <f t="shared" si="86"/>
        <v>1</v>
      </c>
      <c r="P439" s="719"/>
      <c r="Q439" s="24">
        <f t="shared" si="87"/>
        <v>0</v>
      </c>
      <c r="R439" s="715">
        <f t="shared" si="88"/>
        <v>0</v>
      </c>
      <c r="S439" s="361">
        <f t="shared" si="89"/>
        <v>0</v>
      </c>
    </row>
    <row r="440" spans="1:19">
      <c r="A440" s="3043"/>
      <c r="B440" s="717"/>
      <c r="C440" s="24">
        <f t="shared" si="80"/>
        <v>1</v>
      </c>
      <c r="D440" s="719"/>
      <c r="E440" s="24">
        <f t="shared" si="81"/>
        <v>1</v>
      </c>
      <c r="F440" s="719"/>
      <c r="G440" s="24">
        <f t="shared" si="82"/>
        <v>1</v>
      </c>
      <c r="H440" s="719"/>
      <c r="I440" s="24">
        <f t="shared" si="83"/>
        <v>1</v>
      </c>
      <c r="J440" s="719"/>
      <c r="K440" s="24">
        <f t="shared" si="84"/>
        <v>1</v>
      </c>
      <c r="L440" s="719"/>
      <c r="M440" s="24">
        <f t="shared" si="85"/>
        <v>1</v>
      </c>
      <c r="N440" s="719"/>
      <c r="O440" s="24">
        <f t="shared" si="86"/>
        <v>1</v>
      </c>
      <c r="P440" s="719"/>
      <c r="Q440" s="24">
        <f t="shared" si="87"/>
        <v>0</v>
      </c>
      <c r="R440" s="715">
        <f t="shared" si="88"/>
        <v>0</v>
      </c>
      <c r="S440" s="361">
        <f t="shared" si="89"/>
        <v>0</v>
      </c>
    </row>
    <row r="441" spans="1:19">
      <c r="A441" s="3043"/>
      <c r="B441" s="717"/>
      <c r="C441" s="24">
        <f t="shared" si="80"/>
        <v>1</v>
      </c>
      <c r="D441" s="719"/>
      <c r="E441" s="24">
        <f t="shared" si="81"/>
        <v>1</v>
      </c>
      <c r="F441" s="719"/>
      <c r="G441" s="24">
        <f t="shared" si="82"/>
        <v>1</v>
      </c>
      <c r="H441" s="719"/>
      <c r="I441" s="24">
        <f t="shared" si="83"/>
        <v>1</v>
      </c>
      <c r="J441" s="719"/>
      <c r="K441" s="24">
        <f t="shared" si="84"/>
        <v>1</v>
      </c>
      <c r="L441" s="719"/>
      <c r="M441" s="24">
        <f t="shared" si="85"/>
        <v>1</v>
      </c>
      <c r="N441" s="719"/>
      <c r="O441" s="24">
        <f t="shared" si="86"/>
        <v>1</v>
      </c>
      <c r="P441" s="719"/>
      <c r="Q441" s="24">
        <f t="shared" si="87"/>
        <v>0</v>
      </c>
      <c r="R441" s="715">
        <f t="shared" si="88"/>
        <v>0</v>
      </c>
      <c r="S441" s="361">
        <f t="shared" si="89"/>
        <v>0</v>
      </c>
    </row>
    <row r="442" spans="1:19">
      <c r="A442" s="3043"/>
      <c r="B442" s="717"/>
      <c r="C442" s="24">
        <f t="shared" si="80"/>
        <v>1</v>
      </c>
      <c r="D442" s="719"/>
      <c r="E442" s="24">
        <f t="shared" si="81"/>
        <v>1</v>
      </c>
      <c r="F442" s="719"/>
      <c r="G442" s="24">
        <f t="shared" si="82"/>
        <v>1</v>
      </c>
      <c r="H442" s="719"/>
      <c r="I442" s="24">
        <f t="shared" si="83"/>
        <v>1</v>
      </c>
      <c r="J442" s="719"/>
      <c r="K442" s="24">
        <f t="shared" si="84"/>
        <v>1</v>
      </c>
      <c r="L442" s="719"/>
      <c r="M442" s="24">
        <f t="shared" si="85"/>
        <v>1</v>
      </c>
      <c r="N442" s="719"/>
      <c r="O442" s="24">
        <f t="shared" si="86"/>
        <v>1</v>
      </c>
      <c r="P442" s="719"/>
      <c r="Q442" s="24">
        <f t="shared" si="87"/>
        <v>0</v>
      </c>
      <c r="R442" s="715">
        <f t="shared" si="88"/>
        <v>0</v>
      </c>
      <c r="S442" s="361">
        <f t="shared" si="89"/>
        <v>0</v>
      </c>
    </row>
    <row r="443" spans="1:19">
      <c r="A443" s="3043"/>
      <c r="B443" s="717"/>
      <c r="C443" s="24">
        <f t="shared" si="80"/>
        <v>1</v>
      </c>
      <c r="D443" s="719"/>
      <c r="E443" s="24">
        <f t="shared" si="81"/>
        <v>1</v>
      </c>
      <c r="F443" s="719"/>
      <c r="G443" s="24">
        <f t="shared" si="82"/>
        <v>1</v>
      </c>
      <c r="H443" s="719"/>
      <c r="I443" s="24">
        <f t="shared" si="83"/>
        <v>1</v>
      </c>
      <c r="J443" s="719"/>
      <c r="K443" s="24">
        <f t="shared" si="84"/>
        <v>1</v>
      </c>
      <c r="L443" s="719"/>
      <c r="M443" s="24">
        <f t="shared" si="85"/>
        <v>1</v>
      </c>
      <c r="N443" s="719"/>
      <c r="O443" s="24">
        <f t="shared" si="86"/>
        <v>1</v>
      </c>
      <c r="P443" s="719"/>
      <c r="Q443" s="24">
        <f t="shared" si="87"/>
        <v>0</v>
      </c>
      <c r="R443" s="715">
        <f t="shared" si="88"/>
        <v>0</v>
      </c>
      <c r="S443" s="361">
        <f t="shared" si="89"/>
        <v>0</v>
      </c>
    </row>
    <row r="444" spans="1:19">
      <c r="A444" s="3043"/>
      <c r="B444" s="717"/>
      <c r="C444" s="24">
        <f t="shared" si="80"/>
        <v>1</v>
      </c>
      <c r="D444" s="719"/>
      <c r="E444" s="24">
        <f t="shared" si="81"/>
        <v>1</v>
      </c>
      <c r="F444" s="719"/>
      <c r="G444" s="24">
        <f t="shared" si="82"/>
        <v>1</v>
      </c>
      <c r="H444" s="719"/>
      <c r="I444" s="24">
        <f t="shared" si="83"/>
        <v>1</v>
      </c>
      <c r="J444" s="719"/>
      <c r="K444" s="24">
        <f t="shared" si="84"/>
        <v>1</v>
      </c>
      <c r="L444" s="719"/>
      <c r="M444" s="24">
        <f t="shared" si="85"/>
        <v>1</v>
      </c>
      <c r="N444" s="719"/>
      <c r="O444" s="24">
        <f t="shared" si="86"/>
        <v>1</v>
      </c>
      <c r="P444" s="719"/>
      <c r="Q444" s="24">
        <f t="shared" si="87"/>
        <v>0</v>
      </c>
      <c r="R444" s="715">
        <f t="shared" si="88"/>
        <v>0</v>
      </c>
      <c r="S444" s="361">
        <f t="shared" si="89"/>
        <v>0</v>
      </c>
    </row>
    <row r="445" spans="1:19">
      <c r="A445" s="3043"/>
      <c r="B445" s="717"/>
      <c r="C445" s="24">
        <f t="shared" si="80"/>
        <v>1</v>
      </c>
      <c r="D445" s="719"/>
      <c r="E445" s="24">
        <f t="shared" si="81"/>
        <v>1</v>
      </c>
      <c r="F445" s="719"/>
      <c r="G445" s="24">
        <f t="shared" si="82"/>
        <v>1</v>
      </c>
      <c r="H445" s="719"/>
      <c r="I445" s="24">
        <f t="shared" si="83"/>
        <v>1</v>
      </c>
      <c r="J445" s="719"/>
      <c r="K445" s="24">
        <f t="shared" si="84"/>
        <v>1</v>
      </c>
      <c r="L445" s="719"/>
      <c r="M445" s="24">
        <f t="shared" si="85"/>
        <v>1</v>
      </c>
      <c r="N445" s="719"/>
      <c r="O445" s="24">
        <f t="shared" si="86"/>
        <v>1</v>
      </c>
      <c r="P445" s="719"/>
      <c r="Q445" s="24">
        <f t="shared" si="87"/>
        <v>0</v>
      </c>
      <c r="R445" s="715">
        <f t="shared" si="88"/>
        <v>0</v>
      </c>
      <c r="S445" s="361">
        <f t="shared" si="89"/>
        <v>0</v>
      </c>
    </row>
    <row r="446" spans="1:19">
      <c r="A446" s="3043"/>
      <c r="B446" s="717"/>
      <c r="C446" s="24">
        <f t="shared" si="80"/>
        <v>1</v>
      </c>
      <c r="D446" s="719"/>
      <c r="E446" s="24">
        <f t="shared" si="81"/>
        <v>1</v>
      </c>
      <c r="F446" s="719"/>
      <c r="G446" s="24">
        <f t="shared" si="82"/>
        <v>1</v>
      </c>
      <c r="H446" s="719"/>
      <c r="I446" s="24">
        <f t="shared" si="83"/>
        <v>1</v>
      </c>
      <c r="J446" s="719"/>
      <c r="K446" s="24">
        <f t="shared" si="84"/>
        <v>1</v>
      </c>
      <c r="L446" s="719"/>
      <c r="M446" s="24">
        <f t="shared" si="85"/>
        <v>1</v>
      </c>
      <c r="N446" s="719"/>
      <c r="O446" s="24">
        <f t="shared" si="86"/>
        <v>1</v>
      </c>
      <c r="P446" s="719"/>
      <c r="Q446" s="24">
        <f t="shared" si="87"/>
        <v>0</v>
      </c>
      <c r="R446" s="715">
        <f t="shared" si="88"/>
        <v>0</v>
      </c>
      <c r="S446" s="361">
        <f t="shared" si="89"/>
        <v>0</v>
      </c>
    </row>
    <row r="447" spans="1:19">
      <c r="A447" s="3043"/>
      <c r="B447" s="717"/>
      <c r="C447" s="24">
        <f t="shared" si="80"/>
        <v>1</v>
      </c>
      <c r="D447" s="719"/>
      <c r="E447" s="24">
        <f t="shared" si="81"/>
        <v>1</v>
      </c>
      <c r="F447" s="719"/>
      <c r="G447" s="24">
        <f t="shared" si="82"/>
        <v>1</v>
      </c>
      <c r="H447" s="719"/>
      <c r="I447" s="24">
        <f t="shared" si="83"/>
        <v>1</v>
      </c>
      <c r="J447" s="719"/>
      <c r="K447" s="24">
        <f t="shared" si="84"/>
        <v>1</v>
      </c>
      <c r="L447" s="719"/>
      <c r="M447" s="24">
        <f t="shared" si="85"/>
        <v>1</v>
      </c>
      <c r="N447" s="719"/>
      <c r="O447" s="24">
        <f t="shared" si="86"/>
        <v>1</v>
      </c>
      <c r="P447" s="719"/>
      <c r="Q447" s="24">
        <f t="shared" si="87"/>
        <v>0</v>
      </c>
      <c r="R447" s="715">
        <f t="shared" si="88"/>
        <v>0</v>
      </c>
      <c r="S447" s="361">
        <f t="shared" si="89"/>
        <v>0</v>
      </c>
    </row>
    <row r="448" spans="1:19">
      <c r="A448" s="3043"/>
      <c r="B448" s="717"/>
      <c r="C448" s="24">
        <f t="shared" si="80"/>
        <v>1</v>
      </c>
      <c r="D448" s="719"/>
      <c r="E448" s="24">
        <f t="shared" si="81"/>
        <v>1</v>
      </c>
      <c r="F448" s="719"/>
      <c r="G448" s="24">
        <f t="shared" si="82"/>
        <v>1</v>
      </c>
      <c r="H448" s="719"/>
      <c r="I448" s="24">
        <f t="shared" si="83"/>
        <v>1</v>
      </c>
      <c r="J448" s="719"/>
      <c r="K448" s="24">
        <f t="shared" si="84"/>
        <v>1</v>
      </c>
      <c r="L448" s="719"/>
      <c r="M448" s="24">
        <f t="shared" si="85"/>
        <v>1</v>
      </c>
      <c r="N448" s="719"/>
      <c r="O448" s="24">
        <f t="shared" si="86"/>
        <v>1</v>
      </c>
      <c r="P448" s="719"/>
      <c r="Q448" s="24">
        <f t="shared" si="87"/>
        <v>0</v>
      </c>
      <c r="R448" s="715">
        <f t="shared" si="88"/>
        <v>0</v>
      </c>
      <c r="S448" s="361">
        <f t="shared" si="89"/>
        <v>0</v>
      </c>
    </row>
    <row r="449" spans="1:19">
      <c r="A449" s="3043"/>
      <c r="B449" s="717"/>
      <c r="C449" s="24">
        <f t="shared" si="80"/>
        <v>1</v>
      </c>
      <c r="D449" s="719"/>
      <c r="E449" s="24">
        <f t="shared" si="81"/>
        <v>1</v>
      </c>
      <c r="F449" s="719"/>
      <c r="G449" s="24">
        <f t="shared" si="82"/>
        <v>1</v>
      </c>
      <c r="H449" s="719"/>
      <c r="I449" s="24">
        <f t="shared" si="83"/>
        <v>1</v>
      </c>
      <c r="J449" s="719"/>
      <c r="K449" s="24">
        <f t="shared" si="84"/>
        <v>1</v>
      </c>
      <c r="L449" s="719"/>
      <c r="M449" s="24">
        <f t="shared" si="85"/>
        <v>1</v>
      </c>
      <c r="N449" s="719"/>
      <c r="O449" s="24">
        <f t="shared" si="86"/>
        <v>1</v>
      </c>
      <c r="P449" s="719"/>
      <c r="Q449" s="24">
        <f t="shared" si="87"/>
        <v>0</v>
      </c>
      <c r="R449" s="715">
        <f t="shared" si="88"/>
        <v>0</v>
      </c>
      <c r="S449" s="361">
        <f t="shared" si="89"/>
        <v>0</v>
      </c>
    </row>
    <row r="450" spans="1:19">
      <c r="A450" s="3043"/>
      <c r="B450" s="717"/>
      <c r="C450" s="24">
        <f t="shared" si="80"/>
        <v>1</v>
      </c>
      <c r="D450" s="719"/>
      <c r="E450" s="24">
        <f t="shared" si="81"/>
        <v>1</v>
      </c>
      <c r="F450" s="719"/>
      <c r="G450" s="24">
        <f t="shared" si="82"/>
        <v>1</v>
      </c>
      <c r="H450" s="719"/>
      <c r="I450" s="24">
        <f t="shared" si="83"/>
        <v>1</v>
      </c>
      <c r="J450" s="719"/>
      <c r="K450" s="24">
        <f t="shared" si="84"/>
        <v>1</v>
      </c>
      <c r="L450" s="719"/>
      <c r="M450" s="24">
        <f t="shared" si="85"/>
        <v>1</v>
      </c>
      <c r="N450" s="719"/>
      <c r="O450" s="24">
        <f t="shared" si="86"/>
        <v>1</v>
      </c>
      <c r="P450" s="719"/>
      <c r="Q450" s="24">
        <f t="shared" si="87"/>
        <v>0</v>
      </c>
      <c r="R450" s="715">
        <f t="shared" si="88"/>
        <v>0</v>
      </c>
      <c r="S450" s="361">
        <f t="shared" si="89"/>
        <v>0</v>
      </c>
    </row>
    <row r="451" spans="1:19">
      <c r="A451" s="3043"/>
      <c r="B451" s="717"/>
      <c r="C451" s="24">
        <f t="shared" si="80"/>
        <v>1</v>
      </c>
      <c r="D451" s="719"/>
      <c r="E451" s="24">
        <f t="shared" si="81"/>
        <v>1</v>
      </c>
      <c r="F451" s="719"/>
      <c r="G451" s="24">
        <f t="shared" si="82"/>
        <v>1</v>
      </c>
      <c r="H451" s="719"/>
      <c r="I451" s="24">
        <f t="shared" si="83"/>
        <v>1</v>
      </c>
      <c r="J451" s="719"/>
      <c r="K451" s="24">
        <f t="shared" si="84"/>
        <v>1</v>
      </c>
      <c r="L451" s="719"/>
      <c r="M451" s="24">
        <f t="shared" si="85"/>
        <v>1</v>
      </c>
      <c r="N451" s="719"/>
      <c r="O451" s="24">
        <f t="shared" si="86"/>
        <v>1</v>
      </c>
      <c r="P451" s="719"/>
      <c r="Q451" s="24">
        <f t="shared" si="87"/>
        <v>0</v>
      </c>
      <c r="R451" s="715">
        <f t="shared" si="88"/>
        <v>0</v>
      </c>
      <c r="S451" s="361">
        <f t="shared" si="89"/>
        <v>0</v>
      </c>
    </row>
    <row r="452" spans="1:19">
      <c r="A452" s="3043"/>
      <c r="B452" s="717"/>
      <c r="C452" s="24">
        <f t="shared" si="80"/>
        <v>1</v>
      </c>
      <c r="D452" s="719"/>
      <c r="E452" s="24">
        <f t="shared" si="81"/>
        <v>1</v>
      </c>
      <c r="F452" s="719"/>
      <c r="G452" s="24">
        <f t="shared" si="82"/>
        <v>1</v>
      </c>
      <c r="H452" s="719"/>
      <c r="I452" s="24">
        <f t="shared" si="83"/>
        <v>1</v>
      </c>
      <c r="J452" s="719"/>
      <c r="K452" s="24">
        <f t="shared" si="84"/>
        <v>1</v>
      </c>
      <c r="L452" s="719"/>
      <c r="M452" s="24">
        <f t="shared" si="85"/>
        <v>1</v>
      </c>
      <c r="N452" s="719"/>
      <c r="O452" s="24">
        <f t="shared" si="86"/>
        <v>1</v>
      </c>
      <c r="P452" s="719"/>
      <c r="Q452" s="24">
        <f t="shared" si="87"/>
        <v>0</v>
      </c>
      <c r="R452" s="715">
        <f t="shared" si="88"/>
        <v>0</v>
      </c>
      <c r="S452" s="361">
        <f t="shared" si="89"/>
        <v>0</v>
      </c>
    </row>
    <row r="453" spans="1:19">
      <c r="A453" s="3043"/>
      <c r="B453" s="717"/>
      <c r="C453" s="24">
        <f t="shared" si="80"/>
        <v>1</v>
      </c>
      <c r="D453" s="719"/>
      <c r="E453" s="24">
        <f t="shared" si="81"/>
        <v>1</v>
      </c>
      <c r="F453" s="719"/>
      <c r="G453" s="24">
        <f t="shared" si="82"/>
        <v>1</v>
      </c>
      <c r="H453" s="719"/>
      <c r="I453" s="24">
        <f t="shared" si="83"/>
        <v>1</v>
      </c>
      <c r="J453" s="719"/>
      <c r="K453" s="24">
        <f t="shared" si="84"/>
        <v>1</v>
      </c>
      <c r="L453" s="719"/>
      <c r="M453" s="24">
        <f t="shared" si="85"/>
        <v>1</v>
      </c>
      <c r="N453" s="719"/>
      <c r="O453" s="24">
        <f t="shared" si="86"/>
        <v>1</v>
      </c>
      <c r="P453" s="719"/>
      <c r="Q453" s="24">
        <f t="shared" si="87"/>
        <v>0</v>
      </c>
      <c r="R453" s="715">
        <f t="shared" si="88"/>
        <v>0</v>
      </c>
      <c r="S453" s="361">
        <f t="shared" si="89"/>
        <v>0</v>
      </c>
    </row>
    <row r="454" spans="1:19">
      <c r="A454" s="3043"/>
      <c r="B454" s="717"/>
      <c r="C454" s="24">
        <f t="shared" si="80"/>
        <v>1</v>
      </c>
      <c r="D454" s="719"/>
      <c r="E454" s="24">
        <f t="shared" si="81"/>
        <v>1</v>
      </c>
      <c r="F454" s="719"/>
      <c r="G454" s="24">
        <f t="shared" si="82"/>
        <v>1</v>
      </c>
      <c r="H454" s="719"/>
      <c r="I454" s="24">
        <f t="shared" si="83"/>
        <v>1</v>
      </c>
      <c r="J454" s="719"/>
      <c r="K454" s="24">
        <f t="shared" si="84"/>
        <v>1</v>
      </c>
      <c r="L454" s="719"/>
      <c r="M454" s="24">
        <f t="shared" si="85"/>
        <v>1</v>
      </c>
      <c r="N454" s="719"/>
      <c r="O454" s="24">
        <f t="shared" si="86"/>
        <v>1</v>
      </c>
      <c r="P454" s="719"/>
      <c r="Q454" s="24">
        <f t="shared" si="87"/>
        <v>0</v>
      </c>
      <c r="R454" s="715">
        <f t="shared" si="88"/>
        <v>0</v>
      </c>
      <c r="S454" s="361">
        <f t="shared" si="89"/>
        <v>0</v>
      </c>
    </row>
    <row r="455" spans="1:19">
      <c r="A455" s="3043"/>
      <c r="B455" s="717"/>
      <c r="C455" s="24">
        <f t="shared" si="80"/>
        <v>1</v>
      </c>
      <c r="D455" s="719"/>
      <c r="E455" s="24">
        <f t="shared" si="81"/>
        <v>1</v>
      </c>
      <c r="F455" s="719"/>
      <c r="G455" s="24">
        <f t="shared" si="82"/>
        <v>1</v>
      </c>
      <c r="H455" s="719"/>
      <c r="I455" s="24">
        <f t="shared" si="83"/>
        <v>1</v>
      </c>
      <c r="J455" s="719"/>
      <c r="K455" s="24">
        <f t="shared" si="84"/>
        <v>1</v>
      </c>
      <c r="L455" s="719"/>
      <c r="M455" s="24">
        <f t="shared" si="85"/>
        <v>1</v>
      </c>
      <c r="N455" s="719"/>
      <c r="O455" s="24">
        <f t="shared" si="86"/>
        <v>1</v>
      </c>
      <c r="P455" s="719"/>
      <c r="Q455" s="24">
        <f t="shared" si="87"/>
        <v>0</v>
      </c>
      <c r="R455" s="715">
        <f t="shared" si="88"/>
        <v>0</v>
      </c>
      <c r="S455" s="361">
        <f t="shared" si="89"/>
        <v>0</v>
      </c>
    </row>
    <row r="456" spans="1:19">
      <c r="A456" s="3043"/>
      <c r="B456" s="717"/>
      <c r="C456" s="24">
        <f t="shared" si="80"/>
        <v>1</v>
      </c>
      <c r="D456" s="719"/>
      <c r="E456" s="24">
        <f t="shared" si="81"/>
        <v>1</v>
      </c>
      <c r="F456" s="719"/>
      <c r="G456" s="24">
        <f t="shared" si="82"/>
        <v>1</v>
      </c>
      <c r="H456" s="719"/>
      <c r="I456" s="24">
        <f t="shared" si="83"/>
        <v>1</v>
      </c>
      <c r="J456" s="719"/>
      <c r="K456" s="24">
        <f t="shared" si="84"/>
        <v>1</v>
      </c>
      <c r="L456" s="719"/>
      <c r="M456" s="24">
        <f t="shared" si="85"/>
        <v>1</v>
      </c>
      <c r="N456" s="719"/>
      <c r="O456" s="24">
        <f t="shared" si="86"/>
        <v>1</v>
      </c>
      <c r="P456" s="719"/>
      <c r="Q456" s="24">
        <f t="shared" si="87"/>
        <v>0</v>
      </c>
      <c r="R456" s="715">
        <f t="shared" si="88"/>
        <v>0</v>
      </c>
      <c r="S456" s="361">
        <f t="shared" si="89"/>
        <v>0</v>
      </c>
    </row>
    <row r="457" spans="1:19">
      <c r="A457" s="3043"/>
      <c r="B457" s="717"/>
      <c r="C457" s="24">
        <f t="shared" si="80"/>
        <v>1</v>
      </c>
      <c r="D457" s="719"/>
      <c r="E457" s="24">
        <f t="shared" si="81"/>
        <v>1</v>
      </c>
      <c r="F457" s="719"/>
      <c r="G457" s="24">
        <f t="shared" si="82"/>
        <v>1</v>
      </c>
      <c r="H457" s="719"/>
      <c r="I457" s="24">
        <f t="shared" si="83"/>
        <v>1</v>
      </c>
      <c r="J457" s="719"/>
      <c r="K457" s="24">
        <f t="shared" si="84"/>
        <v>1</v>
      </c>
      <c r="L457" s="719"/>
      <c r="M457" s="24">
        <f t="shared" si="85"/>
        <v>1</v>
      </c>
      <c r="N457" s="719"/>
      <c r="O457" s="24">
        <f t="shared" si="86"/>
        <v>1</v>
      </c>
      <c r="P457" s="719"/>
      <c r="Q457" s="24">
        <f t="shared" si="87"/>
        <v>0</v>
      </c>
      <c r="R457" s="715">
        <f t="shared" si="88"/>
        <v>0</v>
      </c>
      <c r="S457" s="361">
        <f t="shared" si="89"/>
        <v>0</v>
      </c>
    </row>
    <row r="458" spans="1:19">
      <c r="A458" s="3043"/>
      <c r="B458" s="717"/>
      <c r="C458" s="24">
        <f t="shared" si="80"/>
        <v>1</v>
      </c>
      <c r="D458" s="719"/>
      <c r="E458" s="24">
        <f t="shared" si="81"/>
        <v>1</v>
      </c>
      <c r="F458" s="719"/>
      <c r="G458" s="24">
        <f t="shared" si="82"/>
        <v>1</v>
      </c>
      <c r="H458" s="719"/>
      <c r="I458" s="24">
        <f t="shared" si="83"/>
        <v>1</v>
      </c>
      <c r="J458" s="719"/>
      <c r="K458" s="24">
        <f t="shared" si="84"/>
        <v>1</v>
      </c>
      <c r="L458" s="719"/>
      <c r="M458" s="24">
        <f t="shared" si="85"/>
        <v>1</v>
      </c>
      <c r="N458" s="719"/>
      <c r="O458" s="24">
        <f t="shared" si="86"/>
        <v>1</v>
      </c>
      <c r="P458" s="719"/>
      <c r="Q458" s="24">
        <f t="shared" si="87"/>
        <v>0</v>
      </c>
      <c r="R458" s="715">
        <f t="shared" si="88"/>
        <v>0</v>
      </c>
      <c r="S458" s="361">
        <f t="shared" si="89"/>
        <v>0</v>
      </c>
    </row>
    <row r="459" spans="1:19">
      <c r="A459" s="3043"/>
      <c r="B459" s="717"/>
      <c r="C459" s="24">
        <f t="shared" si="80"/>
        <v>1</v>
      </c>
      <c r="D459" s="719"/>
      <c r="E459" s="24">
        <f t="shared" si="81"/>
        <v>1</v>
      </c>
      <c r="F459" s="719"/>
      <c r="G459" s="24">
        <f t="shared" si="82"/>
        <v>1</v>
      </c>
      <c r="H459" s="719"/>
      <c r="I459" s="24">
        <f t="shared" si="83"/>
        <v>1</v>
      </c>
      <c r="J459" s="719"/>
      <c r="K459" s="24">
        <f t="shared" si="84"/>
        <v>1</v>
      </c>
      <c r="L459" s="719"/>
      <c r="M459" s="24">
        <f t="shared" si="85"/>
        <v>1</v>
      </c>
      <c r="N459" s="719"/>
      <c r="O459" s="24">
        <f t="shared" si="86"/>
        <v>1</v>
      </c>
      <c r="P459" s="719"/>
      <c r="Q459" s="24">
        <f t="shared" si="87"/>
        <v>0</v>
      </c>
      <c r="R459" s="715">
        <f t="shared" si="88"/>
        <v>0</v>
      </c>
      <c r="S459" s="361">
        <f t="shared" si="89"/>
        <v>0</v>
      </c>
    </row>
    <row r="460" spans="1:19">
      <c r="A460" s="3043"/>
      <c r="B460" s="717"/>
      <c r="C460" s="24">
        <f t="shared" si="80"/>
        <v>1</v>
      </c>
      <c r="D460" s="719"/>
      <c r="E460" s="24">
        <f t="shared" si="81"/>
        <v>1</v>
      </c>
      <c r="F460" s="719"/>
      <c r="G460" s="24">
        <f t="shared" si="82"/>
        <v>1</v>
      </c>
      <c r="H460" s="719"/>
      <c r="I460" s="24">
        <f t="shared" si="83"/>
        <v>1</v>
      </c>
      <c r="J460" s="719"/>
      <c r="K460" s="24">
        <f t="shared" si="84"/>
        <v>1</v>
      </c>
      <c r="L460" s="719"/>
      <c r="M460" s="24">
        <f t="shared" si="85"/>
        <v>1</v>
      </c>
      <c r="N460" s="719"/>
      <c r="O460" s="24">
        <f t="shared" si="86"/>
        <v>1</v>
      </c>
      <c r="P460" s="719"/>
      <c r="Q460" s="24">
        <f t="shared" si="87"/>
        <v>0</v>
      </c>
      <c r="R460" s="715">
        <f t="shared" si="88"/>
        <v>0</v>
      </c>
      <c r="S460" s="361">
        <f t="shared" si="89"/>
        <v>0</v>
      </c>
    </row>
    <row r="461" spans="1:19">
      <c r="A461" s="3043"/>
      <c r="B461" s="717"/>
      <c r="C461" s="24">
        <f t="shared" si="80"/>
        <v>1</v>
      </c>
      <c r="D461" s="719"/>
      <c r="E461" s="24">
        <f t="shared" si="81"/>
        <v>1</v>
      </c>
      <c r="F461" s="719"/>
      <c r="G461" s="24">
        <f t="shared" si="82"/>
        <v>1</v>
      </c>
      <c r="H461" s="719"/>
      <c r="I461" s="24">
        <f t="shared" si="83"/>
        <v>1</v>
      </c>
      <c r="J461" s="719"/>
      <c r="K461" s="24">
        <f t="shared" si="84"/>
        <v>1</v>
      </c>
      <c r="L461" s="719"/>
      <c r="M461" s="24">
        <f t="shared" si="85"/>
        <v>1</v>
      </c>
      <c r="N461" s="719"/>
      <c r="O461" s="24">
        <f t="shared" si="86"/>
        <v>1</v>
      </c>
      <c r="P461" s="719"/>
      <c r="Q461" s="24">
        <f t="shared" si="87"/>
        <v>0</v>
      </c>
      <c r="R461" s="715">
        <f t="shared" si="88"/>
        <v>0</v>
      </c>
      <c r="S461" s="361">
        <f t="shared" si="89"/>
        <v>0</v>
      </c>
    </row>
    <row r="462" spans="1:19">
      <c r="A462" s="3043"/>
      <c r="B462" s="717"/>
      <c r="C462" s="24">
        <f t="shared" si="80"/>
        <v>1</v>
      </c>
      <c r="D462" s="719"/>
      <c r="E462" s="24">
        <f t="shared" si="81"/>
        <v>1</v>
      </c>
      <c r="F462" s="719"/>
      <c r="G462" s="24">
        <f t="shared" si="82"/>
        <v>1</v>
      </c>
      <c r="H462" s="719"/>
      <c r="I462" s="24">
        <f t="shared" si="83"/>
        <v>1</v>
      </c>
      <c r="J462" s="719"/>
      <c r="K462" s="24">
        <f t="shared" si="84"/>
        <v>1</v>
      </c>
      <c r="L462" s="719"/>
      <c r="M462" s="24">
        <f t="shared" si="85"/>
        <v>1</v>
      </c>
      <c r="N462" s="719"/>
      <c r="O462" s="24">
        <f t="shared" si="86"/>
        <v>1</v>
      </c>
      <c r="P462" s="719"/>
      <c r="Q462" s="24">
        <f t="shared" si="87"/>
        <v>0</v>
      </c>
      <c r="R462" s="715">
        <f t="shared" si="88"/>
        <v>0</v>
      </c>
      <c r="S462" s="361">
        <f t="shared" si="89"/>
        <v>0</v>
      </c>
    </row>
    <row r="463" spans="1:19">
      <c r="A463" s="3043"/>
      <c r="B463" s="717"/>
      <c r="C463" s="24">
        <f t="shared" si="80"/>
        <v>1</v>
      </c>
      <c r="D463" s="719"/>
      <c r="E463" s="24">
        <f t="shared" si="81"/>
        <v>1</v>
      </c>
      <c r="F463" s="719"/>
      <c r="G463" s="24">
        <f t="shared" si="82"/>
        <v>1</v>
      </c>
      <c r="H463" s="719"/>
      <c r="I463" s="24">
        <f t="shared" si="83"/>
        <v>1</v>
      </c>
      <c r="J463" s="719"/>
      <c r="K463" s="24">
        <f t="shared" si="84"/>
        <v>1</v>
      </c>
      <c r="L463" s="719"/>
      <c r="M463" s="24">
        <f t="shared" si="85"/>
        <v>1</v>
      </c>
      <c r="N463" s="719"/>
      <c r="O463" s="24">
        <f t="shared" si="86"/>
        <v>1</v>
      </c>
      <c r="P463" s="719"/>
      <c r="Q463" s="24">
        <f t="shared" si="87"/>
        <v>0</v>
      </c>
      <c r="R463" s="715">
        <f t="shared" si="88"/>
        <v>0</v>
      </c>
      <c r="S463" s="361">
        <f t="shared" si="89"/>
        <v>0</v>
      </c>
    </row>
    <row r="464" spans="1:19">
      <c r="A464" s="3043"/>
      <c r="B464" s="717"/>
      <c r="C464" s="24">
        <f t="shared" si="80"/>
        <v>1</v>
      </c>
      <c r="D464" s="719"/>
      <c r="E464" s="24">
        <f t="shared" si="81"/>
        <v>1</v>
      </c>
      <c r="F464" s="719"/>
      <c r="G464" s="24">
        <f t="shared" si="82"/>
        <v>1</v>
      </c>
      <c r="H464" s="719"/>
      <c r="I464" s="24">
        <f t="shared" si="83"/>
        <v>1</v>
      </c>
      <c r="J464" s="719"/>
      <c r="K464" s="24">
        <f t="shared" si="84"/>
        <v>1</v>
      </c>
      <c r="L464" s="719"/>
      <c r="M464" s="24">
        <f t="shared" si="85"/>
        <v>1</v>
      </c>
      <c r="N464" s="719"/>
      <c r="O464" s="24">
        <f t="shared" si="86"/>
        <v>1</v>
      </c>
      <c r="P464" s="719"/>
      <c r="Q464" s="24">
        <f t="shared" si="87"/>
        <v>0</v>
      </c>
      <c r="R464" s="715">
        <f t="shared" si="88"/>
        <v>0</v>
      </c>
      <c r="S464" s="361">
        <f t="shared" si="89"/>
        <v>0</v>
      </c>
    </row>
    <row r="465" spans="1:19">
      <c r="A465" s="3043"/>
      <c r="B465" s="717"/>
      <c r="C465" s="24">
        <f t="shared" si="80"/>
        <v>1</v>
      </c>
      <c r="D465" s="719"/>
      <c r="E465" s="24">
        <f t="shared" si="81"/>
        <v>1</v>
      </c>
      <c r="F465" s="719"/>
      <c r="G465" s="24">
        <f t="shared" si="82"/>
        <v>1</v>
      </c>
      <c r="H465" s="719"/>
      <c r="I465" s="24">
        <f t="shared" si="83"/>
        <v>1</v>
      </c>
      <c r="J465" s="719"/>
      <c r="K465" s="24">
        <f t="shared" si="84"/>
        <v>1</v>
      </c>
      <c r="L465" s="719"/>
      <c r="M465" s="24">
        <f t="shared" si="85"/>
        <v>1</v>
      </c>
      <c r="N465" s="719"/>
      <c r="O465" s="24">
        <f t="shared" si="86"/>
        <v>1</v>
      </c>
      <c r="P465" s="719"/>
      <c r="Q465" s="24">
        <f t="shared" si="87"/>
        <v>0</v>
      </c>
      <c r="R465" s="715">
        <f t="shared" si="88"/>
        <v>0</v>
      </c>
      <c r="S465" s="361">
        <f t="shared" si="89"/>
        <v>0</v>
      </c>
    </row>
    <row r="466" spans="1:19">
      <c r="A466" s="3043"/>
      <c r="B466" s="717"/>
      <c r="C466" s="24">
        <f t="shared" si="80"/>
        <v>1</v>
      </c>
      <c r="D466" s="719"/>
      <c r="E466" s="24">
        <f t="shared" si="81"/>
        <v>1</v>
      </c>
      <c r="F466" s="719"/>
      <c r="G466" s="24">
        <f t="shared" si="82"/>
        <v>1</v>
      </c>
      <c r="H466" s="719"/>
      <c r="I466" s="24">
        <f t="shared" si="83"/>
        <v>1</v>
      </c>
      <c r="J466" s="719"/>
      <c r="K466" s="24">
        <f t="shared" si="84"/>
        <v>1</v>
      </c>
      <c r="L466" s="719"/>
      <c r="M466" s="24">
        <f t="shared" si="85"/>
        <v>1</v>
      </c>
      <c r="N466" s="719"/>
      <c r="O466" s="24">
        <f t="shared" si="86"/>
        <v>1</v>
      </c>
      <c r="P466" s="719"/>
      <c r="Q466" s="24">
        <f t="shared" si="87"/>
        <v>0</v>
      </c>
      <c r="R466" s="715">
        <f t="shared" si="88"/>
        <v>0</v>
      </c>
      <c r="S466" s="361">
        <f t="shared" si="89"/>
        <v>0</v>
      </c>
    </row>
    <row r="467" spans="1:19">
      <c r="A467" s="3043"/>
      <c r="B467" s="717"/>
      <c r="C467" s="24">
        <f t="shared" si="80"/>
        <v>1</v>
      </c>
      <c r="D467" s="719"/>
      <c r="E467" s="24">
        <f t="shared" si="81"/>
        <v>1</v>
      </c>
      <c r="F467" s="719"/>
      <c r="G467" s="24">
        <f t="shared" si="82"/>
        <v>1</v>
      </c>
      <c r="H467" s="719"/>
      <c r="I467" s="24">
        <f t="shared" si="83"/>
        <v>1</v>
      </c>
      <c r="J467" s="719"/>
      <c r="K467" s="24">
        <f t="shared" si="84"/>
        <v>1</v>
      </c>
      <c r="L467" s="719"/>
      <c r="M467" s="24">
        <f t="shared" si="85"/>
        <v>1</v>
      </c>
      <c r="N467" s="719"/>
      <c r="O467" s="24">
        <f t="shared" si="86"/>
        <v>1</v>
      </c>
      <c r="P467" s="719"/>
      <c r="Q467" s="24">
        <f t="shared" si="87"/>
        <v>0</v>
      </c>
      <c r="R467" s="715">
        <f t="shared" si="88"/>
        <v>0</v>
      </c>
      <c r="S467" s="361">
        <f t="shared" si="89"/>
        <v>0</v>
      </c>
    </row>
    <row r="468" spans="1:19">
      <c r="A468" s="3043"/>
      <c r="B468" s="717"/>
      <c r="C468" s="24">
        <f t="shared" si="80"/>
        <v>1</v>
      </c>
      <c r="D468" s="719"/>
      <c r="E468" s="24">
        <f t="shared" si="81"/>
        <v>1</v>
      </c>
      <c r="F468" s="719"/>
      <c r="G468" s="24">
        <f t="shared" si="82"/>
        <v>1</v>
      </c>
      <c r="H468" s="719"/>
      <c r="I468" s="24">
        <f t="shared" si="83"/>
        <v>1</v>
      </c>
      <c r="J468" s="719"/>
      <c r="K468" s="24">
        <f t="shared" si="84"/>
        <v>1</v>
      </c>
      <c r="L468" s="719"/>
      <c r="M468" s="24">
        <f t="shared" si="85"/>
        <v>1</v>
      </c>
      <c r="N468" s="719"/>
      <c r="O468" s="24">
        <f t="shared" si="86"/>
        <v>1</v>
      </c>
      <c r="P468" s="719"/>
      <c r="Q468" s="24">
        <f t="shared" si="87"/>
        <v>0</v>
      </c>
      <c r="R468" s="715">
        <f t="shared" si="88"/>
        <v>0</v>
      </c>
      <c r="S468" s="361">
        <f t="shared" ref="S468:S497" si="90">ROUND(R468*B468/10000,0)</f>
        <v>0</v>
      </c>
    </row>
    <row r="469" spans="1:19">
      <c r="A469" s="3043"/>
      <c r="B469" s="717"/>
      <c r="C469" s="24">
        <f t="shared" si="80"/>
        <v>1</v>
      </c>
      <c r="D469" s="719"/>
      <c r="E469" s="24">
        <f t="shared" si="81"/>
        <v>1</v>
      </c>
      <c r="F469" s="719"/>
      <c r="G469" s="24">
        <f t="shared" si="82"/>
        <v>1</v>
      </c>
      <c r="H469" s="719"/>
      <c r="I469" s="24">
        <f t="shared" si="83"/>
        <v>1</v>
      </c>
      <c r="J469" s="719"/>
      <c r="K469" s="24">
        <f t="shared" si="84"/>
        <v>1</v>
      </c>
      <c r="L469" s="719"/>
      <c r="M469" s="24">
        <f t="shared" si="85"/>
        <v>1</v>
      </c>
      <c r="N469" s="719"/>
      <c r="O469" s="24">
        <f t="shared" si="86"/>
        <v>1</v>
      </c>
      <c r="P469" s="719"/>
      <c r="Q469" s="24">
        <f t="shared" si="87"/>
        <v>0</v>
      </c>
      <c r="R469" s="715">
        <f t="shared" si="88"/>
        <v>0</v>
      </c>
      <c r="S469" s="361">
        <f t="shared" si="90"/>
        <v>0</v>
      </c>
    </row>
    <row r="470" spans="1:19">
      <c r="A470" s="3043"/>
      <c r="B470" s="717"/>
      <c r="C470" s="24">
        <f t="shared" si="80"/>
        <v>1</v>
      </c>
      <c r="D470" s="719"/>
      <c r="E470" s="24">
        <f t="shared" si="81"/>
        <v>1</v>
      </c>
      <c r="F470" s="719"/>
      <c r="G470" s="24">
        <f t="shared" si="82"/>
        <v>1</v>
      </c>
      <c r="H470" s="719"/>
      <c r="I470" s="24">
        <f t="shared" si="83"/>
        <v>1</v>
      </c>
      <c r="J470" s="719"/>
      <c r="K470" s="24">
        <f t="shared" si="84"/>
        <v>1</v>
      </c>
      <c r="L470" s="719"/>
      <c r="M470" s="24">
        <f t="shared" si="85"/>
        <v>1</v>
      </c>
      <c r="N470" s="719"/>
      <c r="O470" s="24">
        <f t="shared" si="86"/>
        <v>1</v>
      </c>
      <c r="P470" s="719"/>
      <c r="Q470" s="24">
        <f t="shared" si="87"/>
        <v>0</v>
      </c>
      <c r="R470" s="715">
        <f t="shared" si="88"/>
        <v>0</v>
      </c>
      <c r="S470" s="361">
        <f t="shared" si="90"/>
        <v>0</v>
      </c>
    </row>
    <row r="471" spans="1:19">
      <c r="A471" s="159"/>
      <c r="B471" s="59"/>
      <c r="C471" s="24">
        <f t="shared" si="80"/>
        <v>1</v>
      </c>
      <c r="D471" s="719"/>
      <c r="E471" s="24">
        <f t="shared" si="81"/>
        <v>1</v>
      </c>
      <c r="F471" s="719"/>
      <c r="G471" s="24">
        <f t="shared" si="82"/>
        <v>1</v>
      </c>
      <c r="H471" s="719"/>
      <c r="I471" s="24">
        <f t="shared" si="83"/>
        <v>1</v>
      </c>
      <c r="J471" s="719"/>
      <c r="K471" s="24">
        <f t="shared" si="84"/>
        <v>1</v>
      </c>
      <c r="L471" s="719"/>
      <c r="M471" s="24">
        <f t="shared" si="85"/>
        <v>1</v>
      </c>
      <c r="N471" s="719"/>
      <c r="O471" s="24">
        <f t="shared" si="86"/>
        <v>1</v>
      </c>
      <c r="P471" s="719"/>
      <c r="Q471" s="24">
        <f t="shared" si="87"/>
        <v>0</v>
      </c>
      <c r="R471" s="715">
        <f t="shared" si="88"/>
        <v>0</v>
      </c>
      <c r="S471" s="361">
        <f t="shared" si="90"/>
        <v>0</v>
      </c>
    </row>
    <row r="472" spans="1:19">
      <c r="A472" s="159"/>
      <c r="B472" s="59"/>
      <c r="C472" s="24">
        <f t="shared" si="80"/>
        <v>1</v>
      </c>
      <c r="D472" s="719"/>
      <c r="E472" s="24">
        <f t="shared" si="81"/>
        <v>1</v>
      </c>
      <c r="F472" s="719"/>
      <c r="G472" s="24">
        <f t="shared" si="82"/>
        <v>1</v>
      </c>
      <c r="H472" s="719"/>
      <c r="I472" s="24">
        <f t="shared" si="83"/>
        <v>1</v>
      </c>
      <c r="J472" s="719"/>
      <c r="K472" s="24">
        <f t="shared" si="84"/>
        <v>1</v>
      </c>
      <c r="L472" s="719"/>
      <c r="M472" s="24">
        <f t="shared" si="85"/>
        <v>1</v>
      </c>
      <c r="N472" s="719"/>
      <c r="O472" s="24">
        <f t="shared" si="86"/>
        <v>1</v>
      </c>
      <c r="P472" s="719"/>
      <c r="Q472" s="24">
        <f t="shared" si="87"/>
        <v>0</v>
      </c>
      <c r="R472" s="715">
        <f t="shared" si="88"/>
        <v>0</v>
      </c>
      <c r="S472" s="361">
        <f t="shared" si="90"/>
        <v>0</v>
      </c>
    </row>
    <row r="473" spans="1:19">
      <c r="A473" s="159"/>
      <c r="B473" s="59"/>
      <c r="C473" s="24">
        <f t="shared" si="80"/>
        <v>1</v>
      </c>
      <c r="D473" s="719"/>
      <c r="E473" s="24">
        <f t="shared" si="81"/>
        <v>1</v>
      </c>
      <c r="F473" s="719"/>
      <c r="G473" s="24">
        <f t="shared" si="82"/>
        <v>1</v>
      </c>
      <c r="H473" s="719"/>
      <c r="I473" s="24">
        <f t="shared" si="83"/>
        <v>1</v>
      </c>
      <c r="J473" s="719"/>
      <c r="K473" s="24">
        <f t="shared" si="84"/>
        <v>1</v>
      </c>
      <c r="L473" s="719"/>
      <c r="M473" s="24">
        <f t="shared" si="85"/>
        <v>1</v>
      </c>
      <c r="N473" s="719"/>
      <c r="O473" s="24">
        <f t="shared" si="86"/>
        <v>1</v>
      </c>
      <c r="P473" s="719"/>
      <c r="Q473" s="24">
        <f t="shared" si="87"/>
        <v>0</v>
      </c>
      <c r="R473" s="715">
        <f t="shared" si="88"/>
        <v>0</v>
      </c>
      <c r="S473" s="361">
        <f t="shared" si="90"/>
        <v>0</v>
      </c>
    </row>
    <row r="474" spans="1:19">
      <c r="A474" s="159"/>
      <c r="B474" s="59"/>
      <c r="C474" s="24">
        <f t="shared" ref="C474:C524" si="91">IF(B474="",1,(LOOKUP(B474,$3:$3,$4:$4)-LOOKUP($B$24,$3:$3,$4:$4)+100)/100)</f>
        <v>1</v>
      </c>
      <c r="D474" s="719"/>
      <c r="E474" s="24">
        <f t="shared" ref="E474:E524" si="92">(SUMIF($5:$5,D474,$6:$6)-SUMIF($5:$5,$D$24,$6:$6)+100)/100</f>
        <v>1</v>
      </c>
      <c r="F474" s="719"/>
      <c r="G474" s="24">
        <f t="shared" ref="G474:G524" si="93">(SUMIF($7:$7,F474,$8:$8)-SUMIF($7:$7,$F$24,$8:$8)+100)/100</f>
        <v>1</v>
      </c>
      <c r="H474" s="719"/>
      <c r="I474" s="24">
        <f t="shared" ref="I474:I524" si="94">(SUMIF($9:$9,H474,$10:$10)-SUMIF($9:$9,$H$24,$10:$10)+100)/100</f>
        <v>1</v>
      </c>
      <c r="J474" s="719"/>
      <c r="K474" s="24">
        <f t="shared" ref="K474:K524" si="95">(SUMIF($11:$11,J474,$12:$12)-SUMIF($11:$11,$J$24,$12:$12)+100)/100</f>
        <v>1</v>
      </c>
      <c r="L474" s="719"/>
      <c r="M474" s="24">
        <f t="shared" ref="M474:M524" si="96">(SUMIF($13:$13,L474,$14:$14)-SUMIF($13:$13,$L$24,$14:$14)+100)/100</f>
        <v>1</v>
      </c>
      <c r="N474" s="719"/>
      <c r="O474" s="24">
        <f t="shared" ref="O474:O524" si="97">(SUMIF($15:$15,N474,$16:$16)-SUMIF($15:$15,$N$24,$16:$16)+100)/100</f>
        <v>1</v>
      </c>
      <c r="P474" s="719"/>
      <c r="Q474" s="24">
        <f t="shared" ref="Q474:Q524" si="98">(SUMIF($17:$17,P474,$18:$18)-SUMIF($17:$17,$P$24,$18:$18)+100)/100</f>
        <v>0</v>
      </c>
      <c r="R474" s="715">
        <f t="shared" ref="R474:R524" si="99">IF(B474="",0,ROUND($R$24*C474*E474*G474*I474*K474*M474*O474*Q474,0))</f>
        <v>0</v>
      </c>
      <c r="S474" s="361">
        <f t="shared" si="90"/>
        <v>0</v>
      </c>
    </row>
    <row r="475" spans="1:19">
      <c r="A475" s="159"/>
      <c r="B475" s="59"/>
      <c r="C475" s="24">
        <f t="shared" si="91"/>
        <v>1</v>
      </c>
      <c r="D475" s="719"/>
      <c r="E475" s="24">
        <f t="shared" si="92"/>
        <v>1</v>
      </c>
      <c r="F475" s="719"/>
      <c r="G475" s="24">
        <f t="shared" si="93"/>
        <v>1</v>
      </c>
      <c r="H475" s="719"/>
      <c r="I475" s="24">
        <f t="shared" si="94"/>
        <v>1</v>
      </c>
      <c r="J475" s="719"/>
      <c r="K475" s="24">
        <f t="shared" si="95"/>
        <v>1</v>
      </c>
      <c r="L475" s="719"/>
      <c r="M475" s="24">
        <f t="shared" si="96"/>
        <v>1</v>
      </c>
      <c r="N475" s="719"/>
      <c r="O475" s="24">
        <f t="shared" si="97"/>
        <v>1</v>
      </c>
      <c r="P475" s="719"/>
      <c r="Q475" s="24">
        <f t="shared" si="98"/>
        <v>0</v>
      </c>
      <c r="R475" s="715">
        <f t="shared" si="99"/>
        <v>0</v>
      </c>
      <c r="S475" s="361">
        <f t="shared" si="90"/>
        <v>0</v>
      </c>
    </row>
    <row r="476" spans="1:19">
      <c r="A476" s="159"/>
      <c r="B476" s="59"/>
      <c r="C476" s="24">
        <f t="shared" si="91"/>
        <v>1</v>
      </c>
      <c r="D476" s="719"/>
      <c r="E476" s="24">
        <f t="shared" si="92"/>
        <v>1</v>
      </c>
      <c r="F476" s="719"/>
      <c r="G476" s="24">
        <f t="shared" si="93"/>
        <v>1</v>
      </c>
      <c r="H476" s="719"/>
      <c r="I476" s="24">
        <f t="shared" si="94"/>
        <v>1</v>
      </c>
      <c r="J476" s="719"/>
      <c r="K476" s="24">
        <f t="shared" si="95"/>
        <v>1</v>
      </c>
      <c r="L476" s="719"/>
      <c r="M476" s="24">
        <f t="shared" si="96"/>
        <v>1</v>
      </c>
      <c r="N476" s="719"/>
      <c r="O476" s="24">
        <f t="shared" si="97"/>
        <v>1</v>
      </c>
      <c r="P476" s="719"/>
      <c r="Q476" s="24">
        <f t="shared" si="98"/>
        <v>0</v>
      </c>
      <c r="R476" s="715">
        <f t="shared" si="99"/>
        <v>0</v>
      </c>
      <c r="S476" s="361">
        <f t="shared" si="90"/>
        <v>0</v>
      </c>
    </row>
    <row r="477" spans="1:19">
      <c r="A477" s="159"/>
      <c r="B477" s="59"/>
      <c r="C477" s="24">
        <f t="shared" si="91"/>
        <v>1</v>
      </c>
      <c r="D477" s="719"/>
      <c r="E477" s="24">
        <f t="shared" si="92"/>
        <v>1</v>
      </c>
      <c r="F477" s="719"/>
      <c r="G477" s="24">
        <f t="shared" si="93"/>
        <v>1</v>
      </c>
      <c r="H477" s="719"/>
      <c r="I477" s="24">
        <f t="shared" si="94"/>
        <v>1</v>
      </c>
      <c r="J477" s="719"/>
      <c r="K477" s="24">
        <f t="shared" si="95"/>
        <v>1</v>
      </c>
      <c r="L477" s="719"/>
      <c r="M477" s="24">
        <f t="shared" si="96"/>
        <v>1</v>
      </c>
      <c r="N477" s="719"/>
      <c r="O477" s="24">
        <f t="shared" si="97"/>
        <v>1</v>
      </c>
      <c r="P477" s="719"/>
      <c r="Q477" s="24">
        <f t="shared" si="98"/>
        <v>0</v>
      </c>
      <c r="R477" s="715">
        <f t="shared" si="99"/>
        <v>0</v>
      </c>
      <c r="S477" s="361">
        <f t="shared" si="90"/>
        <v>0</v>
      </c>
    </row>
    <row r="478" spans="1:19">
      <c r="A478" s="159"/>
      <c r="B478" s="59"/>
      <c r="C478" s="24">
        <f t="shared" si="91"/>
        <v>1</v>
      </c>
      <c r="D478" s="719"/>
      <c r="E478" s="24">
        <f t="shared" si="92"/>
        <v>1</v>
      </c>
      <c r="F478" s="719"/>
      <c r="G478" s="24">
        <f t="shared" si="93"/>
        <v>1</v>
      </c>
      <c r="H478" s="719"/>
      <c r="I478" s="24">
        <f t="shared" si="94"/>
        <v>1</v>
      </c>
      <c r="J478" s="719"/>
      <c r="K478" s="24">
        <f t="shared" si="95"/>
        <v>1</v>
      </c>
      <c r="L478" s="719"/>
      <c r="M478" s="24">
        <f t="shared" si="96"/>
        <v>1</v>
      </c>
      <c r="N478" s="719"/>
      <c r="O478" s="24">
        <f t="shared" si="97"/>
        <v>1</v>
      </c>
      <c r="P478" s="719"/>
      <c r="Q478" s="24">
        <f t="shared" si="98"/>
        <v>0</v>
      </c>
      <c r="R478" s="715">
        <f t="shared" si="99"/>
        <v>0</v>
      </c>
      <c r="S478" s="361">
        <f t="shared" si="90"/>
        <v>0</v>
      </c>
    </row>
    <row r="479" spans="1:19">
      <c r="A479" s="159"/>
      <c r="B479" s="59"/>
      <c r="C479" s="24">
        <f t="shared" si="91"/>
        <v>1</v>
      </c>
      <c r="D479" s="719"/>
      <c r="E479" s="24">
        <f t="shared" si="92"/>
        <v>1</v>
      </c>
      <c r="F479" s="719"/>
      <c r="G479" s="24">
        <f t="shared" si="93"/>
        <v>1</v>
      </c>
      <c r="H479" s="719"/>
      <c r="I479" s="24">
        <f t="shared" si="94"/>
        <v>1</v>
      </c>
      <c r="J479" s="719"/>
      <c r="K479" s="24">
        <f t="shared" si="95"/>
        <v>1</v>
      </c>
      <c r="L479" s="719"/>
      <c r="M479" s="24">
        <f t="shared" si="96"/>
        <v>1</v>
      </c>
      <c r="N479" s="719"/>
      <c r="O479" s="24">
        <f t="shared" si="97"/>
        <v>1</v>
      </c>
      <c r="P479" s="719"/>
      <c r="Q479" s="24">
        <f t="shared" si="98"/>
        <v>0</v>
      </c>
      <c r="R479" s="715">
        <f t="shared" si="99"/>
        <v>0</v>
      </c>
      <c r="S479" s="361">
        <f t="shared" si="90"/>
        <v>0</v>
      </c>
    </row>
    <row r="480" spans="1:19">
      <c r="A480" s="159"/>
      <c r="B480" s="59"/>
      <c r="C480" s="24">
        <f t="shared" si="91"/>
        <v>1</v>
      </c>
      <c r="D480" s="719"/>
      <c r="E480" s="24">
        <f t="shared" si="92"/>
        <v>1</v>
      </c>
      <c r="F480" s="719"/>
      <c r="G480" s="24">
        <f t="shared" si="93"/>
        <v>1</v>
      </c>
      <c r="H480" s="719"/>
      <c r="I480" s="24">
        <f t="shared" si="94"/>
        <v>1</v>
      </c>
      <c r="J480" s="719"/>
      <c r="K480" s="24">
        <f t="shared" si="95"/>
        <v>1</v>
      </c>
      <c r="L480" s="719"/>
      <c r="M480" s="24">
        <f t="shared" si="96"/>
        <v>1</v>
      </c>
      <c r="N480" s="719"/>
      <c r="O480" s="24">
        <f t="shared" si="97"/>
        <v>1</v>
      </c>
      <c r="P480" s="719"/>
      <c r="Q480" s="24">
        <f t="shared" si="98"/>
        <v>0</v>
      </c>
      <c r="R480" s="715">
        <f t="shared" si="99"/>
        <v>0</v>
      </c>
      <c r="S480" s="361">
        <f t="shared" si="90"/>
        <v>0</v>
      </c>
    </row>
    <row r="481" spans="1:19">
      <c r="A481" s="159"/>
      <c r="B481" s="59"/>
      <c r="C481" s="24">
        <f t="shared" si="91"/>
        <v>1</v>
      </c>
      <c r="D481" s="719"/>
      <c r="E481" s="24">
        <f t="shared" si="92"/>
        <v>1</v>
      </c>
      <c r="F481" s="719"/>
      <c r="G481" s="24">
        <f t="shared" si="93"/>
        <v>1</v>
      </c>
      <c r="H481" s="719"/>
      <c r="I481" s="24">
        <f t="shared" si="94"/>
        <v>1</v>
      </c>
      <c r="J481" s="719"/>
      <c r="K481" s="24">
        <f t="shared" si="95"/>
        <v>1</v>
      </c>
      <c r="L481" s="719"/>
      <c r="M481" s="24">
        <f t="shared" si="96"/>
        <v>1</v>
      </c>
      <c r="N481" s="719"/>
      <c r="O481" s="24">
        <f t="shared" si="97"/>
        <v>1</v>
      </c>
      <c r="P481" s="719"/>
      <c r="Q481" s="24">
        <f t="shared" si="98"/>
        <v>0</v>
      </c>
      <c r="R481" s="715">
        <f t="shared" si="99"/>
        <v>0</v>
      </c>
      <c r="S481" s="361">
        <f t="shared" si="90"/>
        <v>0</v>
      </c>
    </row>
    <row r="482" spans="1:19">
      <c r="A482" s="159"/>
      <c r="B482" s="59"/>
      <c r="C482" s="24">
        <f t="shared" si="91"/>
        <v>1</v>
      </c>
      <c r="D482" s="719"/>
      <c r="E482" s="24">
        <f t="shared" si="92"/>
        <v>1</v>
      </c>
      <c r="F482" s="719"/>
      <c r="G482" s="24">
        <f t="shared" si="93"/>
        <v>1</v>
      </c>
      <c r="H482" s="719"/>
      <c r="I482" s="24">
        <f t="shared" si="94"/>
        <v>1</v>
      </c>
      <c r="J482" s="719"/>
      <c r="K482" s="24">
        <f t="shared" si="95"/>
        <v>1</v>
      </c>
      <c r="L482" s="719"/>
      <c r="M482" s="24">
        <f t="shared" si="96"/>
        <v>1</v>
      </c>
      <c r="N482" s="719"/>
      <c r="O482" s="24">
        <f t="shared" si="97"/>
        <v>1</v>
      </c>
      <c r="P482" s="719"/>
      <c r="Q482" s="24">
        <f t="shared" si="98"/>
        <v>0</v>
      </c>
      <c r="R482" s="715">
        <f t="shared" si="99"/>
        <v>0</v>
      </c>
      <c r="S482" s="361">
        <f t="shared" si="90"/>
        <v>0</v>
      </c>
    </row>
    <row r="483" spans="1:19">
      <c r="A483" s="159"/>
      <c r="B483" s="59"/>
      <c r="C483" s="24">
        <f t="shared" si="91"/>
        <v>1</v>
      </c>
      <c r="D483" s="719"/>
      <c r="E483" s="24">
        <f t="shared" si="92"/>
        <v>1</v>
      </c>
      <c r="F483" s="719"/>
      <c r="G483" s="24">
        <f t="shared" si="93"/>
        <v>1</v>
      </c>
      <c r="H483" s="719"/>
      <c r="I483" s="24">
        <f t="shared" si="94"/>
        <v>1</v>
      </c>
      <c r="J483" s="719"/>
      <c r="K483" s="24">
        <f t="shared" si="95"/>
        <v>1</v>
      </c>
      <c r="L483" s="719"/>
      <c r="M483" s="24">
        <f t="shared" si="96"/>
        <v>1</v>
      </c>
      <c r="N483" s="719"/>
      <c r="O483" s="24">
        <f t="shared" si="97"/>
        <v>1</v>
      </c>
      <c r="P483" s="719"/>
      <c r="Q483" s="24">
        <f t="shared" si="98"/>
        <v>0</v>
      </c>
      <c r="R483" s="715">
        <f t="shared" si="99"/>
        <v>0</v>
      </c>
      <c r="S483" s="361">
        <f t="shared" si="90"/>
        <v>0</v>
      </c>
    </row>
    <row r="484" spans="1:19">
      <c r="A484" s="159"/>
      <c r="B484" s="59"/>
      <c r="C484" s="24">
        <f t="shared" si="91"/>
        <v>1</v>
      </c>
      <c r="D484" s="719"/>
      <c r="E484" s="24">
        <f t="shared" si="92"/>
        <v>1</v>
      </c>
      <c r="F484" s="719"/>
      <c r="G484" s="24">
        <f t="shared" si="93"/>
        <v>1</v>
      </c>
      <c r="H484" s="719"/>
      <c r="I484" s="24">
        <f t="shared" si="94"/>
        <v>1</v>
      </c>
      <c r="J484" s="719"/>
      <c r="K484" s="24">
        <f t="shared" si="95"/>
        <v>1</v>
      </c>
      <c r="L484" s="719"/>
      <c r="M484" s="24">
        <f t="shared" si="96"/>
        <v>1</v>
      </c>
      <c r="N484" s="719"/>
      <c r="O484" s="24">
        <f t="shared" si="97"/>
        <v>1</v>
      </c>
      <c r="P484" s="719"/>
      <c r="Q484" s="24">
        <f t="shared" si="98"/>
        <v>0</v>
      </c>
      <c r="R484" s="715">
        <f t="shared" si="99"/>
        <v>0</v>
      </c>
      <c r="S484" s="361">
        <f t="shared" si="90"/>
        <v>0</v>
      </c>
    </row>
    <row r="485" spans="1:19">
      <c r="A485" s="159"/>
      <c r="B485" s="59"/>
      <c r="C485" s="24">
        <f t="shared" si="91"/>
        <v>1</v>
      </c>
      <c r="D485" s="719"/>
      <c r="E485" s="24">
        <f t="shared" si="92"/>
        <v>1</v>
      </c>
      <c r="F485" s="719"/>
      <c r="G485" s="24">
        <f t="shared" si="93"/>
        <v>1</v>
      </c>
      <c r="H485" s="719"/>
      <c r="I485" s="24">
        <f t="shared" si="94"/>
        <v>1</v>
      </c>
      <c r="J485" s="719"/>
      <c r="K485" s="24">
        <f t="shared" si="95"/>
        <v>1</v>
      </c>
      <c r="L485" s="719"/>
      <c r="M485" s="24">
        <f t="shared" si="96"/>
        <v>1</v>
      </c>
      <c r="N485" s="719"/>
      <c r="O485" s="24">
        <f t="shared" si="97"/>
        <v>1</v>
      </c>
      <c r="P485" s="719"/>
      <c r="Q485" s="24">
        <f t="shared" si="98"/>
        <v>0</v>
      </c>
      <c r="R485" s="715">
        <f t="shared" si="99"/>
        <v>0</v>
      </c>
      <c r="S485" s="361">
        <f t="shared" si="90"/>
        <v>0</v>
      </c>
    </row>
    <row r="486" spans="1:19">
      <c r="A486" s="159"/>
      <c r="B486" s="59"/>
      <c r="C486" s="24">
        <f t="shared" si="91"/>
        <v>1</v>
      </c>
      <c r="D486" s="719"/>
      <c r="E486" s="24">
        <f t="shared" si="92"/>
        <v>1</v>
      </c>
      <c r="F486" s="719"/>
      <c r="G486" s="24">
        <f t="shared" si="93"/>
        <v>1</v>
      </c>
      <c r="H486" s="719"/>
      <c r="I486" s="24">
        <f t="shared" si="94"/>
        <v>1</v>
      </c>
      <c r="J486" s="719"/>
      <c r="K486" s="24">
        <f t="shared" si="95"/>
        <v>1</v>
      </c>
      <c r="L486" s="719"/>
      <c r="M486" s="24">
        <f t="shared" si="96"/>
        <v>1</v>
      </c>
      <c r="N486" s="719"/>
      <c r="O486" s="24">
        <f t="shared" si="97"/>
        <v>1</v>
      </c>
      <c r="P486" s="719"/>
      <c r="Q486" s="24">
        <f t="shared" si="98"/>
        <v>0</v>
      </c>
      <c r="R486" s="715">
        <f t="shared" si="99"/>
        <v>0</v>
      </c>
      <c r="S486" s="361">
        <f t="shared" si="90"/>
        <v>0</v>
      </c>
    </row>
    <row r="487" spans="1:19">
      <c r="A487" s="159"/>
      <c r="B487" s="59"/>
      <c r="C487" s="24">
        <f t="shared" si="91"/>
        <v>1</v>
      </c>
      <c r="D487" s="719"/>
      <c r="E487" s="24">
        <f t="shared" si="92"/>
        <v>1</v>
      </c>
      <c r="F487" s="719"/>
      <c r="G487" s="24">
        <f t="shared" si="93"/>
        <v>1</v>
      </c>
      <c r="H487" s="719"/>
      <c r="I487" s="24">
        <f t="shared" si="94"/>
        <v>1</v>
      </c>
      <c r="J487" s="719"/>
      <c r="K487" s="24">
        <f t="shared" si="95"/>
        <v>1</v>
      </c>
      <c r="L487" s="719"/>
      <c r="M487" s="24">
        <f t="shared" si="96"/>
        <v>1</v>
      </c>
      <c r="N487" s="719"/>
      <c r="O487" s="24">
        <f t="shared" si="97"/>
        <v>1</v>
      </c>
      <c r="P487" s="719"/>
      <c r="Q487" s="24">
        <f t="shared" si="98"/>
        <v>0</v>
      </c>
      <c r="R487" s="715">
        <f t="shared" si="99"/>
        <v>0</v>
      </c>
      <c r="S487" s="361">
        <f t="shared" si="90"/>
        <v>0</v>
      </c>
    </row>
    <row r="488" spans="1:19">
      <c r="A488" s="159"/>
      <c r="B488" s="59"/>
      <c r="C488" s="24">
        <f t="shared" si="91"/>
        <v>1</v>
      </c>
      <c r="D488" s="719"/>
      <c r="E488" s="24">
        <f t="shared" si="92"/>
        <v>1</v>
      </c>
      <c r="F488" s="719"/>
      <c r="G488" s="24">
        <f t="shared" si="93"/>
        <v>1</v>
      </c>
      <c r="H488" s="719"/>
      <c r="I488" s="24">
        <f t="shared" si="94"/>
        <v>1</v>
      </c>
      <c r="J488" s="719"/>
      <c r="K488" s="24">
        <f t="shared" si="95"/>
        <v>1</v>
      </c>
      <c r="L488" s="719"/>
      <c r="M488" s="24">
        <f t="shared" si="96"/>
        <v>1</v>
      </c>
      <c r="N488" s="719"/>
      <c r="O488" s="24">
        <f t="shared" si="97"/>
        <v>1</v>
      </c>
      <c r="P488" s="719"/>
      <c r="Q488" s="24">
        <f t="shared" si="98"/>
        <v>0</v>
      </c>
      <c r="R488" s="715">
        <f t="shared" si="99"/>
        <v>0</v>
      </c>
      <c r="S488" s="361">
        <f t="shared" si="90"/>
        <v>0</v>
      </c>
    </row>
    <row r="489" spans="1:19">
      <c r="A489" s="159"/>
      <c r="B489" s="59"/>
      <c r="C489" s="24">
        <f t="shared" si="91"/>
        <v>1</v>
      </c>
      <c r="D489" s="719"/>
      <c r="E489" s="24">
        <f t="shared" si="92"/>
        <v>1</v>
      </c>
      <c r="F489" s="719"/>
      <c r="G489" s="24">
        <f t="shared" si="93"/>
        <v>1</v>
      </c>
      <c r="H489" s="719"/>
      <c r="I489" s="24">
        <f t="shared" si="94"/>
        <v>1</v>
      </c>
      <c r="J489" s="719"/>
      <c r="K489" s="24">
        <f t="shared" si="95"/>
        <v>1</v>
      </c>
      <c r="L489" s="719"/>
      <c r="M489" s="24">
        <f t="shared" si="96"/>
        <v>1</v>
      </c>
      <c r="N489" s="719"/>
      <c r="O489" s="24">
        <f t="shared" si="97"/>
        <v>1</v>
      </c>
      <c r="P489" s="719"/>
      <c r="Q489" s="24">
        <f t="shared" si="98"/>
        <v>0</v>
      </c>
      <c r="R489" s="715">
        <f t="shared" si="99"/>
        <v>0</v>
      </c>
      <c r="S489" s="361">
        <f t="shared" si="90"/>
        <v>0</v>
      </c>
    </row>
    <row r="490" spans="1:19">
      <c r="A490" s="159"/>
      <c r="B490" s="59"/>
      <c r="C490" s="24">
        <f t="shared" si="91"/>
        <v>1</v>
      </c>
      <c r="D490" s="719"/>
      <c r="E490" s="24">
        <f t="shared" si="92"/>
        <v>1</v>
      </c>
      <c r="F490" s="719"/>
      <c r="G490" s="24">
        <f t="shared" si="93"/>
        <v>1</v>
      </c>
      <c r="H490" s="719"/>
      <c r="I490" s="24">
        <f t="shared" si="94"/>
        <v>1</v>
      </c>
      <c r="J490" s="719"/>
      <c r="K490" s="24">
        <f t="shared" si="95"/>
        <v>1</v>
      </c>
      <c r="L490" s="719"/>
      <c r="M490" s="24">
        <f t="shared" si="96"/>
        <v>1</v>
      </c>
      <c r="N490" s="719"/>
      <c r="O490" s="24">
        <f t="shared" si="97"/>
        <v>1</v>
      </c>
      <c r="P490" s="719"/>
      <c r="Q490" s="24">
        <f t="shared" si="98"/>
        <v>0</v>
      </c>
      <c r="R490" s="715">
        <f t="shared" si="99"/>
        <v>0</v>
      </c>
      <c r="S490" s="361">
        <f t="shared" si="90"/>
        <v>0</v>
      </c>
    </row>
    <row r="491" spans="1:19">
      <c r="A491" s="159"/>
      <c r="B491" s="59"/>
      <c r="C491" s="24">
        <f t="shared" si="91"/>
        <v>1</v>
      </c>
      <c r="D491" s="719"/>
      <c r="E491" s="24">
        <f t="shared" si="92"/>
        <v>1</v>
      </c>
      <c r="F491" s="719"/>
      <c r="G491" s="24">
        <f t="shared" si="93"/>
        <v>1</v>
      </c>
      <c r="H491" s="719"/>
      <c r="I491" s="24">
        <f t="shared" si="94"/>
        <v>1</v>
      </c>
      <c r="J491" s="719"/>
      <c r="K491" s="24">
        <f t="shared" si="95"/>
        <v>1</v>
      </c>
      <c r="L491" s="719"/>
      <c r="M491" s="24">
        <f t="shared" si="96"/>
        <v>1</v>
      </c>
      <c r="N491" s="719"/>
      <c r="O491" s="24">
        <f t="shared" si="97"/>
        <v>1</v>
      </c>
      <c r="P491" s="719"/>
      <c r="Q491" s="24">
        <f t="shared" si="98"/>
        <v>0</v>
      </c>
      <c r="R491" s="715">
        <f t="shared" si="99"/>
        <v>0</v>
      </c>
      <c r="S491" s="361">
        <f t="shared" si="90"/>
        <v>0</v>
      </c>
    </row>
    <row r="492" spans="1:19">
      <c r="A492" s="159"/>
      <c r="B492" s="59"/>
      <c r="C492" s="24">
        <f t="shared" si="91"/>
        <v>1</v>
      </c>
      <c r="D492" s="719"/>
      <c r="E492" s="24">
        <f t="shared" si="92"/>
        <v>1</v>
      </c>
      <c r="F492" s="719"/>
      <c r="G492" s="24">
        <f t="shared" si="93"/>
        <v>1</v>
      </c>
      <c r="H492" s="719"/>
      <c r="I492" s="24">
        <f t="shared" si="94"/>
        <v>1</v>
      </c>
      <c r="J492" s="719"/>
      <c r="K492" s="24">
        <f t="shared" si="95"/>
        <v>1</v>
      </c>
      <c r="L492" s="719"/>
      <c r="M492" s="24">
        <f t="shared" si="96"/>
        <v>1</v>
      </c>
      <c r="N492" s="719"/>
      <c r="O492" s="24">
        <f t="shared" si="97"/>
        <v>1</v>
      </c>
      <c r="P492" s="719"/>
      <c r="Q492" s="24">
        <f t="shared" si="98"/>
        <v>0</v>
      </c>
      <c r="R492" s="715">
        <f t="shared" si="99"/>
        <v>0</v>
      </c>
      <c r="S492" s="361">
        <f t="shared" si="90"/>
        <v>0</v>
      </c>
    </row>
    <row r="493" spans="1:19">
      <c r="A493" s="159"/>
      <c r="B493" s="59"/>
      <c r="C493" s="24">
        <f t="shared" si="91"/>
        <v>1</v>
      </c>
      <c r="D493" s="719"/>
      <c r="E493" s="24">
        <f t="shared" si="92"/>
        <v>1</v>
      </c>
      <c r="F493" s="719"/>
      <c r="G493" s="24">
        <f t="shared" si="93"/>
        <v>1</v>
      </c>
      <c r="H493" s="719"/>
      <c r="I493" s="24">
        <f t="shared" si="94"/>
        <v>1</v>
      </c>
      <c r="J493" s="719"/>
      <c r="K493" s="24">
        <f t="shared" si="95"/>
        <v>1</v>
      </c>
      <c r="L493" s="719"/>
      <c r="M493" s="24">
        <f t="shared" si="96"/>
        <v>1</v>
      </c>
      <c r="N493" s="719"/>
      <c r="O493" s="24">
        <f t="shared" si="97"/>
        <v>1</v>
      </c>
      <c r="P493" s="719"/>
      <c r="Q493" s="24">
        <f t="shared" si="98"/>
        <v>0</v>
      </c>
      <c r="R493" s="715">
        <f t="shared" si="99"/>
        <v>0</v>
      </c>
      <c r="S493" s="361">
        <f t="shared" si="90"/>
        <v>0</v>
      </c>
    </row>
    <row r="494" spans="1:19">
      <c r="A494" s="159"/>
      <c r="B494" s="59"/>
      <c r="C494" s="24">
        <f t="shared" si="91"/>
        <v>1</v>
      </c>
      <c r="D494" s="719"/>
      <c r="E494" s="24">
        <f t="shared" si="92"/>
        <v>1</v>
      </c>
      <c r="F494" s="719"/>
      <c r="G494" s="24">
        <f t="shared" si="93"/>
        <v>1</v>
      </c>
      <c r="H494" s="719"/>
      <c r="I494" s="24">
        <f t="shared" si="94"/>
        <v>1</v>
      </c>
      <c r="J494" s="719"/>
      <c r="K494" s="24">
        <f t="shared" si="95"/>
        <v>1</v>
      </c>
      <c r="L494" s="719"/>
      <c r="M494" s="24">
        <f t="shared" si="96"/>
        <v>1</v>
      </c>
      <c r="N494" s="719"/>
      <c r="O494" s="24">
        <f t="shared" si="97"/>
        <v>1</v>
      </c>
      <c r="P494" s="719"/>
      <c r="Q494" s="24">
        <f t="shared" si="98"/>
        <v>0</v>
      </c>
      <c r="R494" s="715">
        <f t="shared" si="99"/>
        <v>0</v>
      </c>
      <c r="S494" s="361">
        <f t="shared" si="90"/>
        <v>0</v>
      </c>
    </row>
    <row r="495" spans="1:19">
      <c r="A495" s="159"/>
      <c r="B495" s="59"/>
      <c r="C495" s="24">
        <f t="shared" si="91"/>
        <v>1</v>
      </c>
      <c r="D495" s="719"/>
      <c r="E495" s="24">
        <f t="shared" si="92"/>
        <v>1</v>
      </c>
      <c r="F495" s="719"/>
      <c r="G495" s="24">
        <f t="shared" si="93"/>
        <v>1</v>
      </c>
      <c r="H495" s="719"/>
      <c r="I495" s="24">
        <f t="shared" si="94"/>
        <v>1</v>
      </c>
      <c r="J495" s="719"/>
      <c r="K495" s="24">
        <f t="shared" si="95"/>
        <v>1</v>
      </c>
      <c r="L495" s="719"/>
      <c r="M495" s="24">
        <f t="shared" si="96"/>
        <v>1</v>
      </c>
      <c r="N495" s="719"/>
      <c r="O495" s="24">
        <f t="shared" si="97"/>
        <v>1</v>
      </c>
      <c r="P495" s="719"/>
      <c r="Q495" s="24">
        <f t="shared" si="98"/>
        <v>0</v>
      </c>
      <c r="R495" s="715">
        <f t="shared" si="99"/>
        <v>0</v>
      </c>
      <c r="S495" s="361">
        <f t="shared" si="90"/>
        <v>0</v>
      </c>
    </row>
    <row r="496" spans="1:19">
      <c r="A496" s="159"/>
      <c r="B496" s="59"/>
      <c r="C496" s="24">
        <f t="shared" si="91"/>
        <v>1</v>
      </c>
      <c r="D496" s="719"/>
      <c r="E496" s="24">
        <f t="shared" si="92"/>
        <v>1</v>
      </c>
      <c r="F496" s="719"/>
      <c r="G496" s="24">
        <f t="shared" si="93"/>
        <v>1</v>
      </c>
      <c r="H496" s="719"/>
      <c r="I496" s="24">
        <f t="shared" si="94"/>
        <v>1</v>
      </c>
      <c r="J496" s="719"/>
      <c r="K496" s="24">
        <f t="shared" si="95"/>
        <v>1</v>
      </c>
      <c r="L496" s="719"/>
      <c r="M496" s="24">
        <f t="shared" si="96"/>
        <v>1</v>
      </c>
      <c r="N496" s="719"/>
      <c r="O496" s="24">
        <f t="shared" si="97"/>
        <v>1</v>
      </c>
      <c r="P496" s="719"/>
      <c r="Q496" s="24">
        <f t="shared" si="98"/>
        <v>0</v>
      </c>
      <c r="R496" s="715">
        <f t="shared" si="99"/>
        <v>0</v>
      </c>
      <c r="S496" s="361">
        <f t="shared" si="90"/>
        <v>0</v>
      </c>
    </row>
    <row r="497" spans="1:19">
      <c r="A497" s="159"/>
      <c r="B497" s="59"/>
      <c r="C497" s="24">
        <f t="shared" si="91"/>
        <v>1</v>
      </c>
      <c r="D497" s="719"/>
      <c r="E497" s="24">
        <f t="shared" si="92"/>
        <v>1</v>
      </c>
      <c r="F497" s="719"/>
      <c r="G497" s="24">
        <f t="shared" si="93"/>
        <v>1</v>
      </c>
      <c r="H497" s="719"/>
      <c r="I497" s="24">
        <f t="shared" si="94"/>
        <v>1</v>
      </c>
      <c r="J497" s="719"/>
      <c r="K497" s="24">
        <f t="shared" si="95"/>
        <v>1</v>
      </c>
      <c r="L497" s="719"/>
      <c r="M497" s="24">
        <f t="shared" si="96"/>
        <v>1</v>
      </c>
      <c r="N497" s="719"/>
      <c r="O497" s="24">
        <f t="shared" si="97"/>
        <v>1</v>
      </c>
      <c r="P497" s="719"/>
      <c r="Q497" s="24">
        <f t="shared" si="98"/>
        <v>0</v>
      </c>
      <c r="R497" s="715">
        <f t="shared" si="99"/>
        <v>0</v>
      </c>
      <c r="S497" s="361">
        <f t="shared" si="90"/>
        <v>0</v>
      </c>
    </row>
    <row r="498" spans="1:19">
      <c r="A498" s="159"/>
      <c r="B498" s="59"/>
      <c r="C498" s="24">
        <f t="shared" si="91"/>
        <v>1</v>
      </c>
      <c r="D498" s="719"/>
      <c r="E498" s="24">
        <f t="shared" si="92"/>
        <v>1</v>
      </c>
      <c r="F498" s="719"/>
      <c r="G498" s="24">
        <f t="shared" si="93"/>
        <v>1</v>
      </c>
      <c r="H498" s="719"/>
      <c r="I498" s="24">
        <f t="shared" si="94"/>
        <v>1</v>
      </c>
      <c r="J498" s="719"/>
      <c r="K498" s="24">
        <f t="shared" si="95"/>
        <v>1</v>
      </c>
      <c r="L498" s="719"/>
      <c r="M498" s="24">
        <f t="shared" si="96"/>
        <v>1</v>
      </c>
      <c r="N498" s="719"/>
      <c r="O498" s="24">
        <f t="shared" si="97"/>
        <v>1</v>
      </c>
      <c r="P498" s="719"/>
      <c r="Q498" s="24">
        <f t="shared" si="98"/>
        <v>0</v>
      </c>
      <c r="R498" s="715">
        <f t="shared" si="99"/>
        <v>0</v>
      </c>
      <c r="S498" s="361">
        <f t="shared" ref="S498:S524" si="100">ROUND(R498*B498/10000,0)</f>
        <v>0</v>
      </c>
    </row>
    <row r="499" spans="1:19">
      <c r="A499" s="159"/>
      <c r="B499" s="59"/>
      <c r="C499" s="24">
        <f t="shared" si="91"/>
        <v>1</v>
      </c>
      <c r="D499" s="719"/>
      <c r="E499" s="24">
        <f t="shared" si="92"/>
        <v>1</v>
      </c>
      <c r="F499" s="719"/>
      <c r="G499" s="24">
        <f t="shared" si="93"/>
        <v>1</v>
      </c>
      <c r="H499" s="719"/>
      <c r="I499" s="24">
        <f t="shared" si="94"/>
        <v>1</v>
      </c>
      <c r="J499" s="719"/>
      <c r="K499" s="24">
        <f t="shared" si="95"/>
        <v>1</v>
      </c>
      <c r="L499" s="719"/>
      <c r="M499" s="24">
        <f t="shared" si="96"/>
        <v>1</v>
      </c>
      <c r="N499" s="719"/>
      <c r="O499" s="24">
        <f t="shared" si="97"/>
        <v>1</v>
      </c>
      <c r="P499" s="719"/>
      <c r="Q499" s="24">
        <f t="shared" si="98"/>
        <v>0</v>
      </c>
      <c r="R499" s="715">
        <f t="shared" si="99"/>
        <v>0</v>
      </c>
      <c r="S499" s="361">
        <f t="shared" si="100"/>
        <v>0</v>
      </c>
    </row>
    <row r="500" spans="1:19">
      <c r="A500" s="159"/>
      <c r="B500" s="59"/>
      <c r="C500" s="24">
        <f t="shared" si="91"/>
        <v>1</v>
      </c>
      <c r="D500" s="719"/>
      <c r="E500" s="24">
        <f t="shared" si="92"/>
        <v>1</v>
      </c>
      <c r="F500" s="719"/>
      <c r="G500" s="24">
        <f t="shared" si="93"/>
        <v>1</v>
      </c>
      <c r="H500" s="719"/>
      <c r="I500" s="24">
        <f t="shared" si="94"/>
        <v>1</v>
      </c>
      <c r="J500" s="719"/>
      <c r="K500" s="24">
        <f t="shared" si="95"/>
        <v>1</v>
      </c>
      <c r="L500" s="719"/>
      <c r="M500" s="24">
        <f t="shared" si="96"/>
        <v>1</v>
      </c>
      <c r="N500" s="719"/>
      <c r="O500" s="24">
        <f t="shared" si="97"/>
        <v>1</v>
      </c>
      <c r="P500" s="719"/>
      <c r="Q500" s="24">
        <f t="shared" si="98"/>
        <v>0</v>
      </c>
      <c r="R500" s="715">
        <f t="shared" si="99"/>
        <v>0</v>
      </c>
      <c r="S500" s="361">
        <f t="shared" si="100"/>
        <v>0</v>
      </c>
    </row>
    <row r="501" spans="1:19">
      <c r="A501" s="159"/>
      <c r="B501" s="59"/>
      <c r="C501" s="24">
        <f t="shared" si="91"/>
        <v>1</v>
      </c>
      <c r="D501" s="719"/>
      <c r="E501" s="24">
        <f t="shared" si="92"/>
        <v>1</v>
      </c>
      <c r="F501" s="719"/>
      <c r="G501" s="24">
        <f t="shared" si="93"/>
        <v>1</v>
      </c>
      <c r="H501" s="719"/>
      <c r="I501" s="24">
        <f t="shared" si="94"/>
        <v>1</v>
      </c>
      <c r="J501" s="719"/>
      <c r="K501" s="24">
        <f t="shared" si="95"/>
        <v>1</v>
      </c>
      <c r="L501" s="719"/>
      <c r="M501" s="24">
        <f t="shared" si="96"/>
        <v>1</v>
      </c>
      <c r="N501" s="719"/>
      <c r="O501" s="24">
        <f t="shared" si="97"/>
        <v>1</v>
      </c>
      <c r="P501" s="719"/>
      <c r="Q501" s="24">
        <f t="shared" si="98"/>
        <v>0</v>
      </c>
      <c r="R501" s="715">
        <f t="shared" si="99"/>
        <v>0</v>
      </c>
      <c r="S501" s="361">
        <f t="shared" si="100"/>
        <v>0</v>
      </c>
    </row>
    <row r="502" spans="1:19">
      <c r="A502" s="159"/>
      <c r="B502" s="59"/>
      <c r="C502" s="24">
        <f t="shared" si="91"/>
        <v>1</v>
      </c>
      <c r="D502" s="719"/>
      <c r="E502" s="24">
        <f t="shared" si="92"/>
        <v>1</v>
      </c>
      <c r="F502" s="719"/>
      <c r="G502" s="24">
        <f t="shared" si="93"/>
        <v>1</v>
      </c>
      <c r="H502" s="719"/>
      <c r="I502" s="24">
        <f t="shared" si="94"/>
        <v>1</v>
      </c>
      <c r="J502" s="719"/>
      <c r="K502" s="24">
        <f t="shared" si="95"/>
        <v>1</v>
      </c>
      <c r="L502" s="719"/>
      <c r="M502" s="24">
        <f t="shared" si="96"/>
        <v>1</v>
      </c>
      <c r="N502" s="719"/>
      <c r="O502" s="24">
        <f t="shared" si="97"/>
        <v>1</v>
      </c>
      <c r="P502" s="719"/>
      <c r="Q502" s="24">
        <f t="shared" si="98"/>
        <v>0</v>
      </c>
      <c r="R502" s="715">
        <f t="shared" si="99"/>
        <v>0</v>
      </c>
      <c r="S502" s="361">
        <f t="shared" si="100"/>
        <v>0</v>
      </c>
    </row>
    <row r="503" spans="1:19">
      <c r="A503" s="159"/>
      <c r="B503" s="59"/>
      <c r="C503" s="24">
        <f t="shared" si="91"/>
        <v>1</v>
      </c>
      <c r="D503" s="719"/>
      <c r="E503" s="24">
        <f t="shared" si="92"/>
        <v>1</v>
      </c>
      <c r="F503" s="719"/>
      <c r="G503" s="24">
        <f t="shared" si="93"/>
        <v>1</v>
      </c>
      <c r="H503" s="719"/>
      <c r="I503" s="24">
        <f t="shared" si="94"/>
        <v>1</v>
      </c>
      <c r="J503" s="719"/>
      <c r="K503" s="24">
        <f t="shared" si="95"/>
        <v>1</v>
      </c>
      <c r="L503" s="719"/>
      <c r="M503" s="24">
        <f t="shared" si="96"/>
        <v>1</v>
      </c>
      <c r="N503" s="719"/>
      <c r="O503" s="24">
        <f t="shared" si="97"/>
        <v>1</v>
      </c>
      <c r="P503" s="719"/>
      <c r="Q503" s="24">
        <f t="shared" si="98"/>
        <v>0</v>
      </c>
      <c r="R503" s="715">
        <f t="shared" si="99"/>
        <v>0</v>
      </c>
      <c r="S503" s="361">
        <f t="shared" si="100"/>
        <v>0</v>
      </c>
    </row>
    <row r="504" spans="1:19">
      <c r="A504" s="159"/>
      <c r="B504" s="59"/>
      <c r="C504" s="24">
        <f t="shared" si="91"/>
        <v>1</v>
      </c>
      <c r="D504" s="719"/>
      <c r="E504" s="24">
        <f t="shared" si="92"/>
        <v>1</v>
      </c>
      <c r="F504" s="719"/>
      <c r="G504" s="24">
        <f t="shared" si="93"/>
        <v>1</v>
      </c>
      <c r="H504" s="719"/>
      <c r="I504" s="24">
        <f t="shared" si="94"/>
        <v>1</v>
      </c>
      <c r="J504" s="719"/>
      <c r="K504" s="24">
        <f t="shared" si="95"/>
        <v>1</v>
      </c>
      <c r="L504" s="719"/>
      <c r="M504" s="24">
        <f t="shared" si="96"/>
        <v>1</v>
      </c>
      <c r="N504" s="719"/>
      <c r="O504" s="24">
        <f t="shared" si="97"/>
        <v>1</v>
      </c>
      <c r="P504" s="719"/>
      <c r="Q504" s="24">
        <f t="shared" si="98"/>
        <v>0</v>
      </c>
      <c r="R504" s="715">
        <f t="shared" si="99"/>
        <v>0</v>
      </c>
      <c r="S504" s="361">
        <f t="shared" si="100"/>
        <v>0</v>
      </c>
    </row>
    <row r="505" spans="1:19">
      <c r="A505" s="159"/>
      <c r="B505" s="59"/>
      <c r="C505" s="24">
        <f t="shared" si="91"/>
        <v>1</v>
      </c>
      <c r="D505" s="719"/>
      <c r="E505" s="24">
        <f t="shared" si="92"/>
        <v>1</v>
      </c>
      <c r="F505" s="719"/>
      <c r="G505" s="24">
        <f t="shared" si="93"/>
        <v>1</v>
      </c>
      <c r="H505" s="719"/>
      <c r="I505" s="24">
        <f t="shared" si="94"/>
        <v>1</v>
      </c>
      <c r="J505" s="719"/>
      <c r="K505" s="24">
        <f t="shared" si="95"/>
        <v>1</v>
      </c>
      <c r="L505" s="719"/>
      <c r="M505" s="24">
        <f t="shared" si="96"/>
        <v>1</v>
      </c>
      <c r="N505" s="719"/>
      <c r="O505" s="24">
        <f t="shared" si="97"/>
        <v>1</v>
      </c>
      <c r="P505" s="719"/>
      <c r="Q505" s="24">
        <f t="shared" si="98"/>
        <v>0</v>
      </c>
      <c r="R505" s="715">
        <f t="shared" si="99"/>
        <v>0</v>
      </c>
      <c r="S505" s="361">
        <f t="shared" si="100"/>
        <v>0</v>
      </c>
    </row>
    <row r="506" spans="1:19">
      <c r="A506" s="159"/>
      <c r="B506" s="59"/>
      <c r="C506" s="24">
        <f t="shared" si="91"/>
        <v>1</v>
      </c>
      <c r="D506" s="719"/>
      <c r="E506" s="24">
        <f t="shared" si="92"/>
        <v>1</v>
      </c>
      <c r="F506" s="719"/>
      <c r="G506" s="24">
        <f t="shared" si="93"/>
        <v>1</v>
      </c>
      <c r="H506" s="719"/>
      <c r="I506" s="24">
        <f t="shared" si="94"/>
        <v>1</v>
      </c>
      <c r="J506" s="719"/>
      <c r="K506" s="24">
        <f t="shared" si="95"/>
        <v>1</v>
      </c>
      <c r="L506" s="719"/>
      <c r="M506" s="24">
        <f t="shared" si="96"/>
        <v>1</v>
      </c>
      <c r="N506" s="719"/>
      <c r="O506" s="24">
        <f t="shared" si="97"/>
        <v>1</v>
      </c>
      <c r="P506" s="719"/>
      <c r="Q506" s="24">
        <f t="shared" si="98"/>
        <v>0</v>
      </c>
      <c r="R506" s="715">
        <f t="shared" si="99"/>
        <v>0</v>
      </c>
      <c r="S506" s="361">
        <f t="shared" si="100"/>
        <v>0</v>
      </c>
    </row>
    <row r="507" spans="1:19">
      <c r="A507" s="159"/>
      <c r="B507" s="59"/>
      <c r="C507" s="24">
        <f t="shared" si="91"/>
        <v>1</v>
      </c>
      <c r="D507" s="719"/>
      <c r="E507" s="24">
        <f t="shared" si="92"/>
        <v>1</v>
      </c>
      <c r="F507" s="719"/>
      <c r="G507" s="24">
        <f t="shared" si="93"/>
        <v>1</v>
      </c>
      <c r="H507" s="719"/>
      <c r="I507" s="24">
        <f t="shared" si="94"/>
        <v>1</v>
      </c>
      <c r="J507" s="719"/>
      <c r="K507" s="24">
        <f t="shared" si="95"/>
        <v>1</v>
      </c>
      <c r="L507" s="719"/>
      <c r="M507" s="24">
        <f t="shared" si="96"/>
        <v>1</v>
      </c>
      <c r="N507" s="719"/>
      <c r="O507" s="24">
        <f t="shared" si="97"/>
        <v>1</v>
      </c>
      <c r="P507" s="719"/>
      <c r="Q507" s="24">
        <f t="shared" si="98"/>
        <v>0</v>
      </c>
      <c r="R507" s="715">
        <f t="shared" si="99"/>
        <v>0</v>
      </c>
      <c r="S507" s="361">
        <f t="shared" si="100"/>
        <v>0</v>
      </c>
    </row>
    <row r="508" spans="1:19">
      <c r="A508" s="159"/>
      <c r="B508" s="59"/>
      <c r="C508" s="24">
        <f t="shared" si="91"/>
        <v>1</v>
      </c>
      <c r="D508" s="719"/>
      <c r="E508" s="24">
        <f t="shared" si="92"/>
        <v>1</v>
      </c>
      <c r="F508" s="719"/>
      <c r="G508" s="24">
        <f t="shared" si="93"/>
        <v>1</v>
      </c>
      <c r="H508" s="719"/>
      <c r="I508" s="24">
        <f t="shared" si="94"/>
        <v>1</v>
      </c>
      <c r="J508" s="719"/>
      <c r="K508" s="24">
        <f t="shared" si="95"/>
        <v>1</v>
      </c>
      <c r="L508" s="719"/>
      <c r="M508" s="24">
        <f t="shared" si="96"/>
        <v>1</v>
      </c>
      <c r="N508" s="719"/>
      <c r="O508" s="24">
        <f t="shared" si="97"/>
        <v>1</v>
      </c>
      <c r="P508" s="719"/>
      <c r="Q508" s="24">
        <f t="shared" si="98"/>
        <v>0</v>
      </c>
      <c r="R508" s="715">
        <f t="shared" si="99"/>
        <v>0</v>
      </c>
      <c r="S508" s="361">
        <f t="shared" si="100"/>
        <v>0</v>
      </c>
    </row>
    <row r="509" spans="1:19">
      <c r="A509" s="159"/>
      <c r="B509" s="59"/>
      <c r="C509" s="24">
        <f t="shared" si="91"/>
        <v>1</v>
      </c>
      <c r="D509" s="719"/>
      <c r="E509" s="24">
        <f t="shared" si="92"/>
        <v>1</v>
      </c>
      <c r="F509" s="719"/>
      <c r="G509" s="24">
        <f t="shared" si="93"/>
        <v>1</v>
      </c>
      <c r="H509" s="719"/>
      <c r="I509" s="24">
        <f t="shared" si="94"/>
        <v>1</v>
      </c>
      <c r="J509" s="719"/>
      <c r="K509" s="24">
        <f t="shared" si="95"/>
        <v>1</v>
      </c>
      <c r="L509" s="719"/>
      <c r="M509" s="24">
        <f t="shared" si="96"/>
        <v>1</v>
      </c>
      <c r="N509" s="719"/>
      <c r="O509" s="24">
        <f t="shared" si="97"/>
        <v>1</v>
      </c>
      <c r="P509" s="719"/>
      <c r="Q509" s="24">
        <f t="shared" si="98"/>
        <v>0</v>
      </c>
      <c r="R509" s="715">
        <f t="shared" si="99"/>
        <v>0</v>
      </c>
      <c r="S509" s="361">
        <f t="shared" si="100"/>
        <v>0</v>
      </c>
    </row>
    <row r="510" spans="1:19">
      <c r="A510" s="159"/>
      <c r="B510" s="59"/>
      <c r="C510" s="24">
        <f t="shared" si="91"/>
        <v>1</v>
      </c>
      <c r="D510" s="719"/>
      <c r="E510" s="24">
        <f t="shared" si="92"/>
        <v>1</v>
      </c>
      <c r="F510" s="719"/>
      <c r="G510" s="24">
        <f t="shared" si="93"/>
        <v>1</v>
      </c>
      <c r="H510" s="719"/>
      <c r="I510" s="24">
        <f t="shared" si="94"/>
        <v>1</v>
      </c>
      <c r="J510" s="719"/>
      <c r="K510" s="24">
        <f t="shared" si="95"/>
        <v>1</v>
      </c>
      <c r="L510" s="719"/>
      <c r="M510" s="24">
        <f t="shared" si="96"/>
        <v>1</v>
      </c>
      <c r="N510" s="719"/>
      <c r="O510" s="24">
        <f t="shared" si="97"/>
        <v>1</v>
      </c>
      <c r="P510" s="719"/>
      <c r="Q510" s="24">
        <f t="shared" si="98"/>
        <v>0</v>
      </c>
      <c r="R510" s="715">
        <f t="shared" si="99"/>
        <v>0</v>
      </c>
      <c r="S510" s="361">
        <f t="shared" si="100"/>
        <v>0</v>
      </c>
    </row>
    <row r="511" spans="1:19">
      <c r="A511" s="159"/>
      <c r="B511" s="59"/>
      <c r="C511" s="24">
        <f t="shared" si="91"/>
        <v>1</v>
      </c>
      <c r="D511" s="719"/>
      <c r="E511" s="24">
        <f t="shared" si="92"/>
        <v>1</v>
      </c>
      <c r="F511" s="719"/>
      <c r="G511" s="24">
        <f t="shared" si="93"/>
        <v>1</v>
      </c>
      <c r="H511" s="719"/>
      <c r="I511" s="24">
        <f t="shared" si="94"/>
        <v>1</v>
      </c>
      <c r="J511" s="719"/>
      <c r="K511" s="24">
        <f t="shared" si="95"/>
        <v>1</v>
      </c>
      <c r="L511" s="719"/>
      <c r="M511" s="24">
        <f t="shared" si="96"/>
        <v>1</v>
      </c>
      <c r="N511" s="719"/>
      <c r="O511" s="24">
        <f t="shared" si="97"/>
        <v>1</v>
      </c>
      <c r="P511" s="719"/>
      <c r="Q511" s="24">
        <f t="shared" si="98"/>
        <v>0</v>
      </c>
      <c r="R511" s="715">
        <f t="shared" si="99"/>
        <v>0</v>
      </c>
      <c r="S511" s="361">
        <f t="shared" si="100"/>
        <v>0</v>
      </c>
    </row>
    <row r="512" spans="1:19">
      <c r="A512" s="159"/>
      <c r="B512" s="59"/>
      <c r="C512" s="24">
        <f t="shared" si="91"/>
        <v>1</v>
      </c>
      <c r="D512" s="719"/>
      <c r="E512" s="24">
        <f t="shared" si="92"/>
        <v>1</v>
      </c>
      <c r="F512" s="719"/>
      <c r="G512" s="24">
        <f t="shared" si="93"/>
        <v>1</v>
      </c>
      <c r="H512" s="719"/>
      <c r="I512" s="24">
        <f t="shared" si="94"/>
        <v>1</v>
      </c>
      <c r="J512" s="719"/>
      <c r="K512" s="24">
        <f t="shared" si="95"/>
        <v>1</v>
      </c>
      <c r="L512" s="719"/>
      <c r="M512" s="24">
        <f t="shared" si="96"/>
        <v>1</v>
      </c>
      <c r="N512" s="719"/>
      <c r="O512" s="24">
        <f t="shared" si="97"/>
        <v>1</v>
      </c>
      <c r="P512" s="719"/>
      <c r="Q512" s="24">
        <f t="shared" si="98"/>
        <v>0</v>
      </c>
      <c r="R512" s="715">
        <f t="shared" si="99"/>
        <v>0</v>
      </c>
      <c r="S512" s="361">
        <f t="shared" si="100"/>
        <v>0</v>
      </c>
    </row>
    <row r="513" spans="1:19">
      <c r="A513" s="159"/>
      <c r="B513" s="59"/>
      <c r="C513" s="24">
        <f t="shared" si="91"/>
        <v>1</v>
      </c>
      <c r="D513" s="719"/>
      <c r="E513" s="24">
        <f t="shared" si="92"/>
        <v>1</v>
      </c>
      <c r="F513" s="719"/>
      <c r="G513" s="24">
        <f t="shared" si="93"/>
        <v>1</v>
      </c>
      <c r="H513" s="719"/>
      <c r="I513" s="24">
        <f t="shared" si="94"/>
        <v>1</v>
      </c>
      <c r="J513" s="719"/>
      <c r="K513" s="24">
        <f t="shared" si="95"/>
        <v>1</v>
      </c>
      <c r="L513" s="719"/>
      <c r="M513" s="24">
        <f t="shared" si="96"/>
        <v>1</v>
      </c>
      <c r="N513" s="719"/>
      <c r="O513" s="24">
        <f t="shared" si="97"/>
        <v>1</v>
      </c>
      <c r="P513" s="719"/>
      <c r="Q513" s="24">
        <f t="shared" si="98"/>
        <v>0</v>
      </c>
      <c r="R513" s="715">
        <f t="shared" si="99"/>
        <v>0</v>
      </c>
      <c r="S513" s="361">
        <f t="shared" si="100"/>
        <v>0</v>
      </c>
    </row>
    <row r="514" spans="1:19">
      <c r="A514" s="159"/>
      <c r="B514" s="59"/>
      <c r="C514" s="24">
        <f t="shared" si="91"/>
        <v>1</v>
      </c>
      <c r="D514" s="719"/>
      <c r="E514" s="24">
        <f t="shared" si="92"/>
        <v>1</v>
      </c>
      <c r="F514" s="719"/>
      <c r="G514" s="24">
        <f t="shared" si="93"/>
        <v>1</v>
      </c>
      <c r="H514" s="719"/>
      <c r="I514" s="24">
        <f t="shared" si="94"/>
        <v>1</v>
      </c>
      <c r="J514" s="719"/>
      <c r="K514" s="24">
        <f t="shared" si="95"/>
        <v>1</v>
      </c>
      <c r="L514" s="719"/>
      <c r="M514" s="24">
        <f t="shared" si="96"/>
        <v>1</v>
      </c>
      <c r="N514" s="719"/>
      <c r="O514" s="24">
        <f t="shared" si="97"/>
        <v>1</v>
      </c>
      <c r="P514" s="719"/>
      <c r="Q514" s="24">
        <f t="shared" si="98"/>
        <v>0</v>
      </c>
      <c r="R514" s="715">
        <f t="shared" si="99"/>
        <v>0</v>
      </c>
      <c r="S514" s="361">
        <f t="shared" si="100"/>
        <v>0</v>
      </c>
    </row>
    <row r="515" spans="1:19">
      <c r="A515" s="159"/>
      <c r="B515" s="59"/>
      <c r="C515" s="24">
        <f t="shared" si="91"/>
        <v>1</v>
      </c>
      <c r="D515" s="719"/>
      <c r="E515" s="24">
        <f t="shared" si="92"/>
        <v>1</v>
      </c>
      <c r="F515" s="719"/>
      <c r="G515" s="24">
        <f t="shared" si="93"/>
        <v>1</v>
      </c>
      <c r="H515" s="719"/>
      <c r="I515" s="24">
        <f t="shared" si="94"/>
        <v>1</v>
      </c>
      <c r="J515" s="719"/>
      <c r="K515" s="24">
        <f t="shared" si="95"/>
        <v>1</v>
      </c>
      <c r="L515" s="719"/>
      <c r="M515" s="24">
        <f t="shared" si="96"/>
        <v>1</v>
      </c>
      <c r="N515" s="719"/>
      <c r="O515" s="24">
        <f t="shared" si="97"/>
        <v>1</v>
      </c>
      <c r="P515" s="719"/>
      <c r="Q515" s="24">
        <f t="shared" si="98"/>
        <v>0</v>
      </c>
      <c r="R515" s="715">
        <f t="shared" si="99"/>
        <v>0</v>
      </c>
      <c r="S515" s="361">
        <f t="shared" si="100"/>
        <v>0</v>
      </c>
    </row>
    <row r="516" spans="1:19">
      <c r="A516" s="159"/>
      <c r="B516" s="59"/>
      <c r="C516" s="24">
        <f t="shared" si="91"/>
        <v>1</v>
      </c>
      <c r="D516" s="719"/>
      <c r="E516" s="24">
        <f t="shared" si="92"/>
        <v>1</v>
      </c>
      <c r="F516" s="719"/>
      <c r="G516" s="24">
        <f t="shared" si="93"/>
        <v>1</v>
      </c>
      <c r="H516" s="719"/>
      <c r="I516" s="24">
        <f t="shared" si="94"/>
        <v>1</v>
      </c>
      <c r="J516" s="719"/>
      <c r="K516" s="24">
        <f t="shared" si="95"/>
        <v>1</v>
      </c>
      <c r="L516" s="719"/>
      <c r="M516" s="24">
        <f t="shared" si="96"/>
        <v>1</v>
      </c>
      <c r="N516" s="719"/>
      <c r="O516" s="24">
        <f t="shared" si="97"/>
        <v>1</v>
      </c>
      <c r="P516" s="719"/>
      <c r="Q516" s="24">
        <f t="shared" si="98"/>
        <v>0</v>
      </c>
      <c r="R516" s="715">
        <f t="shared" si="99"/>
        <v>0</v>
      </c>
      <c r="S516" s="361">
        <f t="shared" si="100"/>
        <v>0</v>
      </c>
    </row>
    <row r="517" spans="1:19">
      <c r="A517" s="159"/>
      <c r="B517" s="59"/>
      <c r="C517" s="24">
        <f t="shared" si="91"/>
        <v>1</v>
      </c>
      <c r="D517" s="719"/>
      <c r="E517" s="24">
        <f t="shared" si="92"/>
        <v>1</v>
      </c>
      <c r="F517" s="719"/>
      <c r="G517" s="24">
        <f t="shared" si="93"/>
        <v>1</v>
      </c>
      <c r="H517" s="719"/>
      <c r="I517" s="24">
        <f t="shared" si="94"/>
        <v>1</v>
      </c>
      <c r="J517" s="719"/>
      <c r="K517" s="24">
        <f t="shared" si="95"/>
        <v>1</v>
      </c>
      <c r="L517" s="719"/>
      <c r="M517" s="24">
        <f t="shared" si="96"/>
        <v>1</v>
      </c>
      <c r="N517" s="719"/>
      <c r="O517" s="24">
        <f t="shared" si="97"/>
        <v>1</v>
      </c>
      <c r="P517" s="719"/>
      <c r="Q517" s="24">
        <f t="shared" si="98"/>
        <v>0</v>
      </c>
      <c r="R517" s="715">
        <f t="shared" si="99"/>
        <v>0</v>
      </c>
      <c r="S517" s="361">
        <f t="shared" si="100"/>
        <v>0</v>
      </c>
    </row>
    <row r="518" spans="1:19">
      <c r="A518" s="159"/>
      <c r="B518" s="59"/>
      <c r="C518" s="24">
        <f t="shared" si="91"/>
        <v>1</v>
      </c>
      <c r="D518" s="719"/>
      <c r="E518" s="24">
        <f t="shared" si="92"/>
        <v>1</v>
      </c>
      <c r="F518" s="719"/>
      <c r="G518" s="24">
        <f t="shared" si="93"/>
        <v>1</v>
      </c>
      <c r="H518" s="719"/>
      <c r="I518" s="24">
        <f t="shared" si="94"/>
        <v>1</v>
      </c>
      <c r="J518" s="719"/>
      <c r="K518" s="24">
        <f t="shared" si="95"/>
        <v>1</v>
      </c>
      <c r="L518" s="719"/>
      <c r="M518" s="24">
        <f t="shared" si="96"/>
        <v>1</v>
      </c>
      <c r="N518" s="719"/>
      <c r="O518" s="24">
        <f t="shared" si="97"/>
        <v>1</v>
      </c>
      <c r="P518" s="719"/>
      <c r="Q518" s="24">
        <f t="shared" si="98"/>
        <v>0</v>
      </c>
      <c r="R518" s="715">
        <f t="shared" si="99"/>
        <v>0</v>
      </c>
      <c r="S518" s="361">
        <f t="shared" si="100"/>
        <v>0</v>
      </c>
    </row>
    <row r="519" spans="1:19">
      <c r="A519" s="159"/>
      <c r="B519" s="59"/>
      <c r="C519" s="24">
        <f t="shared" si="91"/>
        <v>1</v>
      </c>
      <c r="D519" s="719"/>
      <c r="E519" s="24">
        <f t="shared" si="92"/>
        <v>1</v>
      </c>
      <c r="F519" s="719"/>
      <c r="G519" s="24">
        <f t="shared" si="93"/>
        <v>1</v>
      </c>
      <c r="H519" s="719"/>
      <c r="I519" s="24">
        <f t="shared" si="94"/>
        <v>1</v>
      </c>
      <c r="J519" s="719"/>
      <c r="K519" s="24">
        <f t="shared" si="95"/>
        <v>1</v>
      </c>
      <c r="L519" s="719"/>
      <c r="M519" s="24">
        <f t="shared" si="96"/>
        <v>1</v>
      </c>
      <c r="N519" s="719"/>
      <c r="O519" s="24">
        <f t="shared" si="97"/>
        <v>1</v>
      </c>
      <c r="P519" s="719"/>
      <c r="Q519" s="24">
        <f t="shared" si="98"/>
        <v>0</v>
      </c>
      <c r="R519" s="715">
        <f t="shared" si="99"/>
        <v>0</v>
      </c>
      <c r="S519" s="361">
        <f t="shared" si="100"/>
        <v>0</v>
      </c>
    </row>
    <row r="520" spans="1:19">
      <c r="A520" s="159"/>
      <c r="B520" s="59"/>
      <c r="C520" s="24">
        <f t="shared" si="91"/>
        <v>1</v>
      </c>
      <c r="D520" s="719"/>
      <c r="E520" s="24">
        <f t="shared" si="92"/>
        <v>1</v>
      </c>
      <c r="F520" s="719"/>
      <c r="G520" s="24">
        <f t="shared" si="93"/>
        <v>1</v>
      </c>
      <c r="H520" s="719"/>
      <c r="I520" s="24">
        <f t="shared" si="94"/>
        <v>1</v>
      </c>
      <c r="J520" s="719"/>
      <c r="K520" s="24">
        <f t="shared" si="95"/>
        <v>1</v>
      </c>
      <c r="L520" s="719"/>
      <c r="M520" s="24">
        <f t="shared" si="96"/>
        <v>1</v>
      </c>
      <c r="N520" s="719"/>
      <c r="O520" s="24">
        <f t="shared" si="97"/>
        <v>1</v>
      </c>
      <c r="P520" s="719"/>
      <c r="Q520" s="24">
        <f t="shared" si="98"/>
        <v>0</v>
      </c>
      <c r="R520" s="715">
        <f t="shared" si="99"/>
        <v>0</v>
      </c>
      <c r="S520" s="361">
        <f t="shared" si="100"/>
        <v>0</v>
      </c>
    </row>
    <row r="521" spans="1:19">
      <c r="A521" s="159"/>
      <c r="B521" s="59"/>
      <c r="C521" s="24">
        <f t="shared" si="91"/>
        <v>1</v>
      </c>
      <c r="D521" s="719"/>
      <c r="E521" s="24">
        <f t="shared" si="92"/>
        <v>1</v>
      </c>
      <c r="F521" s="719"/>
      <c r="G521" s="24">
        <f t="shared" si="93"/>
        <v>1</v>
      </c>
      <c r="H521" s="719"/>
      <c r="I521" s="24">
        <f t="shared" si="94"/>
        <v>1</v>
      </c>
      <c r="J521" s="719"/>
      <c r="K521" s="24">
        <f t="shared" si="95"/>
        <v>1</v>
      </c>
      <c r="L521" s="719"/>
      <c r="M521" s="24">
        <f t="shared" si="96"/>
        <v>1</v>
      </c>
      <c r="N521" s="719"/>
      <c r="O521" s="24">
        <f t="shared" si="97"/>
        <v>1</v>
      </c>
      <c r="P521" s="719"/>
      <c r="Q521" s="24">
        <f t="shared" si="98"/>
        <v>0</v>
      </c>
      <c r="R521" s="715">
        <f t="shared" si="99"/>
        <v>0</v>
      </c>
      <c r="S521" s="361">
        <f t="shared" si="100"/>
        <v>0</v>
      </c>
    </row>
    <row r="522" spans="1:19">
      <c r="A522" s="159"/>
      <c r="B522" s="59"/>
      <c r="C522" s="24">
        <f t="shared" si="91"/>
        <v>1</v>
      </c>
      <c r="D522" s="719"/>
      <c r="E522" s="24">
        <f t="shared" si="92"/>
        <v>1</v>
      </c>
      <c r="F522" s="719"/>
      <c r="G522" s="24">
        <f t="shared" si="93"/>
        <v>1</v>
      </c>
      <c r="H522" s="719"/>
      <c r="I522" s="24">
        <f t="shared" si="94"/>
        <v>1</v>
      </c>
      <c r="J522" s="719"/>
      <c r="K522" s="24">
        <f t="shared" si="95"/>
        <v>1</v>
      </c>
      <c r="L522" s="719"/>
      <c r="M522" s="24">
        <f t="shared" si="96"/>
        <v>1</v>
      </c>
      <c r="N522" s="719"/>
      <c r="O522" s="24">
        <f t="shared" si="97"/>
        <v>1</v>
      </c>
      <c r="P522" s="719"/>
      <c r="Q522" s="24">
        <f t="shared" si="98"/>
        <v>0</v>
      </c>
      <c r="R522" s="715">
        <f t="shared" si="99"/>
        <v>0</v>
      </c>
      <c r="S522" s="361">
        <f t="shared" si="100"/>
        <v>0</v>
      </c>
    </row>
    <row r="523" spans="1:19">
      <c r="A523" s="159"/>
      <c r="B523" s="59"/>
      <c r="C523" s="24">
        <f t="shared" si="91"/>
        <v>1</v>
      </c>
      <c r="D523" s="719"/>
      <c r="E523" s="24">
        <f t="shared" si="92"/>
        <v>1</v>
      </c>
      <c r="F523" s="719"/>
      <c r="G523" s="24">
        <f t="shared" si="93"/>
        <v>1</v>
      </c>
      <c r="H523" s="719"/>
      <c r="I523" s="24">
        <f t="shared" si="94"/>
        <v>1</v>
      </c>
      <c r="J523" s="719"/>
      <c r="K523" s="24">
        <f t="shared" si="95"/>
        <v>1</v>
      </c>
      <c r="L523" s="719"/>
      <c r="M523" s="24">
        <f t="shared" si="96"/>
        <v>1</v>
      </c>
      <c r="N523" s="719"/>
      <c r="O523" s="24">
        <f t="shared" si="97"/>
        <v>1</v>
      </c>
      <c r="P523" s="719"/>
      <c r="Q523" s="24">
        <f t="shared" si="98"/>
        <v>0</v>
      </c>
      <c r="R523" s="715">
        <f t="shared" si="99"/>
        <v>0</v>
      </c>
      <c r="S523" s="361">
        <f t="shared" si="100"/>
        <v>0</v>
      </c>
    </row>
    <row r="524" spans="1:19">
      <c r="A524" s="159"/>
      <c r="B524" s="59"/>
      <c r="C524" s="24">
        <f t="shared" si="91"/>
        <v>1</v>
      </c>
      <c r="D524" s="719"/>
      <c r="E524" s="24">
        <f t="shared" si="92"/>
        <v>1</v>
      </c>
      <c r="F524" s="719"/>
      <c r="G524" s="24">
        <f t="shared" si="93"/>
        <v>1</v>
      </c>
      <c r="H524" s="719"/>
      <c r="I524" s="24">
        <f t="shared" si="94"/>
        <v>1</v>
      </c>
      <c r="J524" s="719"/>
      <c r="K524" s="24">
        <f t="shared" si="95"/>
        <v>1</v>
      </c>
      <c r="L524" s="719"/>
      <c r="M524" s="24">
        <f t="shared" si="96"/>
        <v>1</v>
      </c>
      <c r="N524" s="719"/>
      <c r="O524" s="24">
        <f t="shared" si="97"/>
        <v>1</v>
      </c>
      <c r="P524" s="719"/>
      <c r="Q524" s="24">
        <f t="shared" si="98"/>
        <v>0</v>
      </c>
      <c r="R524" s="715">
        <f t="shared" si="99"/>
        <v>0</v>
      </c>
      <c r="S524" s="361">
        <f t="shared" si="100"/>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v>
      </c>
      <c r="B3" s="3072"/>
      <c r="C3" s="3072"/>
      <c r="D3" s="3072"/>
      <c r="E3" s="3072"/>
    </row>
    <row r="4" spans="1:5" ht="19.5" thickBot="1">
      <c r="A4" s="1963"/>
      <c r="B4" s="3070" t="s">
        <v>1629</v>
      </c>
      <c r="C4" s="3070"/>
      <c r="D4" s="3070"/>
      <c r="E4" s="1963"/>
    </row>
    <row r="5" spans="1:5" ht="16.5" thickTop="1">
      <c r="A5" s="1961"/>
      <c r="B5" s="3068" t="s">
        <v>1621</v>
      </c>
      <c r="C5" s="1964" t="s">
        <v>1622</v>
      </c>
      <c r="D5" s="1042">
        <f ca="1">结果表!H101</f>
        <v>269</v>
      </c>
      <c r="E5" s="1961"/>
    </row>
    <row r="6" spans="1:5" ht="15.75">
      <c r="A6" s="1961"/>
      <c r="B6" s="3068"/>
      <c r="C6" s="1964" t="s">
        <v>1623</v>
      </c>
      <c r="D6" s="1042" t="str">
        <f ca="1">NUMBERSTRING(INT(D5*10000),2)&amp;"元整"</f>
        <v>贰佰陆拾玖万元整</v>
      </c>
      <c r="E6" s="1961"/>
    </row>
    <row r="7" spans="1:5" ht="15.75">
      <c r="A7" s="1961"/>
      <c r="B7" s="3073"/>
      <c r="C7" s="1965" t="s">
        <v>1624</v>
      </c>
      <c r="D7" s="1043">
        <f ca="1">结果表!H102</f>
        <v>27374</v>
      </c>
      <c r="E7" s="1961"/>
    </row>
    <row r="8" spans="1:5" ht="15.75">
      <c r="A8" s="1961"/>
      <c r="B8" s="3074" t="str">
        <f>结果表!E103</f>
        <v>2.估价师知悉的法定优先受偿款</v>
      </c>
      <c r="C8" s="1966" t="s">
        <v>1625</v>
      </c>
      <c r="D8" s="1043">
        <f>结果表!H103</f>
        <v>0</v>
      </c>
      <c r="E8" s="1961"/>
    </row>
    <row r="9" spans="1:5" ht="15.75">
      <c r="A9" s="1961"/>
      <c r="B9" s="3076"/>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67" t="str">
        <f>结果表!E107</f>
        <v>3.房地产抵押价值</v>
      </c>
      <c r="C13" s="1969" t="s">
        <v>1622</v>
      </c>
      <c r="D13" s="1045">
        <f ca="1">结果表!H107</f>
        <v>269</v>
      </c>
      <c r="E13" s="1961"/>
    </row>
    <row r="14" spans="1:5" ht="15.75">
      <c r="A14" s="1961"/>
      <c r="B14" s="3068"/>
      <c r="C14" s="1964" t="s">
        <v>1623</v>
      </c>
      <c r="D14" s="1042" t="str">
        <f ca="1">NUMBERSTRING(INT(D13*10000),2)&amp;"元整"</f>
        <v>贰佰陆拾玖万元整</v>
      </c>
      <c r="E14" s="1961"/>
    </row>
    <row r="15" spans="1:5" ht="15">
      <c r="A15" s="1961"/>
      <c r="B15" s="3073"/>
      <c r="C15" s="1965" t="s">
        <v>1633</v>
      </c>
      <c r="D15" s="1054">
        <f ca="1">结果表!H108</f>
        <v>69</v>
      </c>
      <c r="E15" s="1961"/>
    </row>
    <row r="16" spans="1:5" ht="15">
      <c r="A16" s="1961"/>
      <c r="B16" s="3074" t="str">
        <f>结果表!E109</f>
        <v>——</v>
      </c>
      <c r="C16" s="1969" t="s">
        <v>1634</v>
      </c>
      <c r="D16" s="1970" t="str">
        <f>结果表!H109</f>
        <v>——</v>
      </c>
      <c r="E16" s="1961"/>
    </row>
    <row r="17" spans="1:5" ht="15.75">
      <c r="A17" s="1961"/>
      <c r="B17" s="3075"/>
      <c r="C17" s="1964" t="s">
        <v>1635</v>
      </c>
      <c r="D17" s="1042" t="e">
        <f>NUMBERSTRING(INT(D16*10000),2)&amp;"元整"</f>
        <v>#VALUE!</v>
      </c>
      <c r="E17" s="1961"/>
    </row>
    <row r="18" spans="1:5" ht="15">
      <c r="A18" s="1961"/>
      <c r="B18" s="3076"/>
      <c r="C18" s="1965" t="s">
        <v>1624</v>
      </c>
      <c r="D18" s="1054" t="str">
        <f>结果表!H110</f>
        <v>——</v>
      </c>
      <c r="E18" s="1961"/>
    </row>
    <row r="19" spans="1:5" ht="15.75">
      <c r="A19" s="1961"/>
      <c r="B19" s="3067" t="str">
        <f>结果表!E111</f>
        <v>——</v>
      </c>
      <c r="C19" s="1969" t="s">
        <v>1622</v>
      </c>
      <c r="D19" s="1043" t="str">
        <f>结果表!H111</f>
        <v>——</v>
      </c>
      <c r="E19" s="1961"/>
    </row>
    <row r="20" spans="1:5" ht="15.75">
      <c r="A20" s="1961"/>
      <c r="B20" s="3068"/>
      <c r="C20" s="1964" t="s">
        <v>1635</v>
      </c>
      <c r="D20" s="1042" t="e">
        <f>NUMBERSTRING(INT(D19*10000),2)&amp;"元整"</f>
        <v>#VALUE!</v>
      </c>
      <c r="E20" s="1961"/>
    </row>
    <row r="21" spans="1:5" ht="15.75" thickBot="1">
      <c r="A21" s="1961"/>
      <c r="B21" s="3069"/>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44791</v>
      </c>
      <c r="C2" s="2" t="s">
        <v>133</v>
      </c>
      <c r="D2" s="243"/>
      <c r="E2" s="243"/>
      <c r="F2" s="243"/>
      <c r="G2" s="243"/>
    </row>
    <row r="3" spans="1:7" s="244" customFormat="1" ht="18" customHeight="1" thickBot="1">
      <c r="A3" s="247" t="s">
        <v>85</v>
      </c>
      <c r="B3" s="248">
        <f ca="1">ROUND(B2*10000/'数据-汇总表'!E3,0)</f>
        <v>11458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120</v>
      </c>
      <c r="F9" s="265"/>
      <c r="G9" s="270"/>
    </row>
    <row r="10" spans="1:7" s="258" customFormat="1" ht="13.5" customHeight="1">
      <c r="A10" s="952" t="s">
        <v>801</v>
      </c>
      <c r="B10" s="268" t="s">
        <v>94</v>
      </c>
      <c r="C10" s="269">
        <f>ROUND(D10*E10/10000,0)</f>
        <v>469</v>
      </c>
      <c r="D10" s="1034">
        <f>'数据-汇总表'!E6</f>
        <v>39089.930000000037</v>
      </c>
      <c r="E10" s="269">
        <f>'数据-取费表'!B28</f>
        <v>120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782</v>
      </c>
      <c r="D19" s="1038">
        <f>'数据-汇总表'!E3</f>
        <v>39089.930000000037</v>
      </c>
      <c r="E19" s="255">
        <f>'数据-取费表'!B31</f>
        <v>200</v>
      </c>
      <c r="F19" s="275"/>
      <c r="G19" s="1" t="s">
        <v>1074</v>
      </c>
    </row>
    <row r="20" spans="1:7" s="258" customFormat="1" ht="13.5" customHeight="1">
      <c r="A20" s="950" t="s">
        <v>1057</v>
      </c>
      <c r="B20" s="254" t="s">
        <v>104</v>
      </c>
      <c r="C20" s="276">
        <f>ROUND((C5+C19)*F20,0)</f>
        <v>428</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2657</v>
      </c>
      <c r="D22" s="279">
        <f ca="1">C26</f>
        <v>1.1999999999999999E-3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2535</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96</v>
      </c>
      <c r="D24" s="282"/>
      <c r="E24" s="282"/>
      <c r="F24" s="283"/>
      <c r="G24" s="284" t="s">
        <v>109</v>
      </c>
    </row>
    <row r="25" spans="1:7" s="258" customFormat="1" ht="24">
      <c r="A25" s="953" t="s">
        <v>793</v>
      </c>
      <c r="B25" s="259" t="s">
        <v>1058</v>
      </c>
      <c r="C25" s="1357">
        <f ca="1">ROUND(IF('数据-取费表'!B22&lt;=1,C20*F22*'数据-取费表'!B23/2,C20*(POWER((1+F22),'数据-取费表'!B23/2)-1)),0)</f>
        <v>26</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4364</v>
      </c>
      <c r="D27" s="279">
        <f>C29</f>
        <v>4.0000000000000001E-3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4364</v>
      </c>
      <c r="D28" s="279"/>
      <c r="E28" s="280"/>
      <c r="F28" s="290"/>
      <c r="G28" s="291"/>
    </row>
    <row r="29" spans="1:7" s="258" customFormat="1" ht="13.5" customHeight="1">
      <c r="A29" s="953" t="s">
        <v>792</v>
      </c>
      <c r="B29" s="292" t="s">
        <v>1063</v>
      </c>
      <c r="C29" s="282">
        <f>ROUND(C21*F27*'数据-取费表'!B21/'数据-取费表'!B20,4)</f>
        <v>4.0000000000000001E-3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31299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10995</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9773</v>
      </c>
      <c r="D34" s="261"/>
      <c r="E34" s="264"/>
      <c r="F34" s="301">
        <f>IF('数据-取费表'!B24=0,1,'数据-取费表'!N16)</f>
        <v>1</v>
      </c>
      <c r="G34" s="263" t="s">
        <v>116</v>
      </c>
    </row>
    <row r="35" spans="1:7" ht="13.5" customHeight="1">
      <c r="A35" s="953" t="s">
        <v>796</v>
      </c>
      <c r="B35" s="259" t="s">
        <v>60</v>
      </c>
      <c r="C35" s="264">
        <f>ROUND(C34*F35,0)</f>
        <v>293</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782</v>
      </c>
      <c r="D37" s="261">
        <f>'数据-汇总表'!E3</f>
        <v>39089.930000000037</v>
      </c>
      <c r="E37" s="293">
        <f>'数据-取费表'!B35</f>
        <v>200</v>
      </c>
      <c r="F37" s="303"/>
      <c r="G37" s="305" t="s">
        <v>119</v>
      </c>
    </row>
    <row r="38" spans="1:7" ht="13.5" customHeight="1">
      <c r="A38" s="953" t="s">
        <v>799</v>
      </c>
      <c r="B38" s="259" t="s">
        <v>63</v>
      </c>
      <c r="C38" s="264">
        <f>ROUND(C34*F38,0)</f>
        <v>147</v>
      </c>
      <c r="D38" s="264"/>
      <c r="E38" s="264"/>
      <c r="F38" s="303">
        <f>'数据-取费表'!B36</f>
        <v>1.4999999999999999E-2</v>
      </c>
      <c r="G38" s="263" t="s">
        <v>117</v>
      </c>
    </row>
    <row r="39" spans="1:7" s="258" customFormat="1" ht="13.5" customHeight="1">
      <c r="A39" s="950" t="s">
        <v>783</v>
      </c>
      <c r="B39" s="254" t="s">
        <v>104</v>
      </c>
      <c r="C39" s="276">
        <f>ROUND(C33*F20,0)</f>
        <v>220</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670</v>
      </c>
      <c r="D41" s="279">
        <f ca="1">C44</f>
        <v>1.1999999999999999E-3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657</v>
      </c>
      <c r="D42" s="282"/>
      <c r="E42" s="282"/>
      <c r="F42" s="283"/>
      <c r="G42" s="3252" t="s">
        <v>121</v>
      </c>
    </row>
    <row r="43" spans="1:7" ht="13.5" customHeight="1">
      <c r="A43" s="953" t="s">
        <v>792</v>
      </c>
      <c r="B43" s="259" t="s">
        <v>1064</v>
      </c>
      <c r="C43" s="282">
        <f ca="1">ROUND(IF('数据-取费表'!B22&lt;=1,C39*F22*'数据-取费表'!B21/2,C39*(POWER((1+F22),'数据-取费表'!B21/2)-1)),0)</f>
        <v>13</v>
      </c>
      <c r="D43" s="282"/>
      <c r="E43" s="282"/>
      <c r="F43" s="283"/>
      <c r="G43" s="3253"/>
    </row>
    <row r="44" spans="1:7" ht="13.5" customHeight="1">
      <c r="A44" s="953" t="s">
        <v>793</v>
      </c>
      <c r="B44" s="259" t="s">
        <v>1066</v>
      </c>
      <c r="C44" s="282">
        <f ca="1">ROUND(IF('数据-取费表'!B22&lt;=1,C40*F22*'数据-取费表'!B21/2,C40*(POWER((1+F22),'数据-取费表'!B21/2)-1)),4)</f>
        <v>1.1999999999999999E-3</v>
      </c>
      <c r="D44" s="282"/>
      <c r="E44" s="282"/>
      <c r="F44" s="283"/>
      <c r="G44" s="3254"/>
    </row>
    <row r="45" spans="1:7" s="258" customFormat="1" ht="13.5" customHeight="1">
      <c r="A45" s="950" t="s">
        <v>786</v>
      </c>
      <c r="B45" s="288" t="s">
        <v>112</v>
      </c>
      <c r="C45" s="289">
        <f>C46</f>
        <v>2243</v>
      </c>
      <c r="D45" s="279">
        <f>C47</f>
        <v>4.0000000000000001E-3</v>
      </c>
      <c r="E45" s="280" t="s">
        <v>129</v>
      </c>
      <c r="F45" s="290"/>
      <c r="G45" s="291" t="s">
        <v>1072</v>
      </c>
    </row>
    <row r="46" spans="1:7" s="258" customFormat="1" ht="13.5" customHeight="1">
      <c r="A46" s="953" t="s">
        <v>794</v>
      </c>
      <c r="B46" s="292" t="s">
        <v>1065</v>
      </c>
      <c r="C46" s="293">
        <f>ROUND((C33+C39)*F27,0)</f>
        <v>2243</v>
      </c>
      <c r="D46" s="307"/>
      <c r="E46" s="280"/>
      <c r="F46" s="290"/>
      <c r="G46" s="291"/>
    </row>
    <row r="47" spans="1:7" s="258" customFormat="1" ht="13.5" customHeight="1">
      <c r="A47" s="953" t="s">
        <v>792</v>
      </c>
      <c r="B47" s="292" t="s">
        <v>1067</v>
      </c>
      <c r="C47" s="282">
        <f>ROUND(C40*F27,4)</f>
        <v>4.0000000000000001E-3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15332</v>
      </c>
      <c r="D49" s="276"/>
      <c r="E49" s="276"/>
      <c r="F49" s="308"/>
      <c r="G49" s="278" t="s">
        <v>1073</v>
      </c>
    </row>
    <row r="50" spans="1:7" s="302" customFormat="1" ht="24">
      <c r="A50" s="950" t="s">
        <v>789</v>
      </c>
      <c r="B50" s="254" t="s">
        <v>124</v>
      </c>
      <c r="C50" s="276"/>
      <c r="D50" s="276"/>
      <c r="E50" s="276"/>
      <c r="F50" s="308">
        <f>IF('数据-取费表'!B24=0,'数据-取费表'!N16,1)</f>
        <v>0.88</v>
      </c>
      <c r="G50" s="291" t="s">
        <v>125</v>
      </c>
    </row>
    <row r="51" spans="1:7" ht="16.5" customHeight="1">
      <c r="A51" s="950" t="s">
        <v>790</v>
      </c>
      <c r="B51" s="254" t="s">
        <v>132</v>
      </c>
      <c r="C51" s="276">
        <f ca="1">ROUND(C49*F50,0)</f>
        <v>13492</v>
      </c>
      <c r="D51" s="276"/>
      <c r="E51" s="276"/>
      <c r="F51" s="308"/>
      <c r="G51" s="278" t="s">
        <v>64</v>
      </c>
    </row>
    <row r="52" spans="1:7" s="252" customFormat="1" ht="16.5" thickBot="1">
      <c r="A52" s="309" t="s">
        <v>65</v>
      </c>
      <c r="B52" s="310"/>
      <c r="C52" s="311">
        <f ca="1">C31+C51</f>
        <v>44791</v>
      </c>
      <c r="D52" s="310"/>
      <c r="E52" s="310"/>
      <c r="F52" s="310"/>
      <c r="G52" s="312"/>
    </row>
    <row r="55" spans="1:7" ht="15">
      <c r="B55" s="314" t="s">
        <v>66</v>
      </c>
      <c r="C55" s="315"/>
    </row>
    <row r="56" spans="1:7">
      <c r="B56" s="317" t="s">
        <v>67</v>
      </c>
      <c r="C56" s="318">
        <f ca="1">ROUND(C51/C52,3)</f>
        <v>0.30099999999999999</v>
      </c>
    </row>
    <row r="57" spans="1:7">
      <c r="B57" s="317" t="s">
        <v>68</v>
      </c>
      <c r="C57" s="319">
        <f ca="1">1-C56</f>
        <v>0.69900000000000007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91" t="s">
        <v>156</v>
      </c>
      <c r="B1" s="3391"/>
      <c r="C1" s="3391"/>
      <c r="D1" s="3391"/>
      <c r="E1" s="3391"/>
      <c r="F1" s="339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92" t="s">
        <v>169</v>
      </c>
      <c r="B2" s="3392"/>
      <c r="C2" s="3392"/>
      <c r="D2" s="3392"/>
      <c r="E2" s="3392"/>
      <c r="F2" s="339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9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9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91" t="s">
        <v>871</v>
      </c>
      <c r="B1" s="339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43209</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N367"/>
  <sheetViews>
    <sheetView workbookViewId="0">
      <selection activeCell="N57" sqref="N57"/>
    </sheetView>
  </sheetViews>
  <sheetFormatPr defaultRowHeight="13.5"/>
  <cols>
    <col min="1" max="16384" width="9" style="1637"/>
  </cols>
  <sheetData>
    <row r="1" spans="1:14" ht="22.5">
      <c r="A1" s="3395" t="s">
        <v>3548</v>
      </c>
      <c r="B1" s="3395"/>
      <c r="C1" s="3395"/>
      <c r="D1" s="3395"/>
      <c r="E1" s="3395"/>
      <c r="F1" s="3395"/>
      <c r="G1" s="3395"/>
      <c r="H1" s="3395"/>
      <c r="I1" s="3395"/>
      <c r="J1" s="3395"/>
      <c r="K1" s="3395"/>
    </row>
    <row r="2" spans="1:14" s="3006" customFormat="1" ht="14.25">
      <c r="A2" s="3003" t="s">
        <v>3064</v>
      </c>
      <c r="B2" s="3004" t="s">
        <v>3177</v>
      </c>
      <c r="C2" s="3004" t="s">
        <v>3178</v>
      </c>
      <c r="D2" s="3004" t="s">
        <v>3179</v>
      </c>
      <c r="E2" s="3004" t="s">
        <v>3180</v>
      </c>
      <c r="F2" s="3004" t="s">
        <v>3181</v>
      </c>
      <c r="G2" s="3004" t="s">
        <v>3182</v>
      </c>
      <c r="H2" s="3005" t="s">
        <v>3183</v>
      </c>
      <c r="I2" s="3005" t="s">
        <v>3184</v>
      </c>
      <c r="J2" s="3005" t="s">
        <v>3185</v>
      </c>
      <c r="K2" s="3005" t="s">
        <v>3186</v>
      </c>
    </row>
    <row r="3" spans="1:14" s="3013" customFormat="1" ht="14.25">
      <c r="A3" s="3007">
        <v>1</v>
      </c>
      <c r="B3" s="3396" t="s">
        <v>3187</v>
      </c>
      <c r="C3" s="3008" t="s">
        <v>3574</v>
      </c>
      <c r="D3" s="3009" t="s">
        <v>3188</v>
      </c>
      <c r="E3" s="3007">
        <v>98.27</v>
      </c>
      <c r="F3" s="3007">
        <v>18000</v>
      </c>
      <c r="G3" s="3010">
        <f>E3*F3/10000</f>
        <v>176.886</v>
      </c>
      <c r="H3" s="3011"/>
      <c r="I3" s="3012">
        <v>1</v>
      </c>
      <c r="J3" s="3011"/>
      <c r="K3" s="3011"/>
    </row>
    <row r="4" spans="1:14" s="3013" customFormat="1" ht="14.25">
      <c r="A4" s="3007">
        <v>2</v>
      </c>
      <c r="B4" s="3397"/>
      <c r="C4" s="3008" t="s">
        <v>3189</v>
      </c>
      <c r="D4" s="3009" t="s">
        <v>3188</v>
      </c>
      <c r="E4" s="3007">
        <v>95.87</v>
      </c>
      <c r="F4" s="3007">
        <v>18000</v>
      </c>
      <c r="G4" s="3010">
        <f t="shared" ref="G4:G67" si="0">E4*F4/10000</f>
        <v>172.566</v>
      </c>
      <c r="H4" s="3011"/>
      <c r="I4" s="3012">
        <v>1</v>
      </c>
      <c r="J4" s="3011"/>
      <c r="K4" s="3011"/>
      <c r="N4" s="3013">
        <f>-SUM(E3:E362)</f>
        <v>-39089.930000000037</v>
      </c>
    </row>
    <row r="5" spans="1:14" s="3013" customFormat="1" ht="14.25">
      <c r="A5" s="3007">
        <v>3</v>
      </c>
      <c r="B5" s="3397"/>
      <c r="C5" s="3008" t="s">
        <v>3190</v>
      </c>
      <c r="D5" s="3009" t="s">
        <v>3188</v>
      </c>
      <c r="E5" s="3007">
        <v>127.76</v>
      </c>
      <c r="F5" s="3007">
        <v>18000</v>
      </c>
      <c r="G5" s="3010">
        <f t="shared" si="0"/>
        <v>229.96799999999999</v>
      </c>
      <c r="H5" s="3011"/>
      <c r="I5" s="3012">
        <v>1</v>
      </c>
      <c r="J5" s="3011"/>
      <c r="K5" s="3011"/>
    </row>
    <row r="6" spans="1:14" s="3013" customFormat="1" ht="14.25">
      <c r="A6" s="3007">
        <v>4</v>
      </c>
      <c r="B6" s="3397"/>
      <c r="C6" s="3008" t="s">
        <v>3191</v>
      </c>
      <c r="D6" s="3009" t="s">
        <v>3188</v>
      </c>
      <c r="E6" s="3007">
        <v>95.87</v>
      </c>
      <c r="F6" s="3007">
        <v>18000</v>
      </c>
      <c r="G6" s="3010">
        <f t="shared" si="0"/>
        <v>172.566</v>
      </c>
      <c r="H6" s="3011"/>
      <c r="I6" s="3012">
        <v>1</v>
      </c>
      <c r="J6" s="3011"/>
      <c r="K6" s="3011"/>
    </row>
    <row r="7" spans="1:14" s="3013" customFormat="1" ht="14.25">
      <c r="A7" s="3007">
        <v>5</v>
      </c>
      <c r="B7" s="3397"/>
      <c r="C7" s="3008" t="s">
        <v>3192</v>
      </c>
      <c r="D7" s="3009" t="s">
        <v>3188</v>
      </c>
      <c r="E7" s="3007">
        <v>95.87</v>
      </c>
      <c r="F7" s="3007">
        <v>18000</v>
      </c>
      <c r="G7" s="3010">
        <f t="shared" si="0"/>
        <v>172.566</v>
      </c>
      <c r="H7" s="3011"/>
      <c r="I7" s="3012">
        <v>1</v>
      </c>
      <c r="J7" s="3011"/>
      <c r="K7" s="3011"/>
    </row>
    <row r="8" spans="1:14" s="3013" customFormat="1" ht="14.25">
      <c r="A8" s="3007">
        <v>6</v>
      </c>
      <c r="B8" s="3397"/>
      <c r="C8" s="3008" t="s">
        <v>3193</v>
      </c>
      <c r="D8" s="3009" t="s">
        <v>3188</v>
      </c>
      <c r="E8" s="3007">
        <v>109.8</v>
      </c>
      <c r="F8" s="3007">
        <v>18000</v>
      </c>
      <c r="G8" s="3010">
        <f t="shared" si="0"/>
        <v>197.64</v>
      </c>
      <c r="H8" s="3011"/>
      <c r="I8" s="3012">
        <v>1</v>
      </c>
      <c r="J8" s="3011"/>
      <c r="K8" s="3011"/>
    </row>
    <row r="9" spans="1:14" s="3013" customFormat="1" ht="14.25">
      <c r="A9" s="3007">
        <v>7</v>
      </c>
      <c r="B9" s="3397"/>
      <c r="C9" s="3008" t="s">
        <v>3194</v>
      </c>
      <c r="D9" s="3009" t="s">
        <v>3188</v>
      </c>
      <c r="E9" s="3007">
        <v>95.87</v>
      </c>
      <c r="F9" s="3007">
        <v>18000</v>
      </c>
      <c r="G9" s="3010">
        <f t="shared" si="0"/>
        <v>172.566</v>
      </c>
      <c r="H9" s="3011"/>
      <c r="I9" s="3012">
        <v>1</v>
      </c>
      <c r="J9" s="3011"/>
      <c r="K9" s="3011"/>
    </row>
    <row r="10" spans="1:14" s="3013" customFormat="1" ht="14.25">
      <c r="A10" s="3007">
        <v>8</v>
      </c>
      <c r="B10" s="3397"/>
      <c r="C10" s="3008" t="s">
        <v>3195</v>
      </c>
      <c r="D10" s="3009" t="s">
        <v>3188</v>
      </c>
      <c r="E10" s="3007">
        <v>62.71</v>
      </c>
      <c r="F10" s="3007">
        <v>18000</v>
      </c>
      <c r="G10" s="3010">
        <f t="shared" si="0"/>
        <v>112.878</v>
      </c>
      <c r="H10" s="3011"/>
      <c r="I10" s="3012">
        <v>1</v>
      </c>
      <c r="J10" s="3011"/>
      <c r="K10" s="3011"/>
    </row>
    <row r="11" spans="1:14" s="3013" customFormat="1" ht="14.25">
      <c r="A11" s="3007">
        <v>9</v>
      </c>
      <c r="B11" s="3397"/>
      <c r="C11" s="3008" t="s">
        <v>3196</v>
      </c>
      <c r="D11" s="3009" t="s">
        <v>3188</v>
      </c>
      <c r="E11" s="3007">
        <v>62.71</v>
      </c>
      <c r="F11" s="3007">
        <v>18000</v>
      </c>
      <c r="G11" s="3010">
        <f t="shared" si="0"/>
        <v>112.878</v>
      </c>
      <c r="H11" s="3011"/>
      <c r="I11" s="3012">
        <v>1</v>
      </c>
      <c r="J11" s="3011"/>
      <c r="K11" s="3011"/>
    </row>
    <row r="12" spans="1:14" s="3013" customFormat="1" ht="14.25">
      <c r="A12" s="3007">
        <v>10</v>
      </c>
      <c r="B12" s="3397"/>
      <c r="C12" s="3008" t="s">
        <v>3197</v>
      </c>
      <c r="D12" s="3009" t="s">
        <v>3188</v>
      </c>
      <c r="E12" s="3007">
        <v>66.3</v>
      </c>
      <c r="F12" s="3007">
        <v>18000</v>
      </c>
      <c r="G12" s="3010">
        <f t="shared" si="0"/>
        <v>119.34</v>
      </c>
      <c r="H12" s="3011"/>
      <c r="I12" s="3012">
        <v>1</v>
      </c>
      <c r="J12" s="3011"/>
      <c r="K12" s="3011"/>
    </row>
    <row r="13" spans="1:14" s="3013" customFormat="1" ht="14.25">
      <c r="A13" s="3007">
        <v>11</v>
      </c>
      <c r="B13" s="3397"/>
      <c r="C13" s="3008" t="s">
        <v>3198</v>
      </c>
      <c r="D13" s="3009" t="s">
        <v>3188</v>
      </c>
      <c r="E13" s="3007">
        <v>65</v>
      </c>
      <c r="F13" s="3007">
        <v>18000</v>
      </c>
      <c r="G13" s="3010">
        <f t="shared" si="0"/>
        <v>117</v>
      </c>
      <c r="H13" s="3011"/>
      <c r="I13" s="3012">
        <v>1</v>
      </c>
      <c r="J13" s="3011"/>
      <c r="K13" s="3011"/>
    </row>
    <row r="14" spans="1:14" s="3013" customFormat="1" ht="14.25">
      <c r="A14" s="3007">
        <v>12</v>
      </c>
      <c r="B14" s="3397"/>
      <c r="C14" s="3008" t="s">
        <v>3199</v>
      </c>
      <c r="D14" s="3009" t="s">
        <v>3188</v>
      </c>
      <c r="E14" s="3007">
        <v>78</v>
      </c>
      <c r="F14" s="3007">
        <v>18000</v>
      </c>
      <c r="G14" s="3010">
        <f t="shared" si="0"/>
        <v>140.4</v>
      </c>
      <c r="H14" s="3011"/>
      <c r="I14" s="3012">
        <v>1</v>
      </c>
      <c r="J14" s="3011"/>
      <c r="K14" s="3011"/>
    </row>
    <row r="15" spans="1:14" s="3013" customFormat="1" ht="14.25">
      <c r="A15" s="3007">
        <v>13</v>
      </c>
      <c r="B15" s="3397"/>
      <c r="C15" s="3008" t="s">
        <v>3200</v>
      </c>
      <c r="D15" s="3009" t="s">
        <v>3188</v>
      </c>
      <c r="E15" s="3007">
        <v>78</v>
      </c>
      <c r="F15" s="3007">
        <v>18000</v>
      </c>
      <c r="G15" s="3010">
        <f t="shared" si="0"/>
        <v>140.4</v>
      </c>
      <c r="H15" s="3011"/>
      <c r="I15" s="3012">
        <v>1</v>
      </c>
      <c r="J15" s="3011"/>
      <c r="K15" s="3011"/>
    </row>
    <row r="16" spans="1:14" s="3013" customFormat="1" ht="14.25">
      <c r="A16" s="3007">
        <v>14</v>
      </c>
      <c r="B16" s="3397"/>
      <c r="C16" s="3008" t="s">
        <v>3201</v>
      </c>
      <c r="D16" s="3009" t="s">
        <v>3188</v>
      </c>
      <c r="E16" s="3007">
        <v>97.88</v>
      </c>
      <c r="F16" s="3007">
        <v>18000</v>
      </c>
      <c r="G16" s="3010">
        <f t="shared" si="0"/>
        <v>176.184</v>
      </c>
      <c r="H16" s="3011"/>
      <c r="I16" s="3012">
        <v>1</v>
      </c>
      <c r="J16" s="3011"/>
      <c r="K16" s="3011"/>
    </row>
    <row r="17" spans="1:11" s="3013" customFormat="1" ht="14.25">
      <c r="A17" s="3007">
        <v>15</v>
      </c>
      <c r="B17" s="3397"/>
      <c r="C17" s="3008" t="s">
        <v>3202</v>
      </c>
      <c r="D17" s="3009" t="s">
        <v>3188</v>
      </c>
      <c r="E17" s="3007">
        <v>142.75</v>
      </c>
      <c r="F17" s="3007">
        <v>18000</v>
      </c>
      <c r="G17" s="3010">
        <f t="shared" si="0"/>
        <v>256.95</v>
      </c>
      <c r="H17" s="3011"/>
      <c r="I17" s="3012">
        <v>1</v>
      </c>
      <c r="J17" s="3011"/>
      <c r="K17" s="3011"/>
    </row>
    <row r="18" spans="1:11" s="3013" customFormat="1" ht="14.25">
      <c r="A18" s="3007">
        <v>16</v>
      </c>
      <c r="B18" s="3397"/>
      <c r="C18" s="3008" t="s">
        <v>3203</v>
      </c>
      <c r="D18" s="3009" t="s">
        <v>3188</v>
      </c>
      <c r="E18" s="3007">
        <v>128.12</v>
      </c>
      <c r="F18" s="3007">
        <v>18000</v>
      </c>
      <c r="G18" s="3010">
        <f t="shared" si="0"/>
        <v>230.61600000000001</v>
      </c>
      <c r="H18" s="3011"/>
      <c r="I18" s="3012">
        <v>1</v>
      </c>
      <c r="J18" s="3011"/>
      <c r="K18" s="3011"/>
    </row>
    <row r="19" spans="1:11" s="3013" customFormat="1" ht="14.25">
      <c r="A19" s="3007">
        <v>17</v>
      </c>
      <c r="B19" s="3397"/>
      <c r="C19" s="3008" t="s">
        <v>3204</v>
      </c>
      <c r="D19" s="3009" t="s">
        <v>3188</v>
      </c>
      <c r="E19" s="3007">
        <v>110.11</v>
      </c>
      <c r="F19" s="3007">
        <v>18000</v>
      </c>
      <c r="G19" s="3010">
        <f t="shared" si="0"/>
        <v>198.19800000000001</v>
      </c>
      <c r="H19" s="3011"/>
      <c r="I19" s="3012">
        <v>1</v>
      </c>
      <c r="J19" s="3011"/>
      <c r="K19" s="3011"/>
    </row>
    <row r="20" spans="1:11" s="3013" customFormat="1" ht="14.25">
      <c r="A20" s="3007">
        <v>18</v>
      </c>
      <c r="B20" s="3397"/>
      <c r="C20" s="3008" t="s">
        <v>3205</v>
      </c>
      <c r="D20" s="3009" t="s">
        <v>3188</v>
      </c>
      <c r="E20" s="3007">
        <v>142.75</v>
      </c>
      <c r="F20" s="3007">
        <v>18000</v>
      </c>
      <c r="G20" s="3010">
        <f t="shared" si="0"/>
        <v>256.95</v>
      </c>
      <c r="H20" s="3011"/>
      <c r="I20" s="3012">
        <v>1</v>
      </c>
      <c r="J20" s="3011"/>
      <c r="K20" s="3011"/>
    </row>
    <row r="21" spans="1:11" s="3013" customFormat="1" ht="14.25">
      <c r="A21" s="3007">
        <v>19</v>
      </c>
      <c r="B21" s="3397"/>
      <c r="C21" s="3008" t="s">
        <v>3206</v>
      </c>
      <c r="D21" s="3009" t="s">
        <v>3188</v>
      </c>
      <c r="E21" s="3007">
        <v>142.75</v>
      </c>
      <c r="F21" s="3007">
        <v>18000</v>
      </c>
      <c r="G21" s="3010">
        <f t="shared" si="0"/>
        <v>256.95</v>
      </c>
      <c r="H21" s="3011"/>
      <c r="I21" s="3012">
        <v>1</v>
      </c>
      <c r="J21" s="3011"/>
      <c r="K21" s="3011"/>
    </row>
    <row r="22" spans="1:11" s="3013" customFormat="1" ht="14.25">
      <c r="A22" s="3007">
        <v>20</v>
      </c>
      <c r="B22" s="3397"/>
      <c r="C22" s="3008" t="s">
        <v>3207</v>
      </c>
      <c r="D22" s="3009" t="s">
        <v>3188</v>
      </c>
      <c r="E22" s="3007">
        <v>128.12</v>
      </c>
      <c r="F22" s="3007">
        <v>18000</v>
      </c>
      <c r="G22" s="3010">
        <f t="shared" si="0"/>
        <v>230.61600000000001</v>
      </c>
      <c r="H22" s="3011"/>
      <c r="I22" s="3012">
        <v>1</v>
      </c>
      <c r="J22" s="3011"/>
      <c r="K22" s="3011"/>
    </row>
    <row r="23" spans="1:11" s="3013" customFormat="1" ht="14.25">
      <c r="A23" s="3007">
        <v>21</v>
      </c>
      <c r="B23" s="3397"/>
      <c r="C23" s="3008" t="s">
        <v>3208</v>
      </c>
      <c r="D23" s="3009" t="s">
        <v>3188</v>
      </c>
      <c r="E23" s="3007">
        <v>110.11</v>
      </c>
      <c r="F23" s="3007">
        <v>18000</v>
      </c>
      <c r="G23" s="3010">
        <f t="shared" si="0"/>
        <v>198.19800000000001</v>
      </c>
      <c r="H23" s="3011"/>
      <c r="I23" s="3012">
        <v>1</v>
      </c>
      <c r="J23" s="3011"/>
      <c r="K23" s="3011"/>
    </row>
    <row r="24" spans="1:11" s="3013" customFormat="1" ht="14.25">
      <c r="A24" s="3007">
        <v>22</v>
      </c>
      <c r="B24" s="3397"/>
      <c r="C24" s="3008" t="s">
        <v>3209</v>
      </c>
      <c r="D24" s="3009" t="s">
        <v>3188</v>
      </c>
      <c r="E24" s="3007">
        <v>103.95</v>
      </c>
      <c r="F24" s="3007">
        <v>18000</v>
      </c>
      <c r="G24" s="3010">
        <f t="shared" si="0"/>
        <v>187.11</v>
      </c>
      <c r="H24" s="3011"/>
      <c r="I24" s="3012">
        <v>1</v>
      </c>
      <c r="J24" s="3011"/>
      <c r="K24" s="3011"/>
    </row>
    <row r="25" spans="1:11" s="3013" customFormat="1" ht="14.25">
      <c r="A25" s="3007">
        <v>23</v>
      </c>
      <c r="B25" s="3397"/>
      <c r="C25" s="3008" t="s">
        <v>3210</v>
      </c>
      <c r="D25" s="3009" t="s">
        <v>3188</v>
      </c>
      <c r="E25" s="3007">
        <v>103.95</v>
      </c>
      <c r="F25" s="3007">
        <v>18000</v>
      </c>
      <c r="G25" s="3010">
        <f t="shared" si="0"/>
        <v>187.11</v>
      </c>
      <c r="H25" s="3011"/>
      <c r="I25" s="3012">
        <v>1</v>
      </c>
      <c r="J25" s="3011"/>
      <c r="K25" s="3011"/>
    </row>
    <row r="26" spans="1:11" s="3013" customFormat="1" ht="14.25">
      <c r="A26" s="3007">
        <v>24</v>
      </c>
      <c r="B26" s="3397"/>
      <c r="C26" s="3008" t="s">
        <v>3211</v>
      </c>
      <c r="D26" s="3009" t="s">
        <v>3188</v>
      </c>
      <c r="E26" s="3007">
        <v>82.32</v>
      </c>
      <c r="F26" s="3007">
        <v>18000</v>
      </c>
      <c r="G26" s="3010">
        <f t="shared" si="0"/>
        <v>148.17599999999999</v>
      </c>
      <c r="H26" s="3011"/>
      <c r="I26" s="3012">
        <v>1</v>
      </c>
      <c r="J26" s="3011"/>
      <c r="K26" s="3011"/>
    </row>
    <row r="27" spans="1:11" s="3013" customFormat="1" ht="14.25">
      <c r="A27" s="3007">
        <v>25</v>
      </c>
      <c r="B27" s="3397"/>
      <c r="C27" s="3008" t="s">
        <v>3212</v>
      </c>
      <c r="D27" s="3009" t="s">
        <v>3188</v>
      </c>
      <c r="E27" s="3007">
        <v>87.9</v>
      </c>
      <c r="F27" s="3007">
        <v>18000</v>
      </c>
      <c r="G27" s="3010">
        <f t="shared" si="0"/>
        <v>158.22</v>
      </c>
      <c r="H27" s="3011"/>
      <c r="I27" s="3012">
        <v>1</v>
      </c>
      <c r="J27" s="3011"/>
      <c r="K27" s="3011"/>
    </row>
    <row r="28" spans="1:11" s="3013" customFormat="1" ht="14.25">
      <c r="A28" s="3007">
        <v>26</v>
      </c>
      <c r="B28" s="3397"/>
      <c r="C28" s="3008" t="s">
        <v>3213</v>
      </c>
      <c r="D28" s="3009" t="s">
        <v>3188</v>
      </c>
      <c r="E28" s="3007">
        <v>79.95</v>
      </c>
      <c r="F28" s="3007">
        <v>18000</v>
      </c>
      <c r="G28" s="3010">
        <f t="shared" si="0"/>
        <v>143.91</v>
      </c>
      <c r="H28" s="3011"/>
      <c r="I28" s="3012">
        <v>1</v>
      </c>
      <c r="J28" s="3011"/>
      <c r="K28" s="3011"/>
    </row>
    <row r="29" spans="1:11" s="3013" customFormat="1" ht="14.25">
      <c r="A29" s="3007">
        <v>27</v>
      </c>
      <c r="B29" s="3397"/>
      <c r="C29" s="3008" t="s">
        <v>3214</v>
      </c>
      <c r="D29" s="3009" t="s">
        <v>3188</v>
      </c>
      <c r="E29" s="3007">
        <v>141.07</v>
      </c>
      <c r="F29" s="3007">
        <v>18000</v>
      </c>
      <c r="G29" s="3010">
        <f t="shared" si="0"/>
        <v>253.92599999999999</v>
      </c>
      <c r="H29" s="3011"/>
      <c r="I29" s="3012">
        <v>1</v>
      </c>
      <c r="J29" s="3011"/>
      <c r="K29" s="3011"/>
    </row>
    <row r="30" spans="1:11" s="3013" customFormat="1" ht="14.25">
      <c r="A30" s="3007">
        <v>28</v>
      </c>
      <c r="B30" s="3397"/>
      <c r="C30" s="3008" t="s">
        <v>3215</v>
      </c>
      <c r="D30" s="3009" t="s">
        <v>3188</v>
      </c>
      <c r="E30" s="3007">
        <v>77.02</v>
      </c>
      <c r="F30" s="3007">
        <v>18000</v>
      </c>
      <c r="G30" s="3010">
        <f t="shared" si="0"/>
        <v>138.636</v>
      </c>
      <c r="H30" s="3011"/>
      <c r="I30" s="3012">
        <v>1</v>
      </c>
      <c r="J30" s="3011"/>
      <c r="K30" s="3011"/>
    </row>
    <row r="31" spans="1:11" s="3013" customFormat="1" ht="14.25">
      <c r="A31" s="3007">
        <v>29</v>
      </c>
      <c r="B31" s="3397"/>
      <c r="C31" s="3008" t="s">
        <v>3216</v>
      </c>
      <c r="D31" s="3009" t="s">
        <v>3188</v>
      </c>
      <c r="E31" s="3007">
        <v>77.02</v>
      </c>
      <c r="F31" s="3007">
        <v>18000</v>
      </c>
      <c r="G31" s="3010">
        <f t="shared" si="0"/>
        <v>138.636</v>
      </c>
      <c r="H31" s="3011"/>
      <c r="I31" s="3012">
        <v>1</v>
      </c>
      <c r="J31" s="3011"/>
      <c r="K31" s="3011"/>
    </row>
    <row r="32" spans="1:11" s="3013" customFormat="1" ht="14.25">
      <c r="A32" s="3007">
        <v>30</v>
      </c>
      <c r="B32" s="3397"/>
      <c r="C32" s="3008" t="s">
        <v>3217</v>
      </c>
      <c r="D32" s="3009" t="s">
        <v>3188</v>
      </c>
      <c r="E32" s="3007">
        <v>77.02</v>
      </c>
      <c r="F32" s="3007">
        <v>18000</v>
      </c>
      <c r="G32" s="3010">
        <f t="shared" si="0"/>
        <v>138.636</v>
      </c>
      <c r="H32" s="3011"/>
      <c r="I32" s="3012">
        <v>1</v>
      </c>
      <c r="J32" s="3011"/>
      <c r="K32" s="3011"/>
    </row>
    <row r="33" spans="1:11" s="3013" customFormat="1" ht="14.25">
      <c r="A33" s="3007">
        <v>31</v>
      </c>
      <c r="B33" s="3397"/>
      <c r="C33" s="3008" t="s">
        <v>3218</v>
      </c>
      <c r="D33" s="3009" t="s">
        <v>3188</v>
      </c>
      <c r="E33" s="3007">
        <v>77.02</v>
      </c>
      <c r="F33" s="3007">
        <v>18000</v>
      </c>
      <c r="G33" s="3010">
        <f t="shared" si="0"/>
        <v>138.636</v>
      </c>
      <c r="H33" s="3011"/>
      <c r="I33" s="3012">
        <v>1</v>
      </c>
      <c r="J33" s="3011"/>
      <c r="K33" s="3011"/>
    </row>
    <row r="34" spans="1:11" s="3013" customFormat="1" ht="14.25">
      <c r="A34" s="3007">
        <v>32</v>
      </c>
      <c r="B34" s="3397"/>
      <c r="C34" s="3008" t="s">
        <v>3219</v>
      </c>
      <c r="D34" s="3009" t="s">
        <v>3188</v>
      </c>
      <c r="E34" s="3007">
        <v>77.02</v>
      </c>
      <c r="F34" s="3007">
        <v>18000</v>
      </c>
      <c r="G34" s="3010">
        <f t="shared" si="0"/>
        <v>138.636</v>
      </c>
      <c r="H34" s="3011"/>
      <c r="I34" s="3012">
        <v>1</v>
      </c>
      <c r="J34" s="3011"/>
      <c r="K34" s="3011"/>
    </row>
    <row r="35" spans="1:11" s="3013" customFormat="1" ht="14.25">
      <c r="A35" s="3007">
        <v>33</v>
      </c>
      <c r="B35" s="3397"/>
      <c r="C35" s="3008" t="s">
        <v>3220</v>
      </c>
      <c r="D35" s="3009" t="s">
        <v>3188</v>
      </c>
      <c r="E35" s="3007">
        <v>168.06</v>
      </c>
      <c r="F35" s="3007">
        <v>18000</v>
      </c>
      <c r="G35" s="3010">
        <f t="shared" si="0"/>
        <v>302.50799999999998</v>
      </c>
      <c r="H35" s="3011"/>
      <c r="I35" s="3012">
        <v>1</v>
      </c>
      <c r="J35" s="3011"/>
      <c r="K35" s="3011"/>
    </row>
    <row r="36" spans="1:11" s="3013" customFormat="1" ht="14.25">
      <c r="A36" s="3007">
        <v>34</v>
      </c>
      <c r="B36" s="3397"/>
      <c r="C36" s="3008" t="s">
        <v>3221</v>
      </c>
      <c r="D36" s="3009" t="s">
        <v>3188</v>
      </c>
      <c r="E36" s="3007">
        <v>82.43</v>
      </c>
      <c r="F36" s="3007">
        <v>18000</v>
      </c>
      <c r="G36" s="3010">
        <f t="shared" si="0"/>
        <v>148.37400000000002</v>
      </c>
      <c r="H36" s="3011"/>
      <c r="I36" s="3012">
        <v>1</v>
      </c>
      <c r="J36" s="3011"/>
      <c r="K36" s="3011"/>
    </row>
    <row r="37" spans="1:11" s="3013" customFormat="1" ht="14.25">
      <c r="A37" s="3007">
        <v>35</v>
      </c>
      <c r="B37" s="3397"/>
      <c r="C37" s="3008" t="s">
        <v>3222</v>
      </c>
      <c r="D37" s="3009" t="s">
        <v>3188</v>
      </c>
      <c r="E37" s="3007">
        <v>131.22</v>
      </c>
      <c r="F37" s="3007">
        <v>18000</v>
      </c>
      <c r="G37" s="3010">
        <f t="shared" si="0"/>
        <v>236.196</v>
      </c>
      <c r="H37" s="3011"/>
      <c r="I37" s="3012">
        <v>1</v>
      </c>
      <c r="J37" s="3011"/>
      <c r="K37" s="3011"/>
    </row>
    <row r="38" spans="1:11" s="3013" customFormat="1" ht="14.25">
      <c r="A38" s="3007">
        <v>36</v>
      </c>
      <c r="B38" s="3397"/>
      <c r="C38" s="3008" t="s">
        <v>3223</v>
      </c>
      <c r="D38" s="3009" t="s">
        <v>3188</v>
      </c>
      <c r="E38" s="3007">
        <v>58.79</v>
      </c>
      <c r="F38" s="3007">
        <v>18000</v>
      </c>
      <c r="G38" s="3010">
        <f t="shared" si="0"/>
        <v>105.822</v>
      </c>
      <c r="H38" s="3011"/>
      <c r="I38" s="3012">
        <v>1</v>
      </c>
      <c r="J38" s="3011"/>
      <c r="K38" s="3011"/>
    </row>
    <row r="39" spans="1:11" s="3013" customFormat="1" ht="14.25">
      <c r="A39" s="3007">
        <v>37</v>
      </c>
      <c r="B39" s="3397"/>
      <c r="C39" s="3008" t="s">
        <v>3224</v>
      </c>
      <c r="D39" s="3009" t="s">
        <v>3188</v>
      </c>
      <c r="E39" s="3007">
        <v>148.11000000000001</v>
      </c>
      <c r="F39" s="3007">
        <v>18000</v>
      </c>
      <c r="G39" s="3010">
        <f t="shared" si="0"/>
        <v>266.59800000000007</v>
      </c>
      <c r="H39" s="3011"/>
      <c r="I39" s="3012">
        <v>1</v>
      </c>
      <c r="J39" s="3011"/>
      <c r="K39" s="3011"/>
    </row>
    <row r="40" spans="1:11" s="3013" customFormat="1" ht="14.25">
      <c r="A40" s="3007">
        <v>38</v>
      </c>
      <c r="B40" s="3397"/>
      <c r="C40" s="3008" t="s">
        <v>3225</v>
      </c>
      <c r="D40" s="3009" t="s">
        <v>3188</v>
      </c>
      <c r="E40" s="3007">
        <v>68.17</v>
      </c>
      <c r="F40" s="3007">
        <v>18000</v>
      </c>
      <c r="G40" s="3010">
        <f t="shared" si="0"/>
        <v>122.706</v>
      </c>
      <c r="H40" s="3011"/>
      <c r="I40" s="3012">
        <v>1</v>
      </c>
      <c r="J40" s="3011"/>
      <c r="K40" s="3011"/>
    </row>
    <row r="41" spans="1:11" s="3013" customFormat="1" ht="14.25">
      <c r="A41" s="3007">
        <v>39</v>
      </c>
      <c r="B41" s="3397"/>
      <c r="C41" s="3008" t="s">
        <v>3226</v>
      </c>
      <c r="D41" s="3009" t="s">
        <v>3188</v>
      </c>
      <c r="E41" s="3007">
        <v>99.85</v>
      </c>
      <c r="F41" s="3007">
        <v>18000</v>
      </c>
      <c r="G41" s="3010">
        <f t="shared" si="0"/>
        <v>179.73</v>
      </c>
      <c r="H41" s="3011"/>
      <c r="I41" s="3012">
        <v>1</v>
      </c>
      <c r="J41" s="3011"/>
      <c r="K41" s="3011"/>
    </row>
    <row r="42" spans="1:11" s="3013" customFormat="1" ht="14.25">
      <c r="A42" s="3007">
        <v>40</v>
      </c>
      <c r="B42" s="3397"/>
      <c r="C42" s="3008" t="s">
        <v>3227</v>
      </c>
      <c r="D42" s="3009" t="s">
        <v>3188</v>
      </c>
      <c r="E42" s="3007">
        <v>77.83</v>
      </c>
      <c r="F42" s="3007">
        <v>18000</v>
      </c>
      <c r="G42" s="3010">
        <f t="shared" si="0"/>
        <v>140.09399999999999</v>
      </c>
      <c r="H42" s="3011"/>
      <c r="I42" s="3012">
        <v>1</v>
      </c>
      <c r="J42" s="3011"/>
      <c r="K42" s="3011"/>
    </row>
    <row r="43" spans="1:11" s="3013" customFormat="1" ht="14.25">
      <c r="A43" s="3014">
        <v>41</v>
      </c>
      <c r="B43" s="3397"/>
      <c r="C43" s="3008" t="s">
        <v>3228</v>
      </c>
      <c r="D43" s="3009" t="s">
        <v>3188</v>
      </c>
      <c r="E43" s="3007">
        <v>104.05</v>
      </c>
      <c r="F43" s="3007">
        <v>18000</v>
      </c>
      <c r="G43" s="3010">
        <f t="shared" si="0"/>
        <v>187.29</v>
      </c>
      <c r="H43" s="3015"/>
      <c r="I43" s="3012">
        <v>1</v>
      </c>
      <c r="J43" s="3015"/>
      <c r="K43" s="3015"/>
    </row>
    <row r="44" spans="1:11" s="3017" customFormat="1" ht="14.25">
      <c r="A44" s="3007">
        <v>42</v>
      </c>
      <c r="B44" s="3397"/>
      <c r="C44" s="3008" t="s">
        <v>3229</v>
      </c>
      <c r="D44" s="3009" t="s">
        <v>3188</v>
      </c>
      <c r="E44" s="3007">
        <v>41.62</v>
      </c>
      <c r="F44" s="3007">
        <v>18000</v>
      </c>
      <c r="G44" s="3010">
        <f t="shared" si="0"/>
        <v>74.915999999999997</v>
      </c>
      <c r="H44" s="3016"/>
      <c r="I44" s="3012">
        <v>1</v>
      </c>
      <c r="J44" s="3016"/>
      <c r="K44" s="3016"/>
    </row>
    <row r="45" spans="1:11" s="3013" customFormat="1" ht="14.25">
      <c r="A45" s="3007">
        <v>43</v>
      </c>
      <c r="B45" s="3397"/>
      <c r="C45" s="3008" t="s">
        <v>3230</v>
      </c>
      <c r="D45" s="3009" t="s">
        <v>3188</v>
      </c>
      <c r="E45" s="3007">
        <v>41.62</v>
      </c>
      <c r="F45" s="3007">
        <v>18000</v>
      </c>
      <c r="G45" s="3010">
        <f t="shared" si="0"/>
        <v>74.915999999999997</v>
      </c>
      <c r="H45" s="3011"/>
      <c r="I45" s="3012">
        <v>1</v>
      </c>
      <c r="J45" s="3011"/>
      <c r="K45" s="3011"/>
    </row>
    <row r="46" spans="1:11" s="3013" customFormat="1" ht="14.25">
      <c r="A46" s="3007">
        <v>44</v>
      </c>
      <c r="B46" s="3397"/>
      <c r="C46" s="3008" t="s">
        <v>3231</v>
      </c>
      <c r="D46" s="3009" t="s">
        <v>3188</v>
      </c>
      <c r="E46" s="3007">
        <v>107.37</v>
      </c>
      <c r="F46" s="3007">
        <v>18000</v>
      </c>
      <c r="G46" s="3010">
        <f t="shared" si="0"/>
        <v>193.26599999999999</v>
      </c>
      <c r="H46" s="3011"/>
      <c r="I46" s="3012">
        <v>1</v>
      </c>
      <c r="J46" s="3011"/>
      <c r="K46" s="3011"/>
    </row>
    <row r="47" spans="1:11" s="3013" customFormat="1" ht="14.25">
      <c r="A47" s="3007">
        <v>45</v>
      </c>
      <c r="B47" s="3397"/>
      <c r="C47" s="3008" t="s">
        <v>3232</v>
      </c>
      <c r="D47" s="3009" t="s">
        <v>3188</v>
      </c>
      <c r="E47" s="3007">
        <v>56.61</v>
      </c>
      <c r="F47" s="3007">
        <v>18000</v>
      </c>
      <c r="G47" s="3010">
        <f t="shared" si="0"/>
        <v>101.898</v>
      </c>
      <c r="H47" s="3011"/>
      <c r="I47" s="3012">
        <v>1</v>
      </c>
      <c r="J47" s="3011"/>
      <c r="K47" s="3011"/>
    </row>
    <row r="48" spans="1:11" s="3013" customFormat="1" ht="14.25">
      <c r="A48" s="3007">
        <v>46</v>
      </c>
      <c r="B48" s="3397"/>
      <c r="C48" s="3008" t="s">
        <v>3233</v>
      </c>
      <c r="D48" s="3009" t="s">
        <v>3188</v>
      </c>
      <c r="E48" s="3007">
        <v>77.8</v>
      </c>
      <c r="F48" s="3007">
        <v>18000</v>
      </c>
      <c r="G48" s="3010">
        <f t="shared" si="0"/>
        <v>140.04</v>
      </c>
      <c r="H48" s="3011"/>
      <c r="I48" s="3012">
        <v>1</v>
      </c>
      <c r="J48" s="3011"/>
      <c r="K48" s="3011"/>
    </row>
    <row r="49" spans="1:12" s="3013" customFormat="1" ht="14.25">
      <c r="A49" s="3007">
        <v>47</v>
      </c>
      <c r="B49" s="3397"/>
      <c r="C49" s="3008" t="s">
        <v>3234</v>
      </c>
      <c r="D49" s="3009" t="s">
        <v>3188</v>
      </c>
      <c r="E49" s="3007">
        <v>120.88</v>
      </c>
      <c r="F49" s="3007">
        <v>18000</v>
      </c>
      <c r="G49" s="3010">
        <f t="shared" si="0"/>
        <v>217.584</v>
      </c>
      <c r="H49" s="3011"/>
      <c r="I49" s="3012">
        <v>1</v>
      </c>
      <c r="J49" s="3011"/>
      <c r="K49" s="3011"/>
      <c r="L49" s="3013">
        <f>SUM(E3:E49)</f>
        <v>4503.2699999999995</v>
      </c>
    </row>
    <row r="50" spans="1:12" s="3063" customFormat="1" ht="14.25">
      <c r="A50" s="3057">
        <v>48</v>
      </c>
      <c r="B50" s="3397"/>
      <c r="C50" s="3058" t="s">
        <v>3235</v>
      </c>
      <c r="D50" s="3059" t="s">
        <v>3188</v>
      </c>
      <c r="E50" s="3057">
        <v>152.69999999999999</v>
      </c>
      <c r="F50" s="3057">
        <v>18000</v>
      </c>
      <c r="G50" s="3060">
        <f t="shared" si="0"/>
        <v>274.86</v>
      </c>
      <c r="H50" s="3061"/>
      <c r="I50" s="3062">
        <v>1</v>
      </c>
      <c r="J50" s="3061"/>
      <c r="K50" s="3061"/>
      <c r="L50" s="3063">
        <f>E50</f>
        <v>152.69999999999999</v>
      </c>
    </row>
    <row r="51" spans="1:12" s="3013" customFormat="1" ht="14.25">
      <c r="A51" s="3014">
        <v>49</v>
      </c>
      <c r="B51" s="3397"/>
      <c r="C51" s="3008" t="s">
        <v>3236</v>
      </c>
      <c r="D51" s="3009" t="s">
        <v>3188</v>
      </c>
      <c r="E51" s="3007">
        <v>114.69</v>
      </c>
      <c r="F51" s="3007">
        <v>18000</v>
      </c>
      <c r="G51" s="3010">
        <f t="shared" si="0"/>
        <v>206.44200000000001</v>
      </c>
      <c r="H51" s="3011"/>
      <c r="I51" s="3012">
        <v>1</v>
      </c>
      <c r="J51" s="3011"/>
      <c r="K51" s="3011"/>
      <c r="L51" s="3013">
        <f>SUM(E51:E362)</f>
        <v>34433.960000000014</v>
      </c>
    </row>
    <row r="52" spans="1:12" s="3013" customFormat="1" ht="14.25">
      <c r="A52" s="3007">
        <v>50</v>
      </c>
      <c r="B52" s="3397"/>
      <c r="C52" s="3008" t="s">
        <v>3237</v>
      </c>
      <c r="D52" s="3009" t="s">
        <v>3188</v>
      </c>
      <c r="E52" s="3007">
        <v>108.11</v>
      </c>
      <c r="F52" s="3007">
        <v>18000</v>
      </c>
      <c r="G52" s="3010">
        <f t="shared" si="0"/>
        <v>194.59800000000001</v>
      </c>
      <c r="H52" s="3011"/>
      <c r="I52" s="3012">
        <v>1</v>
      </c>
      <c r="J52" s="3011"/>
      <c r="K52" s="3011"/>
    </row>
    <row r="53" spans="1:12" s="3013" customFormat="1" ht="14.25">
      <c r="A53" s="3007">
        <v>51</v>
      </c>
      <c r="B53" s="3397"/>
      <c r="C53" s="3008" t="s">
        <v>3238</v>
      </c>
      <c r="D53" s="3009" t="s">
        <v>3188</v>
      </c>
      <c r="E53" s="3007">
        <v>152.69999999999999</v>
      </c>
      <c r="F53" s="3007">
        <v>18000</v>
      </c>
      <c r="G53" s="3010">
        <f t="shared" si="0"/>
        <v>274.86</v>
      </c>
      <c r="H53" s="3011"/>
      <c r="I53" s="3012">
        <v>1</v>
      </c>
      <c r="J53" s="3011"/>
      <c r="K53" s="3011"/>
    </row>
    <row r="54" spans="1:12" s="3013" customFormat="1" ht="14.25">
      <c r="A54" s="3007">
        <v>52</v>
      </c>
      <c r="B54" s="3397"/>
      <c r="C54" s="3008" t="s">
        <v>3239</v>
      </c>
      <c r="D54" s="3009" t="s">
        <v>3188</v>
      </c>
      <c r="E54" s="3007">
        <v>152.69999999999999</v>
      </c>
      <c r="F54" s="3007">
        <v>18000</v>
      </c>
      <c r="G54" s="3010">
        <f t="shared" si="0"/>
        <v>274.86</v>
      </c>
      <c r="H54" s="3011"/>
      <c r="I54" s="3012">
        <v>1</v>
      </c>
      <c r="J54" s="3011"/>
      <c r="K54" s="3011"/>
    </row>
    <row r="55" spans="1:12" s="3013" customFormat="1" ht="14.25">
      <c r="A55" s="3007">
        <v>53</v>
      </c>
      <c r="B55" s="3397"/>
      <c r="C55" s="3008" t="s">
        <v>3240</v>
      </c>
      <c r="D55" s="3009" t="s">
        <v>3188</v>
      </c>
      <c r="E55" s="3007">
        <v>127.03</v>
      </c>
      <c r="F55" s="3007">
        <v>18000</v>
      </c>
      <c r="G55" s="3010">
        <f t="shared" si="0"/>
        <v>228.654</v>
      </c>
      <c r="H55" s="3011"/>
      <c r="I55" s="3012">
        <v>1</v>
      </c>
      <c r="J55" s="3011"/>
      <c r="K55" s="3011"/>
    </row>
    <row r="56" spans="1:12" s="3013" customFormat="1" ht="14.25">
      <c r="A56" s="3007">
        <v>54</v>
      </c>
      <c r="B56" s="3397"/>
      <c r="C56" s="3008" t="s">
        <v>3241</v>
      </c>
      <c r="D56" s="3009" t="s">
        <v>3188</v>
      </c>
      <c r="E56" s="3007">
        <v>77.989999999999995</v>
      </c>
      <c r="F56" s="3007">
        <v>18000</v>
      </c>
      <c r="G56" s="3010">
        <f t="shared" si="0"/>
        <v>140.38200000000001</v>
      </c>
      <c r="H56" s="3011"/>
      <c r="I56" s="3012">
        <v>1</v>
      </c>
      <c r="J56" s="3011"/>
      <c r="K56" s="3011"/>
    </row>
    <row r="57" spans="1:12" s="3013" customFormat="1" ht="14.25">
      <c r="A57" s="3007">
        <v>55</v>
      </c>
      <c r="B57" s="3397"/>
      <c r="C57" s="3008" t="s">
        <v>3242</v>
      </c>
      <c r="D57" s="3009" t="s">
        <v>3188</v>
      </c>
      <c r="E57" s="3007">
        <v>78.28</v>
      </c>
      <c r="F57" s="3007">
        <v>18000</v>
      </c>
      <c r="G57" s="3010">
        <f t="shared" si="0"/>
        <v>140.904</v>
      </c>
      <c r="H57" s="3011"/>
      <c r="I57" s="3012">
        <v>1</v>
      </c>
      <c r="J57" s="3011"/>
      <c r="K57" s="3011"/>
    </row>
    <row r="58" spans="1:12" s="3013" customFormat="1" ht="14.25">
      <c r="A58" s="3007">
        <v>56</v>
      </c>
      <c r="B58" s="3397"/>
      <c r="C58" s="3008" t="s">
        <v>3243</v>
      </c>
      <c r="D58" s="3009" t="s">
        <v>3188</v>
      </c>
      <c r="E58" s="3007">
        <v>73.72</v>
      </c>
      <c r="F58" s="3007">
        <v>18000</v>
      </c>
      <c r="G58" s="3010">
        <f t="shared" si="0"/>
        <v>132.696</v>
      </c>
      <c r="H58" s="3011"/>
      <c r="I58" s="3012">
        <v>1</v>
      </c>
      <c r="J58" s="3011"/>
      <c r="K58" s="3011"/>
    </row>
    <row r="59" spans="1:12" s="3013" customFormat="1" ht="14.25">
      <c r="A59" s="3014">
        <v>57</v>
      </c>
      <c r="B59" s="3397"/>
      <c r="C59" s="3008" t="s">
        <v>3244</v>
      </c>
      <c r="D59" s="3009" t="s">
        <v>3188</v>
      </c>
      <c r="E59" s="3007">
        <v>73.72</v>
      </c>
      <c r="F59" s="3007">
        <v>18000</v>
      </c>
      <c r="G59" s="3010">
        <f t="shared" si="0"/>
        <v>132.696</v>
      </c>
      <c r="H59" s="3011"/>
      <c r="I59" s="3012">
        <v>1</v>
      </c>
      <c r="J59" s="3011"/>
      <c r="K59" s="3011"/>
    </row>
    <row r="60" spans="1:12" s="3013" customFormat="1" ht="14.25">
      <c r="A60" s="3007">
        <v>58</v>
      </c>
      <c r="B60" s="3397"/>
      <c r="C60" s="3008" t="s">
        <v>3245</v>
      </c>
      <c r="D60" s="3009" t="s">
        <v>3188</v>
      </c>
      <c r="E60" s="3007">
        <v>73.72</v>
      </c>
      <c r="F60" s="3007">
        <v>18000</v>
      </c>
      <c r="G60" s="3010">
        <f t="shared" si="0"/>
        <v>132.696</v>
      </c>
      <c r="H60" s="3011"/>
      <c r="I60" s="3012">
        <v>1</v>
      </c>
      <c r="J60" s="3011"/>
      <c r="K60" s="3011"/>
    </row>
    <row r="61" spans="1:12" s="3013" customFormat="1" ht="14.25">
      <c r="A61" s="3007">
        <v>59</v>
      </c>
      <c r="B61" s="3397"/>
      <c r="C61" s="3008" t="s">
        <v>3246</v>
      </c>
      <c r="D61" s="3009" t="s">
        <v>3188</v>
      </c>
      <c r="E61" s="3007">
        <v>73.72</v>
      </c>
      <c r="F61" s="3007">
        <v>18000</v>
      </c>
      <c r="G61" s="3010">
        <f t="shared" si="0"/>
        <v>132.696</v>
      </c>
      <c r="H61" s="3011"/>
      <c r="I61" s="3012">
        <v>1</v>
      </c>
      <c r="J61" s="3011"/>
      <c r="K61" s="3011"/>
    </row>
    <row r="62" spans="1:12" s="3013" customFormat="1" ht="14.25">
      <c r="A62" s="3007">
        <v>60</v>
      </c>
      <c r="B62" s="3397"/>
      <c r="C62" s="3008" t="s">
        <v>3247</v>
      </c>
      <c r="D62" s="3009" t="s">
        <v>3188</v>
      </c>
      <c r="E62" s="3007">
        <v>141.35</v>
      </c>
      <c r="F62" s="3007">
        <v>18000</v>
      </c>
      <c r="G62" s="3010">
        <f t="shared" si="0"/>
        <v>254.43</v>
      </c>
      <c r="H62" s="3011"/>
      <c r="I62" s="3012">
        <v>1</v>
      </c>
      <c r="J62" s="3011"/>
      <c r="K62" s="3011"/>
    </row>
    <row r="63" spans="1:12" s="3013" customFormat="1" ht="14.25">
      <c r="A63" s="3007">
        <v>61</v>
      </c>
      <c r="B63" s="3397"/>
      <c r="C63" s="3008" t="s">
        <v>3248</v>
      </c>
      <c r="D63" s="3009" t="s">
        <v>3188</v>
      </c>
      <c r="E63" s="3007">
        <v>57.88</v>
      </c>
      <c r="F63" s="3007">
        <v>18000</v>
      </c>
      <c r="G63" s="3010">
        <f t="shared" si="0"/>
        <v>104.184</v>
      </c>
      <c r="H63" s="3011"/>
      <c r="I63" s="3012">
        <v>1</v>
      </c>
      <c r="J63" s="3011"/>
      <c r="K63" s="3011"/>
    </row>
    <row r="64" spans="1:12" s="3013" customFormat="1" ht="14.25">
      <c r="A64" s="3007">
        <v>62</v>
      </c>
      <c r="B64" s="3397"/>
      <c r="C64" s="3008" t="s">
        <v>3249</v>
      </c>
      <c r="D64" s="3009" t="s">
        <v>3188</v>
      </c>
      <c r="E64" s="3007">
        <v>58.64</v>
      </c>
      <c r="F64" s="3007">
        <v>18000</v>
      </c>
      <c r="G64" s="3010">
        <f t="shared" si="0"/>
        <v>105.55200000000001</v>
      </c>
      <c r="H64" s="3011"/>
      <c r="I64" s="3012">
        <v>1</v>
      </c>
      <c r="J64" s="3011"/>
      <c r="K64" s="3011"/>
    </row>
    <row r="65" spans="1:11" s="3013" customFormat="1" ht="14.25">
      <c r="A65" s="3007">
        <v>63</v>
      </c>
      <c r="B65" s="3397"/>
      <c r="C65" s="3008" t="s">
        <v>3250</v>
      </c>
      <c r="D65" s="3009" t="s">
        <v>3188</v>
      </c>
      <c r="E65" s="3007">
        <v>161.24</v>
      </c>
      <c r="F65" s="3007">
        <v>18000</v>
      </c>
      <c r="G65" s="3010">
        <f t="shared" si="0"/>
        <v>290.23200000000003</v>
      </c>
      <c r="H65" s="3011"/>
      <c r="I65" s="3012">
        <v>1</v>
      </c>
      <c r="J65" s="3011"/>
      <c r="K65" s="3011"/>
    </row>
    <row r="66" spans="1:11" s="3013" customFormat="1" ht="14.25">
      <c r="A66" s="3007">
        <v>64</v>
      </c>
      <c r="B66" s="3397"/>
      <c r="C66" s="3008" t="s">
        <v>3251</v>
      </c>
      <c r="D66" s="3009" t="s">
        <v>3188</v>
      </c>
      <c r="E66" s="3007">
        <v>130.38</v>
      </c>
      <c r="F66" s="3007">
        <v>18000</v>
      </c>
      <c r="G66" s="3010">
        <f t="shared" si="0"/>
        <v>234.684</v>
      </c>
      <c r="H66" s="3011"/>
      <c r="I66" s="3012">
        <v>1</v>
      </c>
      <c r="J66" s="3011"/>
      <c r="K66" s="3011"/>
    </row>
    <row r="67" spans="1:11" s="3013" customFormat="1" ht="14.25">
      <c r="A67" s="3014">
        <v>65</v>
      </c>
      <c r="B67" s="3397"/>
      <c r="C67" s="3008" t="s">
        <v>3252</v>
      </c>
      <c r="D67" s="3009" t="s">
        <v>3188</v>
      </c>
      <c r="E67" s="3007">
        <v>120.38</v>
      </c>
      <c r="F67" s="3007">
        <v>18000</v>
      </c>
      <c r="G67" s="3010">
        <f t="shared" si="0"/>
        <v>216.684</v>
      </c>
      <c r="H67" s="3011"/>
      <c r="I67" s="3012">
        <v>1</v>
      </c>
      <c r="J67" s="3011"/>
      <c r="K67" s="3011"/>
    </row>
    <row r="68" spans="1:11" s="3013" customFormat="1" ht="14.25">
      <c r="A68" s="3007">
        <v>66</v>
      </c>
      <c r="B68" s="3397"/>
      <c r="C68" s="3008" t="s">
        <v>3253</v>
      </c>
      <c r="D68" s="3009" t="s">
        <v>3188</v>
      </c>
      <c r="E68" s="3007">
        <v>68.81</v>
      </c>
      <c r="F68" s="3007">
        <v>18000</v>
      </c>
      <c r="G68" s="3010">
        <f t="shared" ref="G68:G90" si="1">E68*F68/10000</f>
        <v>123.858</v>
      </c>
      <c r="H68" s="3011"/>
      <c r="I68" s="3012">
        <v>1</v>
      </c>
      <c r="J68" s="3011"/>
      <c r="K68" s="3011"/>
    </row>
    <row r="69" spans="1:11" s="3013" customFormat="1" ht="14.25">
      <c r="A69" s="3007">
        <v>67</v>
      </c>
      <c r="B69" s="3397"/>
      <c r="C69" s="3008" t="s">
        <v>3254</v>
      </c>
      <c r="D69" s="3009" t="s">
        <v>3188</v>
      </c>
      <c r="E69" s="3007">
        <v>68.81</v>
      </c>
      <c r="F69" s="3007">
        <v>18000</v>
      </c>
      <c r="G69" s="3010">
        <f t="shared" si="1"/>
        <v>123.858</v>
      </c>
      <c r="H69" s="3011"/>
      <c r="I69" s="3012">
        <v>1</v>
      </c>
      <c r="J69" s="3011"/>
      <c r="K69" s="3011"/>
    </row>
    <row r="70" spans="1:11" s="3013" customFormat="1" ht="14.25">
      <c r="A70" s="3007">
        <v>68</v>
      </c>
      <c r="B70" s="3397"/>
      <c r="C70" s="3008" t="s">
        <v>3255</v>
      </c>
      <c r="D70" s="3009" t="s">
        <v>3188</v>
      </c>
      <c r="E70" s="3007">
        <v>66.349999999999994</v>
      </c>
      <c r="F70" s="3007">
        <v>18000</v>
      </c>
      <c r="G70" s="3010">
        <f t="shared" si="1"/>
        <v>119.43</v>
      </c>
      <c r="H70" s="3011"/>
      <c r="I70" s="3012">
        <v>1</v>
      </c>
      <c r="J70" s="3011"/>
      <c r="K70" s="3011"/>
    </row>
    <row r="71" spans="1:11" s="3013" customFormat="1" ht="14.25">
      <c r="A71" s="3007">
        <v>69</v>
      </c>
      <c r="B71" s="3397"/>
      <c r="C71" s="3008" t="s">
        <v>3256</v>
      </c>
      <c r="D71" s="3009" t="s">
        <v>3188</v>
      </c>
      <c r="E71" s="3007">
        <v>64.94</v>
      </c>
      <c r="F71" s="3007">
        <v>18000</v>
      </c>
      <c r="G71" s="3010">
        <f t="shared" si="1"/>
        <v>116.892</v>
      </c>
      <c r="H71" s="3011"/>
      <c r="I71" s="3012">
        <v>1</v>
      </c>
      <c r="J71" s="3011"/>
      <c r="K71" s="3011"/>
    </row>
    <row r="72" spans="1:11" s="3013" customFormat="1" ht="14.25">
      <c r="A72" s="3007">
        <v>70</v>
      </c>
      <c r="B72" s="3397"/>
      <c r="C72" s="3008" t="s">
        <v>3257</v>
      </c>
      <c r="D72" s="3009" t="s">
        <v>3188</v>
      </c>
      <c r="E72" s="3007">
        <v>59.29</v>
      </c>
      <c r="F72" s="3007">
        <v>18000</v>
      </c>
      <c r="G72" s="3010">
        <f t="shared" si="1"/>
        <v>106.72199999999999</v>
      </c>
      <c r="H72" s="3011"/>
      <c r="I72" s="3012">
        <v>1</v>
      </c>
      <c r="J72" s="3011"/>
      <c r="K72" s="3011"/>
    </row>
    <row r="73" spans="1:11" s="3013" customFormat="1" ht="14.25">
      <c r="A73" s="3007">
        <v>71</v>
      </c>
      <c r="B73" s="3397"/>
      <c r="C73" s="3008" t="s">
        <v>3258</v>
      </c>
      <c r="D73" s="3009" t="s">
        <v>3188</v>
      </c>
      <c r="E73" s="3007">
        <v>115.73</v>
      </c>
      <c r="F73" s="3007">
        <v>18000</v>
      </c>
      <c r="G73" s="3010">
        <f t="shared" si="1"/>
        <v>208.31399999999999</v>
      </c>
      <c r="H73" s="3011"/>
      <c r="I73" s="3012">
        <v>1</v>
      </c>
      <c r="J73" s="3011"/>
      <c r="K73" s="3011"/>
    </row>
    <row r="74" spans="1:11" s="3013" customFormat="1" ht="14.25">
      <c r="A74" s="3007">
        <v>72</v>
      </c>
      <c r="B74" s="3397"/>
      <c r="C74" s="3008" t="s">
        <v>3259</v>
      </c>
      <c r="D74" s="3009" t="s">
        <v>3188</v>
      </c>
      <c r="E74" s="3007">
        <v>103.75</v>
      </c>
      <c r="F74" s="3007">
        <v>18000</v>
      </c>
      <c r="G74" s="3010">
        <f t="shared" si="1"/>
        <v>186.75</v>
      </c>
      <c r="H74" s="3011"/>
      <c r="I74" s="3012">
        <v>1</v>
      </c>
      <c r="J74" s="3011"/>
      <c r="K74" s="3011"/>
    </row>
    <row r="75" spans="1:11" s="3013" customFormat="1" ht="14.25">
      <c r="A75" s="3014">
        <v>73</v>
      </c>
      <c r="B75" s="3397"/>
      <c r="C75" s="3008" t="s">
        <v>3260</v>
      </c>
      <c r="D75" s="3009" t="s">
        <v>3188</v>
      </c>
      <c r="E75" s="3007">
        <v>109.06</v>
      </c>
      <c r="F75" s="3007">
        <v>18000</v>
      </c>
      <c r="G75" s="3010">
        <f t="shared" si="1"/>
        <v>196.30799999999999</v>
      </c>
      <c r="H75" s="3011"/>
      <c r="I75" s="3012">
        <v>1</v>
      </c>
      <c r="J75" s="3011"/>
      <c r="K75" s="3011"/>
    </row>
    <row r="76" spans="1:11" s="3013" customFormat="1" ht="14.25">
      <c r="A76" s="3007">
        <v>74</v>
      </c>
      <c r="B76" s="3397"/>
      <c r="C76" s="3008" t="s">
        <v>3261</v>
      </c>
      <c r="D76" s="3009" t="s">
        <v>3188</v>
      </c>
      <c r="E76" s="3007">
        <v>73.349999999999994</v>
      </c>
      <c r="F76" s="3007">
        <v>18000</v>
      </c>
      <c r="G76" s="3010">
        <f t="shared" si="1"/>
        <v>132.03</v>
      </c>
      <c r="H76" s="3011"/>
      <c r="I76" s="3012">
        <v>1</v>
      </c>
      <c r="J76" s="3011"/>
      <c r="K76" s="3011"/>
    </row>
    <row r="77" spans="1:11" s="3013" customFormat="1" ht="14.25">
      <c r="A77" s="3007">
        <v>75</v>
      </c>
      <c r="B77" s="3397"/>
      <c r="C77" s="3008" t="s">
        <v>3262</v>
      </c>
      <c r="D77" s="3009" t="s">
        <v>3188</v>
      </c>
      <c r="E77" s="3014">
        <v>94.83</v>
      </c>
      <c r="F77" s="3007">
        <v>18000</v>
      </c>
      <c r="G77" s="3010">
        <f t="shared" si="1"/>
        <v>170.69399999999999</v>
      </c>
      <c r="H77" s="3011"/>
      <c r="I77" s="3012">
        <v>1</v>
      </c>
      <c r="J77" s="3011"/>
      <c r="K77" s="3011"/>
    </row>
    <row r="78" spans="1:11" s="3013" customFormat="1" ht="14.25">
      <c r="A78" s="3007">
        <v>76</v>
      </c>
      <c r="B78" s="3397"/>
      <c r="C78" s="3018" t="s">
        <v>3263</v>
      </c>
      <c r="D78" s="3009" t="s">
        <v>3188</v>
      </c>
      <c r="E78" s="3019">
        <v>148.53</v>
      </c>
      <c r="F78" s="3007">
        <v>18000</v>
      </c>
      <c r="G78" s="3010">
        <f t="shared" si="1"/>
        <v>267.35399999999998</v>
      </c>
      <c r="H78" s="3011"/>
      <c r="I78" s="3012">
        <v>1</v>
      </c>
      <c r="J78" s="3011"/>
      <c r="K78" s="3011"/>
    </row>
    <row r="79" spans="1:11" s="3013" customFormat="1" ht="14.25">
      <c r="A79" s="3007">
        <v>77</v>
      </c>
      <c r="B79" s="3397"/>
      <c r="C79" s="3018" t="s">
        <v>3264</v>
      </c>
      <c r="D79" s="3009" t="s">
        <v>3188</v>
      </c>
      <c r="E79" s="3019">
        <v>76.3</v>
      </c>
      <c r="F79" s="3007">
        <v>18000</v>
      </c>
      <c r="G79" s="3010">
        <f t="shared" si="1"/>
        <v>137.34</v>
      </c>
      <c r="H79" s="3011"/>
      <c r="I79" s="3012">
        <v>1</v>
      </c>
      <c r="J79" s="3011"/>
      <c r="K79" s="3011"/>
    </row>
    <row r="80" spans="1:11" s="3013" customFormat="1" ht="14.25">
      <c r="A80" s="3007">
        <v>78</v>
      </c>
      <c r="B80" s="3397"/>
      <c r="C80" s="3018" t="s">
        <v>3265</v>
      </c>
      <c r="D80" s="3009" t="s">
        <v>3188</v>
      </c>
      <c r="E80" s="3019">
        <v>81.760000000000005</v>
      </c>
      <c r="F80" s="3007">
        <v>18000</v>
      </c>
      <c r="G80" s="3010">
        <f t="shared" si="1"/>
        <v>147.16800000000001</v>
      </c>
      <c r="H80" s="3011"/>
      <c r="I80" s="3012">
        <v>1</v>
      </c>
      <c r="J80" s="3011"/>
      <c r="K80" s="3011"/>
    </row>
    <row r="81" spans="1:12" s="3013" customFormat="1" ht="14.25">
      <c r="A81" s="3007">
        <v>79</v>
      </c>
      <c r="B81" s="3397"/>
      <c r="C81" s="3018" t="s">
        <v>3266</v>
      </c>
      <c r="D81" s="3009" t="s">
        <v>3188</v>
      </c>
      <c r="E81" s="3019">
        <v>75.099999999999994</v>
      </c>
      <c r="F81" s="3007">
        <v>18000</v>
      </c>
      <c r="G81" s="3010">
        <f t="shared" si="1"/>
        <v>135.18</v>
      </c>
      <c r="H81" s="3011"/>
      <c r="I81" s="3012">
        <v>1</v>
      </c>
      <c r="J81" s="3011"/>
      <c r="K81" s="3011"/>
    </row>
    <row r="82" spans="1:12" s="3013" customFormat="1" ht="14.25">
      <c r="A82" s="3007">
        <v>80</v>
      </c>
      <c r="B82" s="3397"/>
      <c r="C82" s="3018" t="s">
        <v>3267</v>
      </c>
      <c r="D82" s="3009" t="s">
        <v>3188</v>
      </c>
      <c r="E82" s="3019">
        <v>75.099999999999994</v>
      </c>
      <c r="F82" s="3007">
        <v>18000</v>
      </c>
      <c r="G82" s="3010">
        <f t="shared" si="1"/>
        <v>135.18</v>
      </c>
      <c r="H82" s="3011"/>
      <c r="I82" s="3012">
        <v>1</v>
      </c>
      <c r="J82" s="3011"/>
      <c r="K82" s="3011"/>
    </row>
    <row r="83" spans="1:12" s="3013" customFormat="1" ht="14.25">
      <c r="A83" s="3014">
        <v>81</v>
      </c>
      <c r="B83" s="3397"/>
      <c r="C83" s="3018" t="s">
        <v>3268</v>
      </c>
      <c r="D83" s="3009" t="s">
        <v>3188</v>
      </c>
      <c r="E83" s="3019">
        <v>94.57</v>
      </c>
      <c r="F83" s="3007">
        <v>18000</v>
      </c>
      <c r="G83" s="3010">
        <f t="shared" si="1"/>
        <v>170.22599999999997</v>
      </c>
      <c r="H83" s="3011"/>
      <c r="I83" s="3012">
        <v>1</v>
      </c>
      <c r="J83" s="3011"/>
      <c r="K83" s="3011"/>
    </row>
    <row r="84" spans="1:12" s="3013" customFormat="1" ht="14.25">
      <c r="A84" s="3007">
        <v>82</v>
      </c>
      <c r="B84" s="3397"/>
      <c r="C84" s="3018" t="s">
        <v>3269</v>
      </c>
      <c r="D84" s="3009" t="s">
        <v>3188</v>
      </c>
      <c r="E84" s="3019">
        <v>75.099999999999994</v>
      </c>
      <c r="F84" s="3007">
        <v>18000</v>
      </c>
      <c r="G84" s="3010">
        <f t="shared" si="1"/>
        <v>135.18</v>
      </c>
      <c r="H84" s="3011"/>
      <c r="I84" s="3012">
        <v>1</v>
      </c>
      <c r="J84" s="3011"/>
      <c r="K84" s="3011"/>
    </row>
    <row r="85" spans="1:12" s="3013" customFormat="1" ht="14.25">
      <c r="A85" s="3007">
        <v>83</v>
      </c>
      <c r="B85" s="3397"/>
      <c r="C85" s="3018" t="s">
        <v>3270</v>
      </c>
      <c r="D85" s="3009" t="s">
        <v>3188</v>
      </c>
      <c r="E85" s="3019">
        <v>75.099999999999994</v>
      </c>
      <c r="F85" s="3007">
        <v>18000</v>
      </c>
      <c r="G85" s="3010">
        <f t="shared" si="1"/>
        <v>135.18</v>
      </c>
      <c r="H85" s="3011"/>
      <c r="I85" s="3012">
        <v>1</v>
      </c>
      <c r="J85" s="3011"/>
      <c r="K85" s="3011"/>
    </row>
    <row r="86" spans="1:12" s="3013" customFormat="1" ht="14.25">
      <c r="A86" s="3007">
        <v>84</v>
      </c>
      <c r="B86" s="3397"/>
      <c r="C86" s="3018" t="s">
        <v>3271</v>
      </c>
      <c r="D86" s="3009" t="s">
        <v>3188</v>
      </c>
      <c r="E86" s="3019">
        <v>77.38</v>
      </c>
      <c r="F86" s="3007">
        <v>18000</v>
      </c>
      <c r="G86" s="3010">
        <f t="shared" si="1"/>
        <v>139.28399999999999</v>
      </c>
      <c r="H86" s="3011"/>
      <c r="I86" s="3012">
        <v>1</v>
      </c>
      <c r="J86" s="3011"/>
      <c r="K86" s="3011"/>
    </row>
    <row r="87" spans="1:12" s="3013" customFormat="1" ht="14.25">
      <c r="A87" s="3007">
        <v>85</v>
      </c>
      <c r="B87" s="3397"/>
      <c r="C87" s="3008" t="s">
        <v>3272</v>
      </c>
      <c r="D87" s="3009" t="s">
        <v>3188</v>
      </c>
      <c r="E87" s="3020">
        <v>142.69999999999999</v>
      </c>
      <c r="F87" s="3007">
        <v>18000</v>
      </c>
      <c r="G87" s="3010">
        <f t="shared" si="1"/>
        <v>256.86</v>
      </c>
      <c r="H87" s="3011"/>
      <c r="I87" s="3012">
        <v>1</v>
      </c>
      <c r="J87" s="3011"/>
      <c r="K87" s="3011"/>
    </row>
    <row r="88" spans="1:12" s="3013" customFormat="1" ht="14.25">
      <c r="A88" s="3007">
        <v>86</v>
      </c>
      <c r="B88" s="3397"/>
      <c r="C88" s="3008" t="s">
        <v>3273</v>
      </c>
      <c r="D88" s="3009" t="s">
        <v>3188</v>
      </c>
      <c r="E88" s="3007">
        <v>151.05000000000001</v>
      </c>
      <c r="F88" s="3007">
        <v>18000</v>
      </c>
      <c r="G88" s="3010">
        <f t="shared" si="1"/>
        <v>271.89</v>
      </c>
      <c r="H88" s="3011"/>
      <c r="I88" s="3012">
        <v>1</v>
      </c>
      <c r="J88" s="3011"/>
      <c r="K88" s="3011"/>
    </row>
    <row r="89" spans="1:12" s="3013" customFormat="1" ht="14.25">
      <c r="A89" s="3007">
        <v>87</v>
      </c>
      <c r="B89" s="3397"/>
      <c r="C89" s="3008" t="s">
        <v>3274</v>
      </c>
      <c r="D89" s="3009" t="s">
        <v>3188</v>
      </c>
      <c r="E89" s="3007">
        <v>130.16</v>
      </c>
      <c r="F89" s="3007">
        <v>18000</v>
      </c>
      <c r="G89" s="3010">
        <f t="shared" si="1"/>
        <v>234.28800000000001</v>
      </c>
      <c r="H89" s="3011"/>
      <c r="I89" s="3012">
        <v>1</v>
      </c>
      <c r="J89" s="3011"/>
      <c r="K89" s="3011"/>
    </row>
    <row r="90" spans="1:12" s="3013" customFormat="1" ht="14.25">
      <c r="A90" s="3007">
        <v>88</v>
      </c>
      <c r="B90" s="3398"/>
      <c r="C90" s="3021" t="s">
        <v>3275</v>
      </c>
      <c r="D90" s="3009" t="s">
        <v>3188</v>
      </c>
      <c r="E90" s="3014">
        <v>104.04</v>
      </c>
      <c r="F90" s="3007">
        <v>18000</v>
      </c>
      <c r="G90" s="3010">
        <f t="shared" si="1"/>
        <v>187.27199999999999</v>
      </c>
      <c r="H90" s="3011"/>
      <c r="I90" s="3012">
        <v>1</v>
      </c>
      <c r="J90" s="3011"/>
      <c r="K90" s="3011"/>
      <c r="L90" s="3013">
        <f>SUM(E3:E90)</f>
        <v>8564.0300000000025</v>
      </c>
    </row>
    <row r="91" spans="1:12" s="3029" customFormat="1" ht="14.25">
      <c r="A91" s="3022">
        <v>89</v>
      </c>
      <c r="B91" s="3399" t="s">
        <v>3276</v>
      </c>
      <c r="C91" s="3023" t="s">
        <v>3277</v>
      </c>
      <c r="D91" s="3024" t="s">
        <v>3188</v>
      </c>
      <c r="E91" s="3025">
        <v>35.89</v>
      </c>
      <c r="F91" s="3022">
        <v>18000</v>
      </c>
      <c r="G91" s="3026">
        <f>E91*F91/10000</f>
        <v>64.602000000000004</v>
      </c>
      <c r="H91" s="3027"/>
      <c r="I91" s="3028">
        <v>1</v>
      </c>
      <c r="J91" s="3027"/>
      <c r="K91" s="3027"/>
    </row>
    <row r="92" spans="1:12" s="3029" customFormat="1" ht="14.25">
      <c r="A92" s="3022">
        <v>90</v>
      </c>
      <c r="B92" s="3400"/>
      <c r="C92" s="3023" t="s">
        <v>3278</v>
      </c>
      <c r="D92" s="3024" t="s">
        <v>3188</v>
      </c>
      <c r="E92" s="3025">
        <v>38.89</v>
      </c>
      <c r="F92" s="3022">
        <v>18000</v>
      </c>
      <c r="G92" s="3026">
        <f t="shared" ref="G92:G155" si="2">E92*F92/10000</f>
        <v>70.001999999999995</v>
      </c>
      <c r="H92" s="3027"/>
      <c r="I92" s="3028">
        <v>1</v>
      </c>
      <c r="J92" s="3027"/>
      <c r="K92" s="3027"/>
    </row>
    <row r="93" spans="1:12" s="3029" customFormat="1" ht="14.25">
      <c r="A93" s="3022">
        <v>91</v>
      </c>
      <c r="B93" s="3400"/>
      <c r="C93" s="3023" t="s">
        <v>3279</v>
      </c>
      <c r="D93" s="3024" t="s">
        <v>3188</v>
      </c>
      <c r="E93" s="3025">
        <v>75.819999999999993</v>
      </c>
      <c r="F93" s="3022">
        <v>18000</v>
      </c>
      <c r="G93" s="3026">
        <f t="shared" si="2"/>
        <v>136.47599999999997</v>
      </c>
      <c r="H93" s="3027"/>
      <c r="I93" s="3028">
        <v>1</v>
      </c>
      <c r="J93" s="3027"/>
      <c r="K93" s="3027"/>
    </row>
    <row r="94" spans="1:12" s="3029" customFormat="1" ht="14.25">
      <c r="A94" s="3022">
        <v>92</v>
      </c>
      <c r="B94" s="3400"/>
      <c r="C94" s="3023" t="s">
        <v>3280</v>
      </c>
      <c r="D94" s="3024" t="s">
        <v>3188</v>
      </c>
      <c r="E94" s="3025">
        <v>52.5</v>
      </c>
      <c r="F94" s="3022">
        <v>18000</v>
      </c>
      <c r="G94" s="3026">
        <f t="shared" si="2"/>
        <v>94.5</v>
      </c>
      <c r="H94" s="3027"/>
      <c r="I94" s="3028">
        <v>1</v>
      </c>
      <c r="J94" s="3027"/>
      <c r="K94" s="3027"/>
    </row>
    <row r="95" spans="1:12" s="3029" customFormat="1" ht="14.25">
      <c r="A95" s="3022">
        <v>93</v>
      </c>
      <c r="B95" s="3400"/>
      <c r="C95" s="3023" t="s">
        <v>3281</v>
      </c>
      <c r="D95" s="3024" t="s">
        <v>3188</v>
      </c>
      <c r="E95" s="3025">
        <v>57.91</v>
      </c>
      <c r="F95" s="3022">
        <v>18000</v>
      </c>
      <c r="G95" s="3026">
        <f t="shared" si="2"/>
        <v>104.23799999999999</v>
      </c>
      <c r="H95" s="3027"/>
      <c r="I95" s="3028">
        <v>1</v>
      </c>
      <c r="J95" s="3027"/>
      <c r="K95" s="3027"/>
    </row>
    <row r="96" spans="1:12" s="3029" customFormat="1" ht="14.25">
      <c r="A96" s="3022">
        <v>94</v>
      </c>
      <c r="B96" s="3400"/>
      <c r="C96" s="3023" t="s">
        <v>3282</v>
      </c>
      <c r="D96" s="3024" t="s">
        <v>3188</v>
      </c>
      <c r="E96" s="3025">
        <v>75.819999999999993</v>
      </c>
      <c r="F96" s="3022">
        <v>18000</v>
      </c>
      <c r="G96" s="3026">
        <f t="shared" si="2"/>
        <v>136.47599999999997</v>
      </c>
      <c r="H96" s="3027"/>
      <c r="I96" s="3028">
        <v>1</v>
      </c>
      <c r="J96" s="3027"/>
      <c r="K96" s="3027"/>
    </row>
    <row r="97" spans="1:11" s="3029" customFormat="1" ht="14.25">
      <c r="A97" s="3022">
        <v>95</v>
      </c>
      <c r="B97" s="3400"/>
      <c r="C97" s="3023" t="s">
        <v>3283</v>
      </c>
      <c r="D97" s="3024" t="s">
        <v>3188</v>
      </c>
      <c r="E97" s="3025">
        <v>80.03</v>
      </c>
      <c r="F97" s="3022">
        <v>18000</v>
      </c>
      <c r="G97" s="3026">
        <f t="shared" si="2"/>
        <v>144.054</v>
      </c>
      <c r="H97" s="3027"/>
      <c r="I97" s="3028">
        <v>1</v>
      </c>
      <c r="J97" s="3027"/>
      <c r="K97" s="3027"/>
    </row>
    <row r="98" spans="1:11" s="3029" customFormat="1" ht="14.25">
      <c r="A98" s="3022">
        <v>96</v>
      </c>
      <c r="B98" s="3400"/>
      <c r="C98" s="3023" t="s">
        <v>3284</v>
      </c>
      <c r="D98" s="3024" t="s">
        <v>3188</v>
      </c>
      <c r="E98" s="3025">
        <v>66.25</v>
      </c>
      <c r="F98" s="3022">
        <v>18000</v>
      </c>
      <c r="G98" s="3026">
        <f t="shared" si="2"/>
        <v>119.25</v>
      </c>
      <c r="H98" s="3027"/>
      <c r="I98" s="3028">
        <v>1</v>
      </c>
      <c r="J98" s="3027"/>
      <c r="K98" s="3027"/>
    </row>
    <row r="99" spans="1:11" s="3029" customFormat="1" ht="14.25">
      <c r="A99" s="3022">
        <v>97</v>
      </c>
      <c r="B99" s="3400"/>
      <c r="C99" s="3023" t="s">
        <v>3285</v>
      </c>
      <c r="D99" s="3024" t="s">
        <v>3188</v>
      </c>
      <c r="E99" s="3025">
        <v>47.86</v>
      </c>
      <c r="F99" s="3022">
        <v>18000</v>
      </c>
      <c r="G99" s="3026">
        <f t="shared" si="2"/>
        <v>86.147999999999996</v>
      </c>
      <c r="H99" s="3027"/>
      <c r="I99" s="3028">
        <v>1</v>
      </c>
      <c r="J99" s="3027"/>
      <c r="K99" s="3027"/>
    </row>
    <row r="100" spans="1:11" s="3029" customFormat="1" ht="14.25">
      <c r="A100" s="3022">
        <v>98</v>
      </c>
      <c r="B100" s="3400"/>
      <c r="C100" s="3023" t="s">
        <v>3286</v>
      </c>
      <c r="D100" s="3024" t="s">
        <v>3188</v>
      </c>
      <c r="E100" s="3025">
        <v>47.86</v>
      </c>
      <c r="F100" s="3022">
        <v>18000</v>
      </c>
      <c r="G100" s="3026">
        <f t="shared" si="2"/>
        <v>86.147999999999996</v>
      </c>
      <c r="H100" s="3027"/>
      <c r="I100" s="3028">
        <v>1</v>
      </c>
      <c r="J100" s="3027"/>
      <c r="K100" s="3027"/>
    </row>
    <row r="101" spans="1:11" s="3029" customFormat="1" ht="14.25">
      <c r="A101" s="3022">
        <v>99</v>
      </c>
      <c r="B101" s="3400"/>
      <c r="C101" s="3023" t="s">
        <v>3287</v>
      </c>
      <c r="D101" s="3024" t="s">
        <v>3188</v>
      </c>
      <c r="E101" s="3025">
        <v>47.86</v>
      </c>
      <c r="F101" s="3022">
        <v>18000</v>
      </c>
      <c r="G101" s="3026">
        <f t="shared" si="2"/>
        <v>86.147999999999996</v>
      </c>
      <c r="H101" s="3027"/>
      <c r="I101" s="3028">
        <v>1</v>
      </c>
      <c r="J101" s="3027"/>
      <c r="K101" s="3027"/>
    </row>
    <row r="102" spans="1:11" s="3029" customFormat="1" ht="14.25">
      <c r="A102" s="3022">
        <v>100</v>
      </c>
      <c r="B102" s="3400"/>
      <c r="C102" s="3023" t="s">
        <v>3288</v>
      </c>
      <c r="D102" s="3024" t="s">
        <v>3188</v>
      </c>
      <c r="E102" s="3025">
        <v>69.900000000000006</v>
      </c>
      <c r="F102" s="3022">
        <v>18000</v>
      </c>
      <c r="G102" s="3026">
        <f t="shared" si="2"/>
        <v>125.82</v>
      </c>
      <c r="H102" s="3027"/>
      <c r="I102" s="3028">
        <v>1</v>
      </c>
      <c r="J102" s="3027"/>
      <c r="K102" s="3027"/>
    </row>
    <row r="103" spans="1:11" s="3029" customFormat="1" ht="14.25">
      <c r="A103" s="3022">
        <v>101</v>
      </c>
      <c r="B103" s="3400"/>
      <c r="C103" s="3023" t="s">
        <v>3289</v>
      </c>
      <c r="D103" s="3024" t="s">
        <v>3188</v>
      </c>
      <c r="E103" s="3025">
        <v>104.85</v>
      </c>
      <c r="F103" s="3022">
        <v>18000</v>
      </c>
      <c r="G103" s="3026">
        <f t="shared" si="2"/>
        <v>188.73</v>
      </c>
      <c r="H103" s="3027"/>
      <c r="I103" s="3028">
        <v>1</v>
      </c>
      <c r="J103" s="3027"/>
      <c r="K103" s="3027"/>
    </row>
    <row r="104" spans="1:11" s="3029" customFormat="1" ht="14.25">
      <c r="A104" s="3022">
        <v>102</v>
      </c>
      <c r="B104" s="3400"/>
      <c r="C104" s="3023" t="s">
        <v>3290</v>
      </c>
      <c r="D104" s="3024" t="s">
        <v>3188</v>
      </c>
      <c r="E104" s="3025">
        <v>69.900000000000006</v>
      </c>
      <c r="F104" s="3022">
        <v>18000</v>
      </c>
      <c r="G104" s="3026">
        <f t="shared" si="2"/>
        <v>125.82</v>
      </c>
      <c r="H104" s="3027"/>
      <c r="I104" s="3028">
        <v>1</v>
      </c>
      <c r="J104" s="3027"/>
      <c r="K104" s="3027"/>
    </row>
    <row r="105" spans="1:11" s="3029" customFormat="1" ht="14.25">
      <c r="A105" s="3022">
        <v>103</v>
      </c>
      <c r="B105" s="3400"/>
      <c r="C105" s="3023" t="s">
        <v>3291</v>
      </c>
      <c r="D105" s="3024" t="s">
        <v>3188</v>
      </c>
      <c r="E105" s="3023">
        <v>69.569999999999993</v>
      </c>
      <c r="F105" s="3022">
        <v>18000</v>
      </c>
      <c r="G105" s="3026">
        <f t="shared" si="2"/>
        <v>125.22599999999997</v>
      </c>
      <c r="H105" s="3027"/>
      <c r="I105" s="3028">
        <v>1</v>
      </c>
      <c r="J105" s="3027"/>
      <c r="K105" s="3027"/>
    </row>
    <row r="106" spans="1:11" s="3029" customFormat="1" ht="14.25">
      <c r="A106" s="3022">
        <v>104</v>
      </c>
      <c r="B106" s="3400"/>
      <c r="C106" s="3023" t="s">
        <v>3292</v>
      </c>
      <c r="D106" s="3024" t="s">
        <v>3188</v>
      </c>
      <c r="E106" s="3023">
        <v>57.98</v>
      </c>
      <c r="F106" s="3022">
        <v>18000</v>
      </c>
      <c r="G106" s="3026">
        <f t="shared" si="2"/>
        <v>104.364</v>
      </c>
      <c r="H106" s="3027"/>
      <c r="I106" s="3028">
        <v>1</v>
      </c>
      <c r="J106" s="3027"/>
      <c r="K106" s="3027"/>
    </row>
    <row r="107" spans="1:11" s="3029" customFormat="1" ht="14.25">
      <c r="A107" s="3022">
        <v>105</v>
      </c>
      <c r="B107" s="3400"/>
      <c r="C107" s="3023" t="s">
        <v>3293</v>
      </c>
      <c r="D107" s="3024" t="s">
        <v>3188</v>
      </c>
      <c r="E107" s="3023">
        <v>57.98</v>
      </c>
      <c r="F107" s="3022">
        <v>18000</v>
      </c>
      <c r="G107" s="3026">
        <f t="shared" si="2"/>
        <v>104.364</v>
      </c>
      <c r="H107" s="3027"/>
      <c r="I107" s="3028">
        <v>1</v>
      </c>
      <c r="J107" s="3027"/>
      <c r="K107" s="3027"/>
    </row>
    <row r="108" spans="1:11" s="3029" customFormat="1" ht="14.25">
      <c r="A108" s="3022">
        <v>106</v>
      </c>
      <c r="B108" s="3400"/>
      <c r="C108" s="3023" t="s">
        <v>3294</v>
      </c>
      <c r="D108" s="3024" t="s">
        <v>3188</v>
      </c>
      <c r="E108" s="3023">
        <v>104.36</v>
      </c>
      <c r="F108" s="3022">
        <v>18000</v>
      </c>
      <c r="G108" s="3026">
        <f t="shared" si="2"/>
        <v>187.84800000000001</v>
      </c>
      <c r="H108" s="3027"/>
      <c r="I108" s="3028">
        <v>1</v>
      </c>
      <c r="J108" s="3027"/>
      <c r="K108" s="3027"/>
    </row>
    <row r="109" spans="1:11" s="3029" customFormat="1" ht="14.25">
      <c r="A109" s="3022">
        <v>107</v>
      </c>
      <c r="B109" s="3400"/>
      <c r="C109" s="3023" t="s">
        <v>3295</v>
      </c>
      <c r="D109" s="3024" t="s">
        <v>3188</v>
      </c>
      <c r="E109" s="3023">
        <v>47.64</v>
      </c>
      <c r="F109" s="3022">
        <v>18000</v>
      </c>
      <c r="G109" s="3026">
        <f t="shared" si="2"/>
        <v>85.751999999999995</v>
      </c>
      <c r="H109" s="3027"/>
      <c r="I109" s="3028">
        <v>1</v>
      </c>
      <c r="J109" s="3027"/>
      <c r="K109" s="3027"/>
    </row>
    <row r="110" spans="1:11" s="3029" customFormat="1" ht="14.25">
      <c r="A110" s="3022">
        <v>108</v>
      </c>
      <c r="B110" s="3400"/>
      <c r="C110" s="3023" t="s">
        <v>3296</v>
      </c>
      <c r="D110" s="3024" t="s">
        <v>3188</v>
      </c>
      <c r="E110" s="3023">
        <v>47.64</v>
      </c>
      <c r="F110" s="3022">
        <v>18000</v>
      </c>
      <c r="G110" s="3026">
        <f t="shared" si="2"/>
        <v>85.751999999999995</v>
      </c>
      <c r="H110" s="3027"/>
      <c r="I110" s="3028">
        <v>1</v>
      </c>
      <c r="J110" s="3027"/>
      <c r="K110" s="3027"/>
    </row>
    <row r="111" spans="1:11" s="3029" customFormat="1" ht="14.25">
      <c r="A111" s="3022">
        <v>109</v>
      </c>
      <c r="B111" s="3400"/>
      <c r="C111" s="3023" t="s">
        <v>3297</v>
      </c>
      <c r="D111" s="3024" t="s">
        <v>3188</v>
      </c>
      <c r="E111" s="3023">
        <v>47.64</v>
      </c>
      <c r="F111" s="3022">
        <v>18000</v>
      </c>
      <c r="G111" s="3026">
        <f t="shared" si="2"/>
        <v>85.751999999999995</v>
      </c>
      <c r="H111" s="3027"/>
      <c r="I111" s="3028">
        <v>1</v>
      </c>
      <c r="J111" s="3027"/>
      <c r="K111" s="3027"/>
    </row>
    <row r="112" spans="1:11" s="3029" customFormat="1" ht="14.25">
      <c r="A112" s="3022">
        <v>110</v>
      </c>
      <c r="B112" s="3400"/>
      <c r="C112" s="3023" t="s">
        <v>3298</v>
      </c>
      <c r="D112" s="3024" t="s">
        <v>3188</v>
      </c>
      <c r="E112" s="3023">
        <v>65.06</v>
      </c>
      <c r="F112" s="3022">
        <v>18000</v>
      </c>
      <c r="G112" s="3026">
        <f t="shared" si="2"/>
        <v>117.108</v>
      </c>
      <c r="H112" s="3027"/>
      <c r="I112" s="3028">
        <v>1</v>
      </c>
      <c r="J112" s="3027"/>
      <c r="K112" s="3027"/>
    </row>
    <row r="113" spans="1:11" s="3029" customFormat="1" ht="14.25">
      <c r="A113" s="3022">
        <v>111</v>
      </c>
      <c r="B113" s="3400"/>
      <c r="C113" s="3023" t="s">
        <v>3299</v>
      </c>
      <c r="D113" s="3024" t="s">
        <v>3188</v>
      </c>
      <c r="E113" s="3023">
        <v>80.86</v>
      </c>
      <c r="F113" s="3022">
        <v>18000</v>
      </c>
      <c r="G113" s="3026">
        <f t="shared" si="2"/>
        <v>145.548</v>
      </c>
      <c r="H113" s="3027"/>
      <c r="I113" s="3028">
        <v>1</v>
      </c>
      <c r="J113" s="3027"/>
      <c r="K113" s="3027"/>
    </row>
    <row r="114" spans="1:11" s="3029" customFormat="1" ht="14.25">
      <c r="A114" s="3022">
        <v>112</v>
      </c>
      <c r="B114" s="3400"/>
      <c r="C114" s="3023" t="s">
        <v>3300</v>
      </c>
      <c r="D114" s="3024" t="s">
        <v>3188</v>
      </c>
      <c r="E114" s="3023">
        <v>80.2</v>
      </c>
      <c r="F114" s="3022">
        <v>18000</v>
      </c>
      <c r="G114" s="3026">
        <f t="shared" si="2"/>
        <v>144.36000000000001</v>
      </c>
      <c r="H114" s="3027"/>
      <c r="I114" s="3028">
        <v>1</v>
      </c>
      <c r="J114" s="3027"/>
      <c r="K114" s="3027"/>
    </row>
    <row r="115" spans="1:11" s="3029" customFormat="1" ht="14.25">
      <c r="A115" s="3022">
        <v>113</v>
      </c>
      <c r="B115" s="3400"/>
      <c r="C115" s="3023" t="s">
        <v>3301</v>
      </c>
      <c r="D115" s="3024" t="s">
        <v>3188</v>
      </c>
      <c r="E115" s="3023">
        <v>70.11</v>
      </c>
      <c r="F115" s="3022">
        <v>18000</v>
      </c>
      <c r="G115" s="3026">
        <f t="shared" si="2"/>
        <v>126.19799999999999</v>
      </c>
      <c r="H115" s="3027"/>
      <c r="I115" s="3028">
        <v>1</v>
      </c>
      <c r="J115" s="3027"/>
      <c r="K115" s="3027"/>
    </row>
    <row r="116" spans="1:11" s="3029" customFormat="1" ht="14.25">
      <c r="A116" s="3022">
        <v>114</v>
      </c>
      <c r="B116" s="3400"/>
      <c r="C116" s="3023" t="s">
        <v>3302</v>
      </c>
      <c r="D116" s="3024" t="s">
        <v>3188</v>
      </c>
      <c r="E116" s="3023">
        <v>62.68</v>
      </c>
      <c r="F116" s="3022">
        <v>18000</v>
      </c>
      <c r="G116" s="3026">
        <f t="shared" si="2"/>
        <v>112.824</v>
      </c>
      <c r="H116" s="3027"/>
      <c r="I116" s="3028">
        <v>1</v>
      </c>
      <c r="J116" s="3027"/>
      <c r="K116" s="3027"/>
    </row>
    <row r="117" spans="1:11" s="3029" customFormat="1" ht="14.25">
      <c r="A117" s="3022">
        <v>115</v>
      </c>
      <c r="B117" s="3400"/>
      <c r="C117" s="3023" t="s">
        <v>3303</v>
      </c>
      <c r="D117" s="3024" t="s">
        <v>3188</v>
      </c>
      <c r="E117" s="3023">
        <v>70.11</v>
      </c>
      <c r="F117" s="3022">
        <v>18000</v>
      </c>
      <c r="G117" s="3026">
        <f t="shared" si="2"/>
        <v>126.19799999999999</v>
      </c>
      <c r="H117" s="3027"/>
      <c r="I117" s="3028">
        <v>1</v>
      </c>
      <c r="J117" s="3027"/>
      <c r="K117" s="3027"/>
    </row>
    <row r="118" spans="1:11" s="3029" customFormat="1" ht="14.25">
      <c r="A118" s="3022">
        <v>116</v>
      </c>
      <c r="B118" s="3400"/>
      <c r="C118" s="3023" t="s">
        <v>3304</v>
      </c>
      <c r="D118" s="3024" t="s">
        <v>3188</v>
      </c>
      <c r="E118" s="3023">
        <v>80.2</v>
      </c>
      <c r="F118" s="3022">
        <v>18000</v>
      </c>
      <c r="G118" s="3026">
        <f t="shared" si="2"/>
        <v>144.36000000000001</v>
      </c>
      <c r="H118" s="3027"/>
      <c r="I118" s="3028">
        <v>1</v>
      </c>
      <c r="J118" s="3027"/>
      <c r="K118" s="3027"/>
    </row>
    <row r="119" spans="1:11" s="3029" customFormat="1" ht="14.25">
      <c r="A119" s="3022">
        <v>117</v>
      </c>
      <c r="B119" s="3400"/>
      <c r="C119" s="3023" t="s">
        <v>3305</v>
      </c>
      <c r="D119" s="3024" t="s">
        <v>3188</v>
      </c>
      <c r="E119" s="3023">
        <v>71.81</v>
      </c>
      <c r="F119" s="3022">
        <v>18000</v>
      </c>
      <c r="G119" s="3026">
        <f t="shared" si="2"/>
        <v>129.25800000000001</v>
      </c>
      <c r="H119" s="3027"/>
      <c r="I119" s="3028">
        <v>1</v>
      </c>
      <c r="J119" s="3027"/>
      <c r="K119" s="3027"/>
    </row>
    <row r="120" spans="1:11" s="3029" customFormat="1" ht="14.25">
      <c r="A120" s="3022">
        <v>118</v>
      </c>
      <c r="B120" s="3400"/>
      <c r="C120" s="3023" t="s">
        <v>3306</v>
      </c>
      <c r="D120" s="3024" t="s">
        <v>3188</v>
      </c>
      <c r="E120" s="3023">
        <v>80.87</v>
      </c>
      <c r="F120" s="3022">
        <v>18000</v>
      </c>
      <c r="G120" s="3026">
        <f t="shared" si="2"/>
        <v>145.566</v>
      </c>
      <c r="H120" s="3027"/>
      <c r="I120" s="3028">
        <v>1</v>
      </c>
      <c r="J120" s="3027"/>
      <c r="K120" s="3027"/>
    </row>
    <row r="121" spans="1:11" s="3029" customFormat="1" ht="14.25">
      <c r="A121" s="3022">
        <v>119</v>
      </c>
      <c r="B121" s="3400"/>
      <c r="C121" s="3023" t="s">
        <v>3307</v>
      </c>
      <c r="D121" s="3024" t="s">
        <v>3188</v>
      </c>
      <c r="E121" s="3023">
        <v>67.930000000000007</v>
      </c>
      <c r="F121" s="3022">
        <v>18000</v>
      </c>
      <c r="G121" s="3026">
        <f t="shared" si="2"/>
        <v>122.27400000000003</v>
      </c>
      <c r="H121" s="3027"/>
      <c r="I121" s="3028">
        <v>1</v>
      </c>
      <c r="J121" s="3027"/>
      <c r="K121" s="3027"/>
    </row>
    <row r="122" spans="1:11" s="3029" customFormat="1" ht="14.25">
      <c r="A122" s="3022">
        <v>120</v>
      </c>
      <c r="B122" s="3400"/>
      <c r="C122" s="3023" t="s">
        <v>3308</v>
      </c>
      <c r="D122" s="3024" t="s">
        <v>3188</v>
      </c>
      <c r="E122" s="3023">
        <v>95.97</v>
      </c>
      <c r="F122" s="3022">
        <v>18000</v>
      </c>
      <c r="G122" s="3026">
        <f t="shared" si="2"/>
        <v>172.74600000000001</v>
      </c>
      <c r="H122" s="3027"/>
      <c r="I122" s="3028">
        <v>1</v>
      </c>
      <c r="J122" s="3027"/>
      <c r="K122" s="3027"/>
    </row>
    <row r="123" spans="1:11" s="3029" customFormat="1" ht="14.25">
      <c r="A123" s="3022">
        <v>121</v>
      </c>
      <c r="B123" s="3400"/>
      <c r="C123" s="3023" t="s">
        <v>3309</v>
      </c>
      <c r="D123" s="3024" t="s">
        <v>3188</v>
      </c>
      <c r="E123" s="3023">
        <v>79.23</v>
      </c>
      <c r="F123" s="3022">
        <v>18000</v>
      </c>
      <c r="G123" s="3026">
        <f t="shared" si="2"/>
        <v>142.614</v>
      </c>
      <c r="H123" s="3027"/>
      <c r="I123" s="3028">
        <v>1</v>
      </c>
      <c r="J123" s="3027"/>
      <c r="K123" s="3027"/>
    </row>
    <row r="124" spans="1:11" s="3029" customFormat="1" ht="14.25">
      <c r="A124" s="3022">
        <v>122</v>
      </c>
      <c r="B124" s="3400"/>
      <c r="C124" s="3023" t="s">
        <v>3310</v>
      </c>
      <c r="D124" s="3024" t="s">
        <v>3188</v>
      </c>
      <c r="E124" s="3023">
        <v>49.68</v>
      </c>
      <c r="F124" s="3022">
        <v>18000</v>
      </c>
      <c r="G124" s="3026">
        <f t="shared" si="2"/>
        <v>89.424000000000007</v>
      </c>
      <c r="H124" s="3027"/>
      <c r="I124" s="3028">
        <v>1</v>
      </c>
      <c r="J124" s="3027"/>
      <c r="K124" s="3027"/>
    </row>
    <row r="125" spans="1:11" s="3029" customFormat="1" ht="14.25">
      <c r="A125" s="3022">
        <v>123</v>
      </c>
      <c r="B125" s="3400"/>
      <c r="C125" s="3023" t="s">
        <v>3311</v>
      </c>
      <c r="D125" s="3024" t="s">
        <v>3188</v>
      </c>
      <c r="E125" s="3023">
        <v>70.83</v>
      </c>
      <c r="F125" s="3022">
        <v>18000</v>
      </c>
      <c r="G125" s="3026">
        <f t="shared" si="2"/>
        <v>127.494</v>
      </c>
      <c r="H125" s="3027"/>
      <c r="I125" s="3028">
        <v>1</v>
      </c>
      <c r="J125" s="3027"/>
      <c r="K125" s="3027"/>
    </row>
    <row r="126" spans="1:11" s="3029" customFormat="1" ht="14.25">
      <c r="A126" s="3022">
        <v>124</v>
      </c>
      <c r="B126" s="3400"/>
      <c r="C126" s="3023" t="s">
        <v>3312</v>
      </c>
      <c r="D126" s="3024" t="s">
        <v>3188</v>
      </c>
      <c r="E126" s="3023">
        <v>40.51</v>
      </c>
      <c r="F126" s="3022">
        <v>18000</v>
      </c>
      <c r="G126" s="3026">
        <f t="shared" si="2"/>
        <v>72.918000000000006</v>
      </c>
      <c r="H126" s="3027"/>
      <c r="I126" s="3028">
        <v>1</v>
      </c>
      <c r="J126" s="3027"/>
      <c r="K126" s="3027"/>
    </row>
    <row r="127" spans="1:11" s="3029" customFormat="1" ht="14.25">
      <c r="A127" s="3022">
        <v>125</v>
      </c>
      <c r="B127" s="3400"/>
      <c r="C127" s="3023" t="s">
        <v>3313</v>
      </c>
      <c r="D127" s="3024" t="s">
        <v>3188</v>
      </c>
      <c r="E127" s="3023">
        <v>75.38</v>
      </c>
      <c r="F127" s="3022">
        <v>18000</v>
      </c>
      <c r="G127" s="3026">
        <f t="shared" si="2"/>
        <v>135.684</v>
      </c>
      <c r="H127" s="3027"/>
      <c r="I127" s="3028">
        <v>1</v>
      </c>
      <c r="J127" s="3027"/>
      <c r="K127" s="3027"/>
    </row>
    <row r="128" spans="1:11" s="3029" customFormat="1" ht="14.25">
      <c r="A128" s="3022">
        <v>126</v>
      </c>
      <c r="B128" s="3400"/>
      <c r="C128" s="3023" t="s">
        <v>3314</v>
      </c>
      <c r="D128" s="3024" t="s">
        <v>3188</v>
      </c>
      <c r="E128" s="3023">
        <v>75.38</v>
      </c>
      <c r="F128" s="3022">
        <v>18000</v>
      </c>
      <c r="G128" s="3026">
        <f t="shared" si="2"/>
        <v>135.684</v>
      </c>
      <c r="H128" s="3027"/>
      <c r="I128" s="3028">
        <v>1</v>
      </c>
      <c r="J128" s="3027"/>
      <c r="K128" s="3027"/>
    </row>
    <row r="129" spans="1:11" s="3029" customFormat="1" ht="14.25">
      <c r="A129" s="3022">
        <v>127</v>
      </c>
      <c r="B129" s="3400"/>
      <c r="C129" s="3023" t="s">
        <v>3315</v>
      </c>
      <c r="D129" s="3024" t="s">
        <v>3188</v>
      </c>
      <c r="E129" s="3023">
        <v>52.86</v>
      </c>
      <c r="F129" s="3022">
        <v>18000</v>
      </c>
      <c r="G129" s="3026">
        <f t="shared" si="2"/>
        <v>95.147999999999996</v>
      </c>
      <c r="H129" s="3027"/>
      <c r="I129" s="3028">
        <v>1</v>
      </c>
      <c r="J129" s="3027"/>
      <c r="K129" s="3027"/>
    </row>
    <row r="130" spans="1:11" s="3029" customFormat="1" ht="14.25">
      <c r="A130" s="3022">
        <v>128</v>
      </c>
      <c r="B130" s="3400"/>
      <c r="C130" s="3023" t="s">
        <v>3316</v>
      </c>
      <c r="D130" s="3024" t="s">
        <v>3188</v>
      </c>
      <c r="E130" s="3023">
        <v>57.58</v>
      </c>
      <c r="F130" s="3022">
        <v>18000</v>
      </c>
      <c r="G130" s="3026">
        <f t="shared" si="2"/>
        <v>103.64400000000001</v>
      </c>
      <c r="H130" s="3027"/>
      <c r="I130" s="3028">
        <v>1</v>
      </c>
      <c r="J130" s="3027"/>
      <c r="K130" s="3027"/>
    </row>
    <row r="131" spans="1:11" s="3029" customFormat="1" ht="14.25">
      <c r="A131" s="3022">
        <v>129</v>
      </c>
      <c r="B131" s="3400"/>
      <c r="C131" s="3023" t="s">
        <v>3317</v>
      </c>
      <c r="D131" s="3024" t="s">
        <v>3188</v>
      </c>
      <c r="E131" s="3023">
        <v>75.38</v>
      </c>
      <c r="F131" s="3022">
        <v>18000</v>
      </c>
      <c r="G131" s="3026">
        <f t="shared" si="2"/>
        <v>135.684</v>
      </c>
      <c r="H131" s="3030"/>
      <c r="I131" s="3028">
        <v>1</v>
      </c>
      <c r="J131" s="3030"/>
      <c r="K131" s="3030"/>
    </row>
    <row r="132" spans="1:11" s="3029" customFormat="1" ht="14.25">
      <c r="A132" s="3022">
        <v>130</v>
      </c>
      <c r="B132" s="3400"/>
      <c r="C132" s="3023" t="s">
        <v>3318</v>
      </c>
      <c r="D132" s="3024" t="s">
        <v>3188</v>
      </c>
      <c r="E132" s="3023">
        <v>48.56</v>
      </c>
      <c r="F132" s="3022">
        <v>18000</v>
      </c>
      <c r="G132" s="3026">
        <f t="shared" si="2"/>
        <v>87.408000000000001</v>
      </c>
      <c r="H132" s="3031"/>
      <c r="I132" s="3028">
        <v>1</v>
      </c>
      <c r="J132" s="3031"/>
      <c r="K132" s="3031"/>
    </row>
    <row r="133" spans="1:11" s="3029" customFormat="1" ht="14.25">
      <c r="A133" s="3022">
        <v>131</v>
      </c>
      <c r="B133" s="3400"/>
      <c r="C133" s="3023" t="s">
        <v>3319</v>
      </c>
      <c r="D133" s="3024" t="s">
        <v>3188</v>
      </c>
      <c r="E133" s="3023">
        <v>88.35</v>
      </c>
      <c r="F133" s="3022">
        <v>18000</v>
      </c>
      <c r="G133" s="3026">
        <f t="shared" si="2"/>
        <v>159.03</v>
      </c>
      <c r="H133" s="3027"/>
      <c r="I133" s="3028">
        <v>1</v>
      </c>
      <c r="J133" s="3027"/>
      <c r="K133" s="3027"/>
    </row>
    <row r="134" spans="1:11" s="3029" customFormat="1" ht="14.25">
      <c r="A134" s="3022">
        <v>132</v>
      </c>
      <c r="B134" s="3400"/>
      <c r="C134" s="3023" t="s">
        <v>3320</v>
      </c>
      <c r="D134" s="3024" t="s">
        <v>3188</v>
      </c>
      <c r="E134" s="3023">
        <v>101.67</v>
      </c>
      <c r="F134" s="3022">
        <v>18000</v>
      </c>
      <c r="G134" s="3026">
        <f t="shared" si="2"/>
        <v>183.006</v>
      </c>
      <c r="H134" s="3027"/>
      <c r="I134" s="3028">
        <v>1</v>
      </c>
      <c r="J134" s="3027"/>
      <c r="K134" s="3027"/>
    </row>
    <row r="135" spans="1:11" s="3029" customFormat="1" ht="14.25">
      <c r="A135" s="3022">
        <v>133</v>
      </c>
      <c r="B135" s="3400"/>
      <c r="C135" s="3023" t="s">
        <v>3321</v>
      </c>
      <c r="D135" s="3024" t="s">
        <v>3188</v>
      </c>
      <c r="E135" s="3023">
        <v>82.86</v>
      </c>
      <c r="F135" s="3022">
        <v>18000</v>
      </c>
      <c r="G135" s="3026">
        <f t="shared" si="2"/>
        <v>149.148</v>
      </c>
      <c r="H135" s="3027"/>
      <c r="I135" s="3028">
        <v>1</v>
      </c>
      <c r="J135" s="3027"/>
      <c r="K135" s="3027"/>
    </row>
    <row r="136" spans="1:11" s="3029" customFormat="1" ht="14.25">
      <c r="A136" s="3022">
        <v>134</v>
      </c>
      <c r="B136" s="3400"/>
      <c r="C136" s="3023" t="s">
        <v>3322</v>
      </c>
      <c r="D136" s="3024" t="s">
        <v>3188</v>
      </c>
      <c r="E136" s="3023">
        <v>80.459999999999994</v>
      </c>
      <c r="F136" s="3022">
        <v>18000</v>
      </c>
      <c r="G136" s="3026">
        <f t="shared" si="2"/>
        <v>144.828</v>
      </c>
      <c r="H136" s="3027"/>
      <c r="I136" s="3028">
        <v>1</v>
      </c>
      <c r="J136" s="3027"/>
      <c r="K136" s="3027"/>
    </row>
    <row r="137" spans="1:11" s="3029" customFormat="1" ht="14.25">
      <c r="A137" s="3022">
        <v>135</v>
      </c>
      <c r="B137" s="3400"/>
      <c r="C137" s="3023" t="s">
        <v>3323</v>
      </c>
      <c r="D137" s="3024" t="s">
        <v>3188</v>
      </c>
      <c r="E137" s="3023">
        <v>80.459999999999994</v>
      </c>
      <c r="F137" s="3022">
        <v>18000</v>
      </c>
      <c r="G137" s="3026">
        <f t="shared" si="2"/>
        <v>144.828</v>
      </c>
      <c r="H137" s="3027"/>
      <c r="I137" s="3028">
        <v>1</v>
      </c>
      <c r="J137" s="3027"/>
      <c r="K137" s="3027"/>
    </row>
    <row r="138" spans="1:11" s="3029" customFormat="1" ht="14.25">
      <c r="A138" s="3022">
        <v>136</v>
      </c>
      <c r="B138" s="3400"/>
      <c r="C138" s="3023" t="s">
        <v>3324</v>
      </c>
      <c r="D138" s="3024" t="s">
        <v>3188</v>
      </c>
      <c r="E138" s="3023">
        <v>96.27</v>
      </c>
      <c r="F138" s="3022">
        <v>18000</v>
      </c>
      <c r="G138" s="3026">
        <f t="shared" si="2"/>
        <v>173.286</v>
      </c>
      <c r="H138" s="3027"/>
      <c r="I138" s="3028">
        <v>1</v>
      </c>
      <c r="J138" s="3027"/>
      <c r="K138" s="3027"/>
    </row>
    <row r="139" spans="1:11" s="3029" customFormat="1" ht="14.25">
      <c r="A139" s="3022">
        <v>137</v>
      </c>
      <c r="B139" s="3400"/>
      <c r="C139" s="3023" t="s">
        <v>3325</v>
      </c>
      <c r="D139" s="3024" t="s">
        <v>3188</v>
      </c>
      <c r="E139" s="3023">
        <v>93.49</v>
      </c>
      <c r="F139" s="3022">
        <v>18000</v>
      </c>
      <c r="G139" s="3026">
        <f t="shared" si="2"/>
        <v>168.28200000000001</v>
      </c>
      <c r="H139" s="3027"/>
      <c r="I139" s="3028">
        <v>1</v>
      </c>
      <c r="J139" s="3027"/>
      <c r="K139" s="3027"/>
    </row>
    <row r="140" spans="1:11" s="3029" customFormat="1" ht="14.25">
      <c r="A140" s="3022">
        <v>138</v>
      </c>
      <c r="B140" s="3400"/>
      <c r="C140" s="3023" t="s">
        <v>3326</v>
      </c>
      <c r="D140" s="3024" t="s">
        <v>3188</v>
      </c>
      <c r="E140" s="3023">
        <v>59.54</v>
      </c>
      <c r="F140" s="3022">
        <v>18000</v>
      </c>
      <c r="G140" s="3026">
        <f t="shared" si="2"/>
        <v>107.172</v>
      </c>
      <c r="H140" s="3027"/>
      <c r="I140" s="3028">
        <v>1</v>
      </c>
      <c r="J140" s="3027"/>
      <c r="K140" s="3027"/>
    </row>
    <row r="141" spans="1:11" s="3029" customFormat="1" ht="14.25">
      <c r="A141" s="3022">
        <v>139</v>
      </c>
      <c r="B141" s="3400"/>
      <c r="C141" s="3023" t="s">
        <v>3327</v>
      </c>
      <c r="D141" s="3024" t="s">
        <v>3188</v>
      </c>
      <c r="E141" s="3023">
        <v>93.49</v>
      </c>
      <c r="F141" s="3022">
        <v>18000</v>
      </c>
      <c r="G141" s="3026">
        <f t="shared" si="2"/>
        <v>168.28200000000001</v>
      </c>
      <c r="H141" s="3027"/>
      <c r="I141" s="3028">
        <v>1</v>
      </c>
      <c r="J141" s="3027"/>
      <c r="K141" s="3027"/>
    </row>
    <row r="142" spans="1:11" s="3029" customFormat="1" ht="14.25">
      <c r="A142" s="3022">
        <v>140</v>
      </c>
      <c r="B142" s="3400"/>
      <c r="C142" s="3023" t="s">
        <v>3328</v>
      </c>
      <c r="D142" s="3024" t="s">
        <v>3188</v>
      </c>
      <c r="E142" s="3023">
        <v>120.02</v>
      </c>
      <c r="F142" s="3022">
        <v>18000</v>
      </c>
      <c r="G142" s="3026">
        <f t="shared" si="2"/>
        <v>216.036</v>
      </c>
      <c r="H142" s="3027"/>
      <c r="I142" s="3028">
        <v>1</v>
      </c>
      <c r="J142" s="3027"/>
      <c r="K142" s="3027"/>
    </row>
    <row r="143" spans="1:11" s="3029" customFormat="1" ht="14.25">
      <c r="A143" s="3022">
        <v>141</v>
      </c>
      <c r="B143" s="3400"/>
      <c r="C143" s="3023" t="s">
        <v>3329</v>
      </c>
      <c r="D143" s="3024" t="s">
        <v>3188</v>
      </c>
      <c r="E143" s="3023">
        <v>120.02</v>
      </c>
      <c r="F143" s="3022">
        <v>18000</v>
      </c>
      <c r="G143" s="3026">
        <f t="shared" si="2"/>
        <v>216.036</v>
      </c>
      <c r="H143" s="3027"/>
      <c r="I143" s="3028">
        <v>1</v>
      </c>
      <c r="J143" s="3027"/>
      <c r="K143" s="3027"/>
    </row>
    <row r="144" spans="1:11" s="3029" customFormat="1" ht="14.25">
      <c r="A144" s="3022">
        <v>142</v>
      </c>
      <c r="B144" s="3400"/>
      <c r="C144" s="3023" t="s">
        <v>3330</v>
      </c>
      <c r="D144" s="3024" t="s">
        <v>3188</v>
      </c>
      <c r="E144" s="3023">
        <v>93.49</v>
      </c>
      <c r="F144" s="3022">
        <v>18000</v>
      </c>
      <c r="G144" s="3026">
        <f t="shared" si="2"/>
        <v>168.28200000000001</v>
      </c>
      <c r="H144" s="3027"/>
      <c r="I144" s="3028">
        <v>1</v>
      </c>
      <c r="J144" s="3027"/>
      <c r="K144" s="3027"/>
    </row>
    <row r="145" spans="1:11" s="3029" customFormat="1" ht="14.25">
      <c r="A145" s="3022">
        <v>143</v>
      </c>
      <c r="B145" s="3400"/>
      <c r="C145" s="3023" t="s">
        <v>3331</v>
      </c>
      <c r="D145" s="3024" t="s">
        <v>3188</v>
      </c>
      <c r="E145" s="3023">
        <v>59.54</v>
      </c>
      <c r="F145" s="3022">
        <v>18000</v>
      </c>
      <c r="G145" s="3026">
        <f t="shared" si="2"/>
        <v>107.172</v>
      </c>
      <c r="H145" s="3027"/>
      <c r="I145" s="3028">
        <v>1</v>
      </c>
      <c r="J145" s="3027"/>
      <c r="K145" s="3027"/>
    </row>
    <row r="146" spans="1:11" s="3029" customFormat="1" ht="14.25">
      <c r="A146" s="3022">
        <v>144</v>
      </c>
      <c r="B146" s="3400"/>
      <c r="C146" s="3023" t="s">
        <v>3332</v>
      </c>
      <c r="D146" s="3024" t="s">
        <v>3188</v>
      </c>
      <c r="E146" s="3023">
        <v>93.49</v>
      </c>
      <c r="F146" s="3022">
        <v>18000</v>
      </c>
      <c r="G146" s="3026">
        <f t="shared" si="2"/>
        <v>168.28200000000001</v>
      </c>
      <c r="H146" s="3027"/>
      <c r="I146" s="3028">
        <v>1</v>
      </c>
      <c r="J146" s="3027"/>
      <c r="K146" s="3027"/>
    </row>
    <row r="147" spans="1:11" s="3029" customFormat="1" ht="14.25">
      <c r="A147" s="3022">
        <v>145</v>
      </c>
      <c r="B147" s="3400"/>
      <c r="C147" s="3023" t="s">
        <v>3333</v>
      </c>
      <c r="D147" s="3024" t="s">
        <v>3188</v>
      </c>
      <c r="E147" s="3023">
        <v>120.02</v>
      </c>
      <c r="F147" s="3022">
        <v>18000</v>
      </c>
      <c r="G147" s="3026">
        <f t="shared" si="2"/>
        <v>216.036</v>
      </c>
      <c r="H147" s="3027"/>
      <c r="I147" s="3028">
        <v>1</v>
      </c>
      <c r="J147" s="3027"/>
      <c r="K147" s="3027"/>
    </row>
    <row r="148" spans="1:11" s="3029" customFormat="1" ht="14.25">
      <c r="A148" s="3022">
        <v>146</v>
      </c>
      <c r="B148" s="3400"/>
      <c r="C148" s="3023" t="s">
        <v>3334</v>
      </c>
      <c r="D148" s="3024" t="s">
        <v>3188</v>
      </c>
      <c r="E148" s="3023">
        <v>86.93</v>
      </c>
      <c r="F148" s="3022">
        <v>18000</v>
      </c>
      <c r="G148" s="3026">
        <f t="shared" si="2"/>
        <v>156.47400000000002</v>
      </c>
      <c r="H148" s="3027"/>
      <c r="I148" s="3028">
        <v>1</v>
      </c>
      <c r="J148" s="3027"/>
      <c r="K148" s="3027"/>
    </row>
    <row r="149" spans="1:11" s="3029" customFormat="1" ht="14.25">
      <c r="A149" s="3022">
        <v>147</v>
      </c>
      <c r="B149" s="3400"/>
      <c r="C149" s="3023" t="s">
        <v>3335</v>
      </c>
      <c r="D149" s="3024" t="s">
        <v>3188</v>
      </c>
      <c r="E149" s="3023">
        <v>71.38</v>
      </c>
      <c r="F149" s="3022">
        <v>18000</v>
      </c>
      <c r="G149" s="3026">
        <f t="shared" si="2"/>
        <v>128.48400000000001</v>
      </c>
      <c r="H149" s="3027"/>
      <c r="I149" s="3028">
        <v>1</v>
      </c>
      <c r="J149" s="3027"/>
      <c r="K149" s="3027"/>
    </row>
    <row r="150" spans="1:11" s="3029" customFormat="1" ht="14.25">
      <c r="A150" s="3022">
        <v>148</v>
      </c>
      <c r="B150" s="3400"/>
      <c r="C150" s="3023" t="s">
        <v>3336</v>
      </c>
      <c r="D150" s="3024" t="s">
        <v>3188</v>
      </c>
      <c r="E150" s="3023">
        <v>92.88</v>
      </c>
      <c r="F150" s="3022">
        <v>18000</v>
      </c>
      <c r="G150" s="3026">
        <f t="shared" si="2"/>
        <v>167.184</v>
      </c>
      <c r="H150" s="3027"/>
      <c r="I150" s="3028">
        <v>1</v>
      </c>
      <c r="J150" s="3027"/>
      <c r="K150" s="3027"/>
    </row>
    <row r="151" spans="1:11" s="3029" customFormat="1" ht="14.25">
      <c r="A151" s="3022">
        <v>149</v>
      </c>
      <c r="B151" s="3400"/>
      <c r="C151" s="3023" t="s">
        <v>3337</v>
      </c>
      <c r="D151" s="3024" t="s">
        <v>3188</v>
      </c>
      <c r="E151" s="3023">
        <v>92.88</v>
      </c>
      <c r="F151" s="3022">
        <v>18000</v>
      </c>
      <c r="G151" s="3026">
        <f t="shared" si="2"/>
        <v>167.184</v>
      </c>
      <c r="H151" s="3027"/>
      <c r="I151" s="3028">
        <v>1</v>
      </c>
      <c r="J151" s="3027"/>
      <c r="K151" s="3027"/>
    </row>
    <row r="152" spans="1:11" s="3029" customFormat="1" ht="14.25">
      <c r="A152" s="3022">
        <v>150</v>
      </c>
      <c r="B152" s="3400"/>
      <c r="C152" s="3023" t="s">
        <v>3338</v>
      </c>
      <c r="D152" s="3024" t="s">
        <v>3188</v>
      </c>
      <c r="E152" s="3023">
        <v>108.2</v>
      </c>
      <c r="F152" s="3022">
        <v>18000</v>
      </c>
      <c r="G152" s="3026">
        <f t="shared" si="2"/>
        <v>194.76</v>
      </c>
      <c r="H152" s="3027"/>
      <c r="I152" s="3028">
        <v>1</v>
      </c>
      <c r="J152" s="3027"/>
      <c r="K152" s="3027"/>
    </row>
    <row r="153" spans="1:11" s="3029" customFormat="1" ht="14.25">
      <c r="A153" s="3022">
        <v>151</v>
      </c>
      <c r="B153" s="3400"/>
      <c r="C153" s="3023" t="s">
        <v>3339</v>
      </c>
      <c r="D153" s="3024" t="s">
        <v>3188</v>
      </c>
      <c r="E153" s="3023">
        <v>62.86</v>
      </c>
      <c r="F153" s="3022">
        <v>18000</v>
      </c>
      <c r="G153" s="3026">
        <f t="shared" si="2"/>
        <v>113.148</v>
      </c>
      <c r="H153" s="3027"/>
      <c r="I153" s="3028">
        <v>1</v>
      </c>
      <c r="J153" s="3027"/>
      <c r="K153" s="3027"/>
    </row>
    <row r="154" spans="1:11" s="3029" customFormat="1" ht="14.25">
      <c r="A154" s="3022">
        <v>152</v>
      </c>
      <c r="B154" s="3400"/>
      <c r="C154" s="3023" t="s">
        <v>3340</v>
      </c>
      <c r="D154" s="3024" t="s">
        <v>3188</v>
      </c>
      <c r="E154" s="3023">
        <v>62.86</v>
      </c>
      <c r="F154" s="3022">
        <v>18000</v>
      </c>
      <c r="G154" s="3026">
        <f t="shared" si="2"/>
        <v>113.148</v>
      </c>
      <c r="H154" s="3027"/>
      <c r="I154" s="3028">
        <v>1</v>
      </c>
      <c r="J154" s="3027"/>
      <c r="K154" s="3027"/>
    </row>
    <row r="155" spans="1:11" s="3029" customFormat="1" ht="14.25">
      <c r="A155" s="3022">
        <v>153</v>
      </c>
      <c r="B155" s="3400"/>
      <c r="C155" s="3023" t="s">
        <v>3341</v>
      </c>
      <c r="D155" s="3024" t="s">
        <v>3188</v>
      </c>
      <c r="E155" s="3023">
        <v>61.46</v>
      </c>
      <c r="F155" s="3022">
        <v>18000</v>
      </c>
      <c r="G155" s="3026">
        <f t="shared" si="2"/>
        <v>110.628</v>
      </c>
      <c r="H155" s="3027"/>
      <c r="I155" s="3028">
        <v>1</v>
      </c>
      <c r="J155" s="3027"/>
      <c r="K155" s="3027"/>
    </row>
    <row r="156" spans="1:11" s="3029" customFormat="1" ht="14.25">
      <c r="A156" s="3022">
        <v>154</v>
      </c>
      <c r="B156" s="3400"/>
      <c r="C156" s="3023" t="s">
        <v>3342</v>
      </c>
      <c r="D156" s="3024" t="s">
        <v>3188</v>
      </c>
      <c r="E156" s="3023">
        <v>65.650000000000006</v>
      </c>
      <c r="F156" s="3022">
        <v>18000</v>
      </c>
      <c r="G156" s="3026">
        <f t="shared" ref="G156:G219" si="3">E156*F156/10000</f>
        <v>118.17</v>
      </c>
      <c r="H156" s="3027"/>
      <c r="I156" s="3028">
        <v>1</v>
      </c>
      <c r="J156" s="3027"/>
      <c r="K156" s="3027"/>
    </row>
    <row r="157" spans="1:11" s="3029" customFormat="1" ht="14.25">
      <c r="A157" s="3022">
        <v>155</v>
      </c>
      <c r="B157" s="3400"/>
      <c r="C157" s="3023" t="s">
        <v>3343</v>
      </c>
      <c r="D157" s="3024" t="s">
        <v>3188</v>
      </c>
      <c r="E157" s="3023">
        <v>58.29</v>
      </c>
      <c r="F157" s="3022">
        <v>18000</v>
      </c>
      <c r="G157" s="3026">
        <f t="shared" si="3"/>
        <v>104.922</v>
      </c>
      <c r="H157" s="3027"/>
      <c r="I157" s="3028">
        <v>1</v>
      </c>
      <c r="J157" s="3027"/>
      <c r="K157" s="3027"/>
    </row>
    <row r="158" spans="1:11" s="3029" customFormat="1" ht="14.25">
      <c r="A158" s="3022">
        <v>156</v>
      </c>
      <c r="B158" s="3400"/>
      <c r="C158" s="3023" t="s">
        <v>3344</v>
      </c>
      <c r="D158" s="3024" t="s">
        <v>3188</v>
      </c>
      <c r="E158" s="3023">
        <v>39.71</v>
      </c>
      <c r="F158" s="3022">
        <v>18000</v>
      </c>
      <c r="G158" s="3026">
        <f t="shared" si="3"/>
        <v>71.477999999999994</v>
      </c>
      <c r="H158" s="3027"/>
      <c r="I158" s="3028">
        <v>1</v>
      </c>
      <c r="J158" s="3027"/>
      <c r="K158" s="3027"/>
    </row>
    <row r="159" spans="1:11" s="3029" customFormat="1" ht="14.25">
      <c r="A159" s="3022">
        <v>157</v>
      </c>
      <c r="B159" s="3400"/>
      <c r="C159" s="3023" t="s">
        <v>3345</v>
      </c>
      <c r="D159" s="3024" t="s">
        <v>3188</v>
      </c>
      <c r="E159" s="3023">
        <v>41.04</v>
      </c>
      <c r="F159" s="3022">
        <v>18000</v>
      </c>
      <c r="G159" s="3026">
        <f t="shared" si="3"/>
        <v>73.872</v>
      </c>
      <c r="H159" s="3027"/>
      <c r="I159" s="3028">
        <v>1</v>
      </c>
      <c r="J159" s="3027"/>
      <c r="K159" s="3027"/>
    </row>
    <row r="160" spans="1:11" s="3029" customFormat="1" ht="14.25">
      <c r="A160" s="3022">
        <v>158</v>
      </c>
      <c r="B160" s="3400"/>
      <c r="C160" s="3023" t="s">
        <v>3346</v>
      </c>
      <c r="D160" s="3024" t="s">
        <v>3188</v>
      </c>
      <c r="E160" s="3023">
        <v>45.89</v>
      </c>
      <c r="F160" s="3022">
        <v>18000</v>
      </c>
      <c r="G160" s="3026">
        <f t="shared" si="3"/>
        <v>82.602000000000004</v>
      </c>
      <c r="H160" s="3027"/>
      <c r="I160" s="3028">
        <v>1</v>
      </c>
      <c r="J160" s="3027"/>
      <c r="K160" s="3027"/>
    </row>
    <row r="161" spans="1:11" s="3029" customFormat="1" ht="14.25">
      <c r="A161" s="3022">
        <v>159</v>
      </c>
      <c r="B161" s="3400"/>
      <c r="C161" s="3023" t="s">
        <v>3347</v>
      </c>
      <c r="D161" s="3024" t="s">
        <v>3188</v>
      </c>
      <c r="E161" s="3023">
        <v>69.84</v>
      </c>
      <c r="F161" s="3022">
        <v>18000</v>
      </c>
      <c r="G161" s="3026">
        <f t="shared" si="3"/>
        <v>125.712</v>
      </c>
      <c r="H161" s="3027"/>
      <c r="I161" s="3028">
        <v>1</v>
      </c>
      <c r="J161" s="3027"/>
      <c r="K161" s="3027"/>
    </row>
    <row r="162" spans="1:11" s="3029" customFormat="1" ht="14.25">
      <c r="A162" s="3022">
        <v>160</v>
      </c>
      <c r="B162" s="3400"/>
      <c r="C162" s="3023" t="s">
        <v>3348</v>
      </c>
      <c r="D162" s="3024" t="s">
        <v>3188</v>
      </c>
      <c r="E162" s="3023">
        <v>66.63</v>
      </c>
      <c r="F162" s="3022">
        <v>18000</v>
      </c>
      <c r="G162" s="3026">
        <f t="shared" si="3"/>
        <v>119.934</v>
      </c>
      <c r="H162" s="3027"/>
      <c r="I162" s="3028">
        <v>1</v>
      </c>
      <c r="J162" s="3027"/>
      <c r="K162" s="3027"/>
    </row>
    <row r="163" spans="1:11" s="3029" customFormat="1" ht="14.25">
      <c r="A163" s="3022">
        <v>161</v>
      </c>
      <c r="B163" s="3400"/>
      <c r="C163" s="3023" t="s">
        <v>3349</v>
      </c>
      <c r="D163" s="3024" t="s">
        <v>3188</v>
      </c>
      <c r="E163" s="3023">
        <v>41.29</v>
      </c>
      <c r="F163" s="3022">
        <v>18000</v>
      </c>
      <c r="G163" s="3026">
        <f t="shared" si="3"/>
        <v>74.322000000000003</v>
      </c>
      <c r="H163" s="3027"/>
      <c r="I163" s="3028">
        <v>1</v>
      </c>
      <c r="J163" s="3027"/>
      <c r="K163" s="3027"/>
    </row>
    <row r="164" spans="1:11" s="3029" customFormat="1" ht="14.25">
      <c r="A164" s="3022">
        <v>162</v>
      </c>
      <c r="B164" s="3400"/>
      <c r="C164" s="3023" t="s">
        <v>3350</v>
      </c>
      <c r="D164" s="3024" t="s">
        <v>3188</v>
      </c>
      <c r="E164" s="3023">
        <v>78.849999999999994</v>
      </c>
      <c r="F164" s="3022">
        <v>18000</v>
      </c>
      <c r="G164" s="3026">
        <f t="shared" si="3"/>
        <v>141.93</v>
      </c>
      <c r="H164" s="3027"/>
      <c r="I164" s="3028">
        <v>1</v>
      </c>
      <c r="J164" s="3027"/>
      <c r="K164" s="3027"/>
    </row>
    <row r="165" spans="1:11" s="3029" customFormat="1" ht="14.25">
      <c r="A165" s="3022">
        <v>163</v>
      </c>
      <c r="B165" s="3400"/>
      <c r="C165" s="3023" t="s">
        <v>3351</v>
      </c>
      <c r="D165" s="3024" t="s">
        <v>3188</v>
      </c>
      <c r="E165" s="3023">
        <v>78.849999999999994</v>
      </c>
      <c r="F165" s="3022">
        <v>18000</v>
      </c>
      <c r="G165" s="3026">
        <f t="shared" si="3"/>
        <v>141.93</v>
      </c>
      <c r="H165" s="3027"/>
      <c r="I165" s="3028">
        <v>1</v>
      </c>
      <c r="J165" s="3027"/>
      <c r="K165" s="3027"/>
    </row>
    <row r="166" spans="1:11" s="3029" customFormat="1" ht="14.25">
      <c r="A166" s="3022">
        <v>164</v>
      </c>
      <c r="B166" s="3400"/>
      <c r="C166" s="3023" t="s">
        <v>3352</v>
      </c>
      <c r="D166" s="3024" t="s">
        <v>3188</v>
      </c>
      <c r="E166" s="3023">
        <v>72.3</v>
      </c>
      <c r="F166" s="3022">
        <v>18000</v>
      </c>
      <c r="G166" s="3026">
        <f t="shared" si="3"/>
        <v>130.13999999999999</v>
      </c>
      <c r="H166" s="3027"/>
      <c r="I166" s="3028">
        <v>1</v>
      </c>
      <c r="J166" s="3027"/>
      <c r="K166" s="3027"/>
    </row>
    <row r="167" spans="1:11" s="3029" customFormat="1" ht="14.25">
      <c r="A167" s="3022">
        <v>165</v>
      </c>
      <c r="B167" s="3400"/>
      <c r="C167" s="3023" t="s">
        <v>3353</v>
      </c>
      <c r="D167" s="3024" t="s">
        <v>3188</v>
      </c>
      <c r="E167" s="3023">
        <v>98.04</v>
      </c>
      <c r="F167" s="3022">
        <v>18000</v>
      </c>
      <c r="G167" s="3026">
        <f t="shared" si="3"/>
        <v>176.47200000000001</v>
      </c>
      <c r="H167" s="3027"/>
      <c r="I167" s="3028">
        <v>1</v>
      </c>
      <c r="J167" s="3027"/>
      <c r="K167" s="3027"/>
    </row>
    <row r="168" spans="1:11" s="3029" customFormat="1" ht="14.25">
      <c r="A168" s="3022">
        <v>166</v>
      </c>
      <c r="B168" s="3400"/>
      <c r="C168" s="3023" t="s">
        <v>3354</v>
      </c>
      <c r="D168" s="3024" t="s">
        <v>3188</v>
      </c>
      <c r="E168" s="3023">
        <v>69.95</v>
      </c>
      <c r="F168" s="3022">
        <v>18000</v>
      </c>
      <c r="G168" s="3026">
        <f t="shared" si="3"/>
        <v>125.91</v>
      </c>
      <c r="H168" s="3027"/>
      <c r="I168" s="3028">
        <v>1</v>
      </c>
      <c r="J168" s="3027"/>
      <c r="K168" s="3027"/>
    </row>
    <row r="169" spans="1:11" s="3029" customFormat="1" ht="14.25">
      <c r="A169" s="3022">
        <v>167</v>
      </c>
      <c r="B169" s="3400"/>
      <c r="C169" s="3023" t="s">
        <v>3355</v>
      </c>
      <c r="D169" s="3024" t="s">
        <v>3188</v>
      </c>
      <c r="E169" s="3023">
        <v>50.12</v>
      </c>
      <c r="F169" s="3022">
        <v>18000</v>
      </c>
      <c r="G169" s="3026">
        <f t="shared" si="3"/>
        <v>90.215999999999994</v>
      </c>
      <c r="H169" s="3027"/>
      <c r="I169" s="3028">
        <v>1</v>
      </c>
      <c r="J169" s="3027"/>
      <c r="K169" s="3027"/>
    </row>
    <row r="170" spans="1:11" s="3029" customFormat="1" ht="14.25">
      <c r="A170" s="3022">
        <v>168</v>
      </c>
      <c r="B170" s="3400"/>
      <c r="C170" s="3023" t="s">
        <v>3356</v>
      </c>
      <c r="D170" s="3024" t="s">
        <v>3188</v>
      </c>
      <c r="E170" s="3023">
        <v>51.51</v>
      </c>
      <c r="F170" s="3022">
        <v>18000</v>
      </c>
      <c r="G170" s="3026">
        <f t="shared" si="3"/>
        <v>92.718000000000004</v>
      </c>
      <c r="H170" s="3027"/>
      <c r="I170" s="3028">
        <v>1</v>
      </c>
      <c r="J170" s="3027"/>
      <c r="K170" s="3027"/>
    </row>
    <row r="171" spans="1:11" s="3029" customFormat="1" ht="14.25">
      <c r="A171" s="3022">
        <v>169</v>
      </c>
      <c r="B171" s="3400"/>
      <c r="C171" s="3023" t="s">
        <v>3357</v>
      </c>
      <c r="D171" s="3024" t="s">
        <v>3188</v>
      </c>
      <c r="E171" s="3023">
        <v>52.61</v>
      </c>
      <c r="F171" s="3022">
        <v>18000</v>
      </c>
      <c r="G171" s="3026">
        <f t="shared" si="3"/>
        <v>94.697999999999993</v>
      </c>
      <c r="H171" s="3027"/>
      <c r="I171" s="3028">
        <v>1</v>
      </c>
      <c r="J171" s="3027"/>
      <c r="K171" s="3027"/>
    </row>
    <row r="172" spans="1:11" s="3029" customFormat="1" ht="14.25">
      <c r="A172" s="3022">
        <v>170</v>
      </c>
      <c r="B172" s="3400"/>
      <c r="C172" s="3023" t="s">
        <v>3358</v>
      </c>
      <c r="D172" s="3024" t="s">
        <v>3188</v>
      </c>
      <c r="E172" s="3023">
        <v>52.61</v>
      </c>
      <c r="F172" s="3022">
        <v>18000</v>
      </c>
      <c r="G172" s="3026">
        <f t="shared" si="3"/>
        <v>94.697999999999993</v>
      </c>
      <c r="H172" s="3027"/>
      <c r="I172" s="3028">
        <v>1</v>
      </c>
      <c r="J172" s="3027"/>
      <c r="K172" s="3027"/>
    </row>
    <row r="173" spans="1:11" s="3029" customFormat="1" ht="14.25">
      <c r="A173" s="3022">
        <v>171</v>
      </c>
      <c r="B173" s="3400"/>
      <c r="C173" s="3023" t="s">
        <v>3359</v>
      </c>
      <c r="D173" s="3024" t="s">
        <v>3188</v>
      </c>
      <c r="E173" s="3023">
        <v>52.61</v>
      </c>
      <c r="F173" s="3022">
        <v>18000</v>
      </c>
      <c r="G173" s="3026">
        <f t="shared" si="3"/>
        <v>94.697999999999993</v>
      </c>
      <c r="H173" s="3027"/>
      <c r="I173" s="3028">
        <v>1</v>
      </c>
      <c r="J173" s="3027"/>
      <c r="K173" s="3027"/>
    </row>
    <row r="174" spans="1:11" s="3029" customFormat="1" ht="14.25">
      <c r="A174" s="3022">
        <v>172</v>
      </c>
      <c r="B174" s="3400"/>
      <c r="C174" s="3023" t="s">
        <v>3360</v>
      </c>
      <c r="D174" s="3024" t="s">
        <v>3188</v>
      </c>
      <c r="E174" s="3023">
        <v>52.61</v>
      </c>
      <c r="F174" s="3022">
        <v>18000</v>
      </c>
      <c r="G174" s="3026">
        <f t="shared" si="3"/>
        <v>94.697999999999993</v>
      </c>
      <c r="H174" s="3027"/>
      <c r="I174" s="3028">
        <v>1</v>
      </c>
      <c r="J174" s="3027"/>
      <c r="K174" s="3027"/>
    </row>
    <row r="175" spans="1:11" s="3029" customFormat="1" ht="14.25">
      <c r="A175" s="3022">
        <v>173</v>
      </c>
      <c r="B175" s="3400"/>
      <c r="C175" s="3023" t="s">
        <v>3361</v>
      </c>
      <c r="D175" s="3024" t="s">
        <v>3188</v>
      </c>
      <c r="E175" s="3023">
        <v>52.61</v>
      </c>
      <c r="F175" s="3022">
        <v>18000</v>
      </c>
      <c r="G175" s="3026">
        <f t="shared" si="3"/>
        <v>94.697999999999993</v>
      </c>
      <c r="H175" s="3027"/>
      <c r="I175" s="3028">
        <v>1</v>
      </c>
      <c r="J175" s="3027"/>
      <c r="K175" s="3027"/>
    </row>
    <row r="176" spans="1:11" s="3029" customFormat="1" ht="14.25">
      <c r="A176" s="3022">
        <v>174</v>
      </c>
      <c r="B176" s="3400"/>
      <c r="C176" s="3023" t="s">
        <v>3362</v>
      </c>
      <c r="D176" s="3024" t="s">
        <v>3188</v>
      </c>
      <c r="E176" s="3023">
        <v>63.13</v>
      </c>
      <c r="F176" s="3022">
        <v>18000</v>
      </c>
      <c r="G176" s="3026">
        <f t="shared" si="3"/>
        <v>113.634</v>
      </c>
      <c r="H176" s="3027"/>
      <c r="I176" s="3028">
        <v>1</v>
      </c>
      <c r="J176" s="3027"/>
      <c r="K176" s="3027"/>
    </row>
    <row r="177" spans="1:11" s="3029" customFormat="1" ht="14.25">
      <c r="A177" s="3022">
        <v>175</v>
      </c>
      <c r="B177" s="3400"/>
      <c r="C177" s="3023" t="s">
        <v>3363</v>
      </c>
      <c r="D177" s="3024" t="s">
        <v>3188</v>
      </c>
      <c r="E177" s="3023">
        <v>88.93</v>
      </c>
      <c r="F177" s="3022">
        <v>18000</v>
      </c>
      <c r="G177" s="3026">
        <f t="shared" si="3"/>
        <v>160.07400000000001</v>
      </c>
      <c r="H177" s="3027"/>
      <c r="I177" s="3028">
        <v>1</v>
      </c>
      <c r="J177" s="3027"/>
      <c r="K177" s="3027"/>
    </row>
    <row r="178" spans="1:11" s="3029" customFormat="1" ht="14.25">
      <c r="A178" s="3022">
        <v>176</v>
      </c>
      <c r="B178" s="3400"/>
      <c r="C178" s="3023" t="s">
        <v>3364</v>
      </c>
      <c r="D178" s="3024" t="s">
        <v>3188</v>
      </c>
      <c r="E178" s="3023">
        <v>39.74</v>
      </c>
      <c r="F178" s="3022">
        <v>18000</v>
      </c>
      <c r="G178" s="3026">
        <f t="shared" si="3"/>
        <v>71.531999999999996</v>
      </c>
      <c r="H178" s="3027"/>
      <c r="I178" s="3028">
        <v>1</v>
      </c>
      <c r="J178" s="3027"/>
      <c r="K178" s="3027"/>
    </row>
    <row r="179" spans="1:11" s="3029" customFormat="1" ht="14.25">
      <c r="A179" s="3022">
        <v>177</v>
      </c>
      <c r="B179" s="3400"/>
      <c r="C179" s="3023" t="s">
        <v>3365</v>
      </c>
      <c r="D179" s="3024" t="s">
        <v>3188</v>
      </c>
      <c r="E179" s="3023">
        <v>76.63</v>
      </c>
      <c r="F179" s="3022">
        <v>18000</v>
      </c>
      <c r="G179" s="3026">
        <f t="shared" si="3"/>
        <v>137.934</v>
      </c>
      <c r="H179" s="3027"/>
      <c r="I179" s="3028">
        <v>1</v>
      </c>
      <c r="J179" s="3027"/>
      <c r="K179" s="3027"/>
    </row>
    <row r="180" spans="1:11" s="3029" customFormat="1" ht="14.25">
      <c r="A180" s="3022">
        <v>178</v>
      </c>
      <c r="B180" s="3400"/>
      <c r="C180" s="3023" t="s">
        <v>3366</v>
      </c>
      <c r="D180" s="3024" t="s">
        <v>3188</v>
      </c>
      <c r="E180" s="3023">
        <v>59.63</v>
      </c>
      <c r="F180" s="3022">
        <v>18000</v>
      </c>
      <c r="G180" s="3026">
        <f t="shared" si="3"/>
        <v>107.334</v>
      </c>
      <c r="H180" s="3027"/>
      <c r="I180" s="3028">
        <v>1</v>
      </c>
      <c r="J180" s="3027"/>
      <c r="K180" s="3027"/>
    </row>
    <row r="181" spans="1:11" s="3029" customFormat="1" ht="14.25">
      <c r="A181" s="3022">
        <v>179</v>
      </c>
      <c r="B181" s="3400"/>
      <c r="C181" s="3023" t="s">
        <v>3367</v>
      </c>
      <c r="D181" s="3024" t="s">
        <v>3188</v>
      </c>
      <c r="E181" s="3023">
        <v>93.62</v>
      </c>
      <c r="F181" s="3022">
        <v>18000</v>
      </c>
      <c r="G181" s="3026">
        <f t="shared" si="3"/>
        <v>168.51599999999999</v>
      </c>
      <c r="H181" s="3027"/>
      <c r="I181" s="3028">
        <v>1</v>
      </c>
      <c r="J181" s="3027"/>
      <c r="K181" s="3027"/>
    </row>
    <row r="182" spans="1:11" s="3029" customFormat="1" ht="14.25">
      <c r="A182" s="3022">
        <v>180</v>
      </c>
      <c r="B182" s="3400"/>
      <c r="C182" s="3023" t="s">
        <v>3368</v>
      </c>
      <c r="D182" s="3024" t="s">
        <v>3188</v>
      </c>
      <c r="E182" s="3023">
        <v>120.19</v>
      </c>
      <c r="F182" s="3022">
        <v>18000</v>
      </c>
      <c r="G182" s="3026">
        <f t="shared" si="3"/>
        <v>216.34200000000001</v>
      </c>
      <c r="H182" s="3027"/>
      <c r="I182" s="3028">
        <v>1</v>
      </c>
      <c r="J182" s="3027"/>
      <c r="K182" s="3027"/>
    </row>
    <row r="183" spans="1:11" s="3029" customFormat="1" ht="14.25">
      <c r="A183" s="3022">
        <v>181</v>
      </c>
      <c r="B183" s="3400"/>
      <c r="C183" s="3023" t="s">
        <v>3369</v>
      </c>
      <c r="D183" s="3024" t="s">
        <v>3188</v>
      </c>
      <c r="E183" s="3023">
        <v>120.19</v>
      </c>
      <c r="F183" s="3022">
        <v>18000</v>
      </c>
      <c r="G183" s="3026">
        <f t="shared" si="3"/>
        <v>216.34200000000001</v>
      </c>
      <c r="H183" s="3027"/>
      <c r="I183" s="3028">
        <v>1</v>
      </c>
      <c r="J183" s="3027"/>
      <c r="K183" s="3027"/>
    </row>
    <row r="184" spans="1:11" s="3029" customFormat="1" ht="14.25">
      <c r="A184" s="3022">
        <v>182</v>
      </c>
      <c r="B184" s="3400"/>
      <c r="C184" s="3023" t="s">
        <v>3370</v>
      </c>
      <c r="D184" s="3024" t="s">
        <v>3188</v>
      </c>
      <c r="E184" s="3023">
        <v>93.62</v>
      </c>
      <c r="F184" s="3022">
        <v>18000</v>
      </c>
      <c r="G184" s="3026">
        <f t="shared" si="3"/>
        <v>168.51599999999999</v>
      </c>
      <c r="H184" s="3027"/>
      <c r="I184" s="3028">
        <v>1</v>
      </c>
      <c r="J184" s="3027"/>
      <c r="K184" s="3027"/>
    </row>
    <row r="185" spans="1:11" s="3029" customFormat="1" ht="14.25">
      <c r="A185" s="3022">
        <v>183</v>
      </c>
      <c r="B185" s="3400"/>
      <c r="C185" s="3023" t="s">
        <v>3371</v>
      </c>
      <c r="D185" s="3024" t="s">
        <v>3188</v>
      </c>
      <c r="E185" s="3023">
        <v>59.63</v>
      </c>
      <c r="F185" s="3022">
        <v>18000</v>
      </c>
      <c r="G185" s="3026">
        <f t="shared" si="3"/>
        <v>107.334</v>
      </c>
      <c r="H185" s="3027"/>
      <c r="I185" s="3028">
        <v>1</v>
      </c>
      <c r="J185" s="3027"/>
      <c r="K185" s="3027"/>
    </row>
    <row r="186" spans="1:11" s="3029" customFormat="1" ht="14.25">
      <c r="A186" s="3022">
        <v>184</v>
      </c>
      <c r="B186" s="3400"/>
      <c r="C186" s="3023" t="s">
        <v>3372</v>
      </c>
      <c r="D186" s="3024" t="s">
        <v>3188</v>
      </c>
      <c r="E186" s="3023">
        <v>93.62</v>
      </c>
      <c r="F186" s="3022">
        <v>18000</v>
      </c>
      <c r="G186" s="3026">
        <f t="shared" si="3"/>
        <v>168.51599999999999</v>
      </c>
      <c r="H186" s="3027"/>
      <c r="I186" s="3028">
        <v>1</v>
      </c>
      <c r="J186" s="3027"/>
      <c r="K186" s="3027"/>
    </row>
    <row r="187" spans="1:11" s="3029" customFormat="1" ht="14.25">
      <c r="A187" s="3022">
        <v>185</v>
      </c>
      <c r="B187" s="3400"/>
      <c r="C187" s="3023" t="s">
        <v>3373</v>
      </c>
      <c r="D187" s="3024" t="s">
        <v>3188</v>
      </c>
      <c r="E187" s="3023">
        <v>120.19</v>
      </c>
      <c r="F187" s="3022">
        <v>18000</v>
      </c>
      <c r="G187" s="3026">
        <f t="shared" si="3"/>
        <v>216.34200000000001</v>
      </c>
      <c r="H187" s="3027"/>
      <c r="I187" s="3028">
        <v>1</v>
      </c>
      <c r="J187" s="3027"/>
      <c r="K187" s="3027"/>
    </row>
    <row r="188" spans="1:11" s="3029" customFormat="1" ht="14.25">
      <c r="A188" s="3022">
        <v>186</v>
      </c>
      <c r="B188" s="3400"/>
      <c r="C188" s="3023" t="s">
        <v>3374</v>
      </c>
      <c r="D188" s="3024" t="s">
        <v>3188</v>
      </c>
      <c r="E188" s="3023">
        <v>142.16999999999999</v>
      </c>
      <c r="F188" s="3022">
        <v>18000</v>
      </c>
      <c r="G188" s="3026">
        <f t="shared" si="3"/>
        <v>255.90600000000001</v>
      </c>
      <c r="H188" s="3027"/>
      <c r="I188" s="3028">
        <v>1</v>
      </c>
      <c r="J188" s="3027"/>
      <c r="K188" s="3027"/>
    </row>
    <row r="189" spans="1:11" s="3029" customFormat="1" ht="14.25">
      <c r="A189" s="3022">
        <v>187</v>
      </c>
      <c r="B189" s="3400"/>
      <c r="C189" s="3023" t="s">
        <v>3375</v>
      </c>
      <c r="D189" s="3024" t="s">
        <v>3188</v>
      </c>
      <c r="E189" s="3023">
        <v>82.67</v>
      </c>
      <c r="F189" s="3022">
        <v>18000</v>
      </c>
      <c r="G189" s="3026">
        <f t="shared" si="3"/>
        <v>148.80600000000001</v>
      </c>
      <c r="H189" s="3027"/>
      <c r="I189" s="3028">
        <v>1</v>
      </c>
      <c r="J189" s="3027"/>
      <c r="K189" s="3027"/>
    </row>
    <row r="190" spans="1:11" s="3029" customFormat="1" ht="14.25">
      <c r="A190" s="3022">
        <v>188</v>
      </c>
      <c r="B190" s="3400"/>
      <c r="C190" s="3023" t="s">
        <v>3376</v>
      </c>
      <c r="D190" s="3024" t="s">
        <v>3188</v>
      </c>
      <c r="E190" s="3023">
        <v>75.16</v>
      </c>
      <c r="F190" s="3022">
        <v>18000</v>
      </c>
      <c r="G190" s="3026">
        <f t="shared" si="3"/>
        <v>135.28800000000001</v>
      </c>
      <c r="H190" s="3027"/>
      <c r="I190" s="3028">
        <v>1</v>
      </c>
      <c r="J190" s="3027"/>
      <c r="K190" s="3027"/>
    </row>
    <row r="191" spans="1:11" s="3029" customFormat="1" ht="14.25">
      <c r="A191" s="3022">
        <v>189</v>
      </c>
      <c r="B191" s="3400"/>
      <c r="C191" s="3023" t="s">
        <v>3377</v>
      </c>
      <c r="D191" s="3024" t="s">
        <v>3188</v>
      </c>
      <c r="E191" s="3023">
        <v>58.19</v>
      </c>
      <c r="F191" s="3022">
        <v>18000</v>
      </c>
      <c r="G191" s="3026">
        <f t="shared" si="3"/>
        <v>104.742</v>
      </c>
      <c r="H191" s="3027"/>
      <c r="I191" s="3028">
        <v>1</v>
      </c>
      <c r="J191" s="3027"/>
      <c r="K191" s="3027"/>
    </row>
    <row r="192" spans="1:11" s="3029" customFormat="1" ht="14.25">
      <c r="A192" s="3022">
        <v>190</v>
      </c>
      <c r="B192" s="3400"/>
      <c r="C192" s="3023" t="s">
        <v>3378</v>
      </c>
      <c r="D192" s="3024" t="s">
        <v>3188</v>
      </c>
      <c r="E192" s="3023">
        <v>58.19</v>
      </c>
      <c r="F192" s="3022">
        <v>18000</v>
      </c>
      <c r="G192" s="3026">
        <f t="shared" si="3"/>
        <v>104.742</v>
      </c>
      <c r="H192" s="3027"/>
      <c r="I192" s="3028">
        <v>1</v>
      </c>
      <c r="J192" s="3027"/>
      <c r="K192" s="3027"/>
    </row>
    <row r="193" spans="1:11" s="3029" customFormat="1" ht="14.25">
      <c r="A193" s="3022">
        <v>191</v>
      </c>
      <c r="B193" s="3400"/>
      <c r="C193" s="3023" t="s">
        <v>3379</v>
      </c>
      <c r="D193" s="3024" t="s">
        <v>3188</v>
      </c>
      <c r="E193" s="3023">
        <v>94.24</v>
      </c>
      <c r="F193" s="3022">
        <v>18000</v>
      </c>
      <c r="G193" s="3026">
        <f t="shared" si="3"/>
        <v>169.63200000000001</v>
      </c>
      <c r="H193" s="3027"/>
      <c r="I193" s="3028">
        <v>1</v>
      </c>
      <c r="J193" s="3027"/>
      <c r="K193" s="3027"/>
    </row>
    <row r="194" spans="1:11" s="3029" customFormat="1" ht="14.25">
      <c r="A194" s="3022">
        <v>192</v>
      </c>
      <c r="B194" s="3400"/>
      <c r="C194" s="3023" t="s">
        <v>3380</v>
      </c>
      <c r="D194" s="3024" t="s">
        <v>3188</v>
      </c>
      <c r="E194" s="3023">
        <v>103.18</v>
      </c>
      <c r="F194" s="3022">
        <v>18000</v>
      </c>
      <c r="G194" s="3026">
        <f t="shared" si="3"/>
        <v>185.72400000000002</v>
      </c>
      <c r="H194" s="3027"/>
      <c r="I194" s="3028">
        <v>1</v>
      </c>
      <c r="J194" s="3027"/>
      <c r="K194" s="3027"/>
    </row>
    <row r="195" spans="1:11" s="3029" customFormat="1" ht="14.25">
      <c r="A195" s="3022">
        <v>193</v>
      </c>
      <c r="B195" s="3400"/>
      <c r="C195" s="3023" t="s">
        <v>3381</v>
      </c>
      <c r="D195" s="3024" t="s">
        <v>3188</v>
      </c>
      <c r="E195" s="3023">
        <v>83.61</v>
      </c>
      <c r="F195" s="3022">
        <v>18000</v>
      </c>
      <c r="G195" s="3026">
        <f t="shared" si="3"/>
        <v>150.49799999999999</v>
      </c>
      <c r="H195" s="3027"/>
      <c r="I195" s="3028">
        <v>1</v>
      </c>
      <c r="J195" s="3027"/>
      <c r="K195" s="3027"/>
    </row>
    <row r="196" spans="1:11" s="3029" customFormat="1" ht="14.25">
      <c r="A196" s="3022">
        <v>194</v>
      </c>
      <c r="B196" s="3400"/>
      <c r="C196" s="3023" t="s">
        <v>3382</v>
      </c>
      <c r="D196" s="3024" t="s">
        <v>3188</v>
      </c>
      <c r="E196" s="3023">
        <v>94.24</v>
      </c>
      <c r="F196" s="3022">
        <v>18000</v>
      </c>
      <c r="G196" s="3026">
        <f t="shared" si="3"/>
        <v>169.63200000000001</v>
      </c>
      <c r="H196" s="3027"/>
      <c r="I196" s="3028">
        <v>1</v>
      </c>
      <c r="J196" s="3027"/>
      <c r="K196" s="3027"/>
    </row>
    <row r="197" spans="1:11" s="3029" customFormat="1" ht="14.25">
      <c r="A197" s="3022">
        <v>195</v>
      </c>
      <c r="B197" s="3400"/>
      <c r="C197" s="3023" t="s">
        <v>3383</v>
      </c>
      <c r="D197" s="3024" t="s">
        <v>3188</v>
      </c>
      <c r="E197" s="3023">
        <v>94.24</v>
      </c>
      <c r="F197" s="3022">
        <v>18000</v>
      </c>
      <c r="G197" s="3026">
        <f t="shared" si="3"/>
        <v>169.63200000000001</v>
      </c>
      <c r="H197" s="3027"/>
      <c r="I197" s="3028">
        <v>1</v>
      </c>
      <c r="J197" s="3027"/>
      <c r="K197" s="3027"/>
    </row>
    <row r="198" spans="1:11" s="3029" customFormat="1" ht="14.25">
      <c r="A198" s="3022">
        <v>196</v>
      </c>
      <c r="B198" s="3400"/>
      <c r="C198" s="3023" t="s">
        <v>3384</v>
      </c>
      <c r="D198" s="3024" t="s">
        <v>3188</v>
      </c>
      <c r="E198" s="3023">
        <v>103.18</v>
      </c>
      <c r="F198" s="3022">
        <v>18000</v>
      </c>
      <c r="G198" s="3026">
        <f t="shared" si="3"/>
        <v>185.72400000000002</v>
      </c>
      <c r="H198" s="3027"/>
      <c r="I198" s="3028">
        <v>1</v>
      </c>
      <c r="J198" s="3027"/>
      <c r="K198" s="3027"/>
    </row>
    <row r="199" spans="1:11" s="3029" customFormat="1" ht="14.25">
      <c r="A199" s="3022">
        <v>197</v>
      </c>
      <c r="B199" s="3400"/>
      <c r="C199" s="3023" t="s">
        <v>3385</v>
      </c>
      <c r="D199" s="3024" t="s">
        <v>3188</v>
      </c>
      <c r="E199" s="3023">
        <v>83.61</v>
      </c>
      <c r="F199" s="3022">
        <v>18000</v>
      </c>
      <c r="G199" s="3026">
        <f t="shared" si="3"/>
        <v>150.49799999999999</v>
      </c>
      <c r="H199" s="3027"/>
      <c r="I199" s="3028">
        <v>1</v>
      </c>
      <c r="J199" s="3027"/>
      <c r="K199" s="3027"/>
    </row>
    <row r="200" spans="1:11" s="3029" customFormat="1" ht="14.25">
      <c r="A200" s="3022">
        <v>198</v>
      </c>
      <c r="B200" s="3400"/>
      <c r="C200" s="3023" t="s">
        <v>3386</v>
      </c>
      <c r="D200" s="3024" t="s">
        <v>3188</v>
      </c>
      <c r="E200" s="3023">
        <v>94.24</v>
      </c>
      <c r="F200" s="3022">
        <v>18000</v>
      </c>
      <c r="G200" s="3026">
        <f t="shared" si="3"/>
        <v>169.63200000000001</v>
      </c>
      <c r="H200" s="3027"/>
      <c r="I200" s="3028">
        <v>1</v>
      </c>
      <c r="J200" s="3027"/>
      <c r="K200" s="3027"/>
    </row>
    <row r="201" spans="1:11" s="3029" customFormat="1" ht="14.25">
      <c r="A201" s="3022">
        <v>199</v>
      </c>
      <c r="B201" s="3400"/>
      <c r="C201" s="3023" t="s">
        <v>3387</v>
      </c>
      <c r="D201" s="3024" t="s">
        <v>3188</v>
      </c>
      <c r="E201" s="3023">
        <v>97.33</v>
      </c>
      <c r="F201" s="3022">
        <v>18000</v>
      </c>
      <c r="G201" s="3026">
        <f t="shared" si="3"/>
        <v>175.19399999999999</v>
      </c>
      <c r="H201" s="3027"/>
      <c r="I201" s="3028">
        <v>1</v>
      </c>
      <c r="J201" s="3027"/>
      <c r="K201" s="3027"/>
    </row>
    <row r="202" spans="1:11" s="3029" customFormat="1" ht="14.25">
      <c r="A202" s="3022">
        <v>200</v>
      </c>
      <c r="B202" s="3400"/>
      <c r="C202" s="3023" t="s">
        <v>3388</v>
      </c>
      <c r="D202" s="3024" t="s">
        <v>3188</v>
      </c>
      <c r="E202" s="3023">
        <v>106.34</v>
      </c>
      <c r="F202" s="3022">
        <v>18000</v>
      </c>
      <c r="G202" s="3026">
        <f t="shared" si="3"/>
        <v>191.41200000000001</v>
      </c>
      <c r="H202" s="3027"/>
      <c r="I202" s="3028">
        <v>1</v>
      </c>
      <c r="J202" s="3027"/>
      <c r="K202" s="3027"/>
    </row>
    <row r="203" spans="1:11" s="3029" customFormat="1" ht="14.25">
      <c r="A203" s="3022">
        <v>201</v>
      </c>
      <c r="B203" s="3400"/>
      <c r="C203" s="3023" t="s">
        <v>3389</v>
      </c>
      <c r="D203" s="3024" t="s">
        <v>3188</v>
      </c>
      <c r="E203" s="3023">
        <v>86.4</v>
      </c>
      <c r="F203" s="3022">
        <v>18000</v>
      </c>
      <c r="G203" s="3026">
        <f t="shared" si="3"/>
        <v>155.52000000000001</v>
      </c>
      <c r="H203" s="3027"/>
      <c r="I203" s="3028">
        <v>1</v>
      </c>
      <c r="J203" s="3027"/>
      <c r="K203" s="3027"/>
    </row>
    <row r="204" spans="1:11" s="3029" customFormat="1" ht="14.25">
      <c r="A204" s="3022">
        <v>202</v>
      </c>
      <c r="B204" s="3400"/>
      <c r="C204" s="3023" t="s">
        <v>3390</v>
      </c>
      <c r="D204" s="3024" t="s">
        <v>3188</v>
      </c>
      <c r="E204" s="3023">
        <v>97.33</v>
      </c>
      <c r="F204" s="3022">
        <v>18000</v>
      </c>
      <c r="G204" s="3026">
        <f t="shared" si="3"/>
        <v>175.19399999999999</v>
      </c>
      <c r="H204" s="3027"/>
      <c r="I204" s="3028">
        <v>1</v>
      </c>
      <c r="J204" s="3027"/>
      <c r="K204" s="3027"/>
    </row>
    <row r="205" spans="1:11" s="3029" customFormat="1" ht="14.25">
      <c r="A205" s="3022">
        <v>203</v>
      </c>
      <c r="B205" s="3400"/>
      <c r="C205" s="3023" t="s">
        <v>3391</v>
      </c>
      <c r="D205" s="3024" t="s">
        <v>3188</v>
      </c>
      <c r="E205" s="3023">
        <v>97.33</v>
      </c>
      <c r="F205" s="3022">
        <v>18000</v>
      </c>
      <c r="G205" s="3026">
        <f t="shared" si="3"/>
        <v>175.19399999999999</v>
      </c>
      <c r="H205" s="3027"/>
      <c r="I205" s="3028">
        <v>1</v>
      </c>
      <c r="J205" s="3027"/>
      <c r="K205" s="3027"/>
    </row>
    <row r="206" spans="1:11" s="3029" customFormat="1" ht="14.25">
      <c r="A206" s="3022">
        <v>204</v>
      </c>
      <c r="B206" s="3400"/>
      <c r="C206" s="3023" t="s">
        <v>3392</v>
      </c>
      <c r="D206" s="3024" t="s">
        <v>3188</v>
      </c>
      <c r="E206" s="3023">
        <v>106.34</v>
      </c>
      <c r="F206" s="3022">
        <v>18000</v>
      </c>
      <c r="G206" s="3026">
        <f t="shared" si="3"/>
        <v>191.41200000000001</v>
      </c>
      <c r="H206" s="3027"/>
      <c r="I206" s="3028">
        <v>1</v>
      </c>
      <c r="J206" s="3027"/>
      <c r="K206" s="3027"/>
    </row>
    <row r="207" spans="1:11" s="3029" customFormat="1" ht="14.25">
      <c r="A207" s="3022">
        <v>205</v>
      </c>
      <c r="B207" s="3400"/>
      <c r="C207" s="3023" t="s">
        <v>3393</v>
      </c>
      <c r="D207" s="3024" t="s">
        <v>3188</v>
      </c>
      <c r="E207" s="3023">
        <v>86.4</v>
      </c>
      <c r="F207" s="3022">
        <v>18000</v>
      </c>
      <c r="G207" s="3026">
        <f t="shared" si="3"/>
        <v>155.52000000000001</v>
      </c>
      <c r="H207" s="3027"/>
      <c r="I207" s="3028">
        <v>1</v>
      </c>
      <c r="J207" s="3027"/>
      <c r="K207" s="3027"/>
    </row>
    <row r="208" spans="1:11" s="3029" customFormat="1" ht="14.25">
      <c r="A208" s="3022">
        <v>206</v>
      </c>
      <c r="B208" s="3400"/>
      <c r="C208" s="3023" t="s">
        <v>3394</v>
      </c>
      <c r="D208" s="3024" t="s">
        <v>3188</v>
      </c>
      <c r="E208" s="3023">
        <v>97.33</v>
      </c>
      <c r="F208" s="3022">
        <v>18000</v>
      </c>
      <c r="G208" s="3026">
        <f t="shared" si="3"/>
        <v>175.19399999999999</v>
      </c>
      <c r="H208" s="3027"/>
      <c r="I208" s="3028">
        <v>1</v>
      </c>
      <c r="J208" s="3027"/>
      <c r="K208" s="3027"/>
    </row>
    <row r="209" spans="1:11" s="3029" customFormat="1" ht="14.25">
      <c r="A209" s="3022">
        <v>207</v>
      </c>
      <c r="B209" s="3400"/>
      <c r="C209" s="3023" t="s">
        <v>3395</v>
      </c>
      <c r="D209" s="3024" t="s">
        <v>3188</v>
      </c>
      <c r="E209" s="3023">
        <v>79.819999999999993</v>
      </c>
      <c r="F209" s="3022">
        <v>18000</v>
      </c>
      <c r="G209" s="3026">
        <f t="shared" si="3"/>
        <v>143.67599999999999</v>
      </c>
      <c r="H209" s="3027"/>
      <c r="I209" s="3028">
        <v>1</v>
      </c>
      <c r="J209" s="3027"/>
      <c r="K209" s="3027"/>
    </row>
    <row r="210" spans="1:11" s="3029" customFormat="1" ht="14.25">
      <c r="A210" s="3022">
        <v>208</v>
      </c>
      <c r="B210" s="3400"/>
      <c r="C210" s="3023" t="s">
        <v>3396</v>
      </c>
      <c r="D210" s="3024" t="s">
        <v>3188</v>
      </c>
      <c r="E210" s="3023">
        <v>131.16</v>
      </c>
      <c r="F210" s="3022">
        <v>18000</v>
      </c>
      <c r="G210" s="3026">
        <f t="shared" si="3"/>
        <v>236.08799999999999</v>
      </c>
      <c r="H210" s="3027"/>
      <c r="I210" s="3028">
        <v>1</v>
      </c>
      <c r="J210" s="3027"/>
      <c r="K210" s="3027"/>
    </row>
    <row r="211" spans="1:11" s="3029" customFormat="1" ht="14.25">
      <c r="A211" s="3022">
        <v>209</v>
      </c>
      <c r="B211" s="3400"/>
      <c r="C211" s="3023" t="s">
        <v>3397</v>
      </c>
      <c r="D211" s="3024" t="s">
        <v>3188</v>
      </c>
      <c r="E211" s="3023">
        <v>47.08</v>
      </c>
      <c r="F211" s="3022">
        <v>18000</v>
      </c>
      <c r="G211" s="3026">
        <f t="shared" si="3"/>
        <v>84.744</v>
      </c>
      <c r="H211" s="3027"/>
      <c r="I211" s="3028">
        <v>1</v>
      </c>
      <c r="J211" s="3027"/>
      <c r="K211" s="3027"/>
    </row>
    <row r="212" spans="1:11" s="3029" customFormat="1" ht="14.25">
      <c r="A212" s="3022">
        <v>210</v>
      </c>
      <c r="B212" s="3400"/>
      <c r="C212" s="3023" t="s">
        <v>3398</v>
      </c>
      <c r="D212" s="3024" t="s">
        <v>3188</v>
      </c>
      <c r="E212" s="3023">
        <v>60.17</v>
      </c>
      <c r="F212" s="3022">
        <v>18000</v>
      </c>
      <c r="G212" s="3026">
        <f t="shared" si="3"/>
        <v>108.306</v>
      </c>
      <c r="H212" s="3027"/>
      <c r="I212" s="3028">
        <v>1</v>
      </c>
      <c r="J212" s="3027"/>
      <c r="K212" s="3027"/>
    </row>
    <row r="213" spans="1:11" s="3029" customFormat="1" ht="14.25">
      <c r="A213" s="3022">
        <v>211</v>
      </c>
      <c r="B213" s="3400"/>
      <c r="C213" s="3023" t="s">
        <v>3399</v>
      </c>
      <c r="D213" s="3024" t="s">
        <v>3188</v>
      </c>
      <c r="E213" s="3023">
        <v>69.31</v>
      </c>
      <c r="F213" s="3022">
        <v>18000</v>
      </c>
      <c r="G213" s="3026">
        <f t="shared" si="3"/>
        <v>124.758</v>
      </c>
      <c r="H213" s="3027"/>
      <c r="I213" s="3028">
        <v>1</v>
      </c>
      <c r="J213" s="3027"/>
      <c r="K213" s="3027"/>
    </row>
    <row r="214" spans="1:11" s="3029" customFormat="1" ht="14.25">
      <c r="A214" s="3022">
        <v>212</v>
      </c>
      <c r="B214" s="3400"/>
      <c r="C214" s="3023" t="s">
        <v>3400</v>
      </c>
      <c r="D214" s="3024" t="s">
        <v>3188</v>
      </c>
      <c r="E214" s="3023">
        <v>69.31</v>
      </c>
      <c r="F214" s="3022">
        <v>18000</v>
      </c>
      <c r="G214" s="3026">
        <f t="shared" si="3"/>
        <v>124.758</v>
      </c>
      <c r="H214" s="3027"/>
      <c r="I214" s="3028">
        <v>1</v>
      </c>
      <c r="J214" s="3027"/>
      <c r="K214" s="3027"/>
    </row>
    <row r="215" spans="1:11" s="3029" customFormat="1" ht="14.25">
      <c r="A215" s="3022">
        <v>213</v>
      </c>
      <c r="B215" s="3400"/>
      <c r="C215" s="3023" t="s">
        <v>3401</v>
      </c>
      <c r="D215" s="3024" t="s">
        <v>3188</v>
      </c>
      <c r="E215" s="3023">
        <v>60.17</v>
      </c>
      <c r="F215" s="3022">
        <v>18000</v>
      </c>
      <c r="G215" s="3026">
        <f t="shared" si="3"/>
        <v>108.306</v>
      </c>
      <c r="H215" s="3027"/>
      <c r="I215" s="3028">
        <v>1</v>
      </c>
      <c r="J215" s="3027"/>
      <c r="K215" s="3027"/>
    </row>
    <row r="216" spans="1:11" s="3029" customFormat="1" ht="14.25">
      <c r="A216" s="3022">
        <v>214</v>
      </c>
      <c r="B216" s="3400"/>
      <c r="C216" s="3023" t="s">
        <v>3402</v>
      </c>
      <c r="D216" s="3024" t="s">
        <v>3188</v>
      </c>
      <c r="E216" s="3023">
        <v>47.08</v>
      </c>
      <c r="F216" s="3022">
        <v>18000</v>
      </c>
      <c r="G216" s="3026">
        <f t="shared" si="3"/>
        <v>84.744</v>
      </c>
      <c r="H216" s="3027"/>
      <c r="I216" s="3028">
        <v>1</v>
      </c>
      <c r="J216" s="3027"/>
      <c r="K216" s="3027"/>
    </row>
    <row r="217" spans="1:11" s="3029" customFormat="1" ht="14.25">
      <c r="A217" s="3022">
        <v>215</v>
      </c>
      <c r="B217" s="3400"/>
      <c r="C217" s="3023" t="s">
        <v>3403</v>
      </c>
      <c r="D217" s="3024" t="s">
        <v>3188</v>
      </c>
      <c r="E217" s="3023">
        <v>60.17</v>
      </c>
      <c r="F217" s="3022">
        <v>18000</v>
      </c>
      <c r="G217" s="3026">
        <f t="shared" si="3"/>
        <v>108.306</v>
      </c>
      <c r="H217" s="3027"/>
      <c r="I217" s="3028">
        <v>1</v>
      </c>
      <c r="J217" s="3027"/>
      <c r="K217" s="3027"/>
    </row>
    <row r="218" spans="1:11" s="3029" customFormat="1" ht="14.25">
      <c r="A218" s="3022">
        <v>216</v>
      </c>
      <c r="B218" s="3400"/>
      <c r="C218" s="3023" t="s">
        <v>3404</v>
      </c>
      <c r="D218" s="3024" t="s">
        <v>3188</v>
      </c>
      <c r="E218" s="3023">
        <v>46.02</v>
      </c>
      <c r="F218" s="3022">
        <v>18000</v>
      </c>
      <c r="G218" s="3026">
        <f t="shared" si="3"/>
        <v>82.835999999999999</v>
      </c>
      <c r="H218" s="3027"/>
      <c r="I218" s="3028">
        <v>1</v>
      </c>
      <c r="J218" s="3027"/>
      <c r="K218" s="3027"/>
    </row>
    <row r="219" spans="1:11" s="3029" customFormat="1" ht="14.25">
      <c r="A219" s="3022">
        <v>217</v>
      </c>
      <c r="B219" s="3400"/>
      <c r="C219" s="3023" t="s">
        <v>3405</v>
      </c>
      <c r="D219" s="3024" t="s">
        <v>3188</v>
      </c>
      <c r="E219" s="3023">
        <v>73.02</v>
      </c>
      <c r="F219" s="3022">
        <v>18000</v>
      </c>
      <c r="G219" s="3026">
        <f t="shared" si="3"/>
        <v>131.43600000000001</v>
      </c>
      <c r="H219" s="3027"/>
      <c r="I219" s="3028">
        <v>1</v>
      </c>
      <c r="J219" s="3027"/>
      <c r="K219" s="3027"/>
    </row>
    <row r="220" spans="1:11" s="3029" customFormat="1" ht="14.25">
      <c r="A220" s="3022">
        <v>218</v>
      </c>
      <c r="B220" s="3400"/>
      <c r="C220" s="3023" t="s">
        <v>3406</v>
      </c>
      <c r="D220" s="3024" t="s">
        <v>3188</v>
      </c>
      <c r="E220" s="3023">
        <v>76.94</v>
      </c>
      <c r="F220" s="3022">
        <v>18000</v>
      </c>
      <c r="G220" s="3026">
        <f t="shared" ref="G220:G274" si="4">E220*F220/10000</f>
        <v>138.49199999999999</v>
      </c>
      <c r="H220" s="3027"/>
      <c r="I220" s="3028">
        <v>1</v>
      </c>
      <c r="J220" s="3027"/>
      <c r="K220" s="3027"/>
    </row>
    <row r="221" spans="1:11" s="3029" customFormat="1" ht="14.25">
      <c r="A221" s="3022">
        <v>219</v>
      </c>
      <c r="B221" s="3400"/>
      <c r="C221" s="3023" t="s">
        <v>3407</v>
      </c>
      <c r="D221" s="3024" t="s">
        <v>3188</v>
      </c>
      <c r="E221" s="3023">
        <v>78.760000000000005</v>
      </c>
      <c r="F221" s="3022">
        <v>18000</v>
      </c>
      <c r="G221" s="3026">
        <f t="shared" si="4"/>
        <v>141.768</v>
      </c>
      <c r="H221" s="3027"/>
      <c r="I221" s="3028">
        <v>1</v>
      </c>
      <c r="J221" s="3027"/>
      <c r="K221" s="3027"/>
    </row>
    <row r="222" spans="1:11" s="3029" customFormat="1" ht="14.25">
      <c r="A222" s="3022">
        <v>220</v>
      </c>
      <c r="B222" s="3400"/>
      <c r="C222" s="3023" t="s">
        <v>3408</v>
      </c>
      <c r="D222" s="3024" t="s">
        <v>3188</v>
      </c>
      <c r="E222" s="3023">
        <v>77.22</v>
      </c>
      <c r="F222" s="3022">
        <v>18000</v>
      </c>
      <c r="G222" s="3026">
        <f t="shared" si="4"/>
        <v>138.99600000000001</v>
      </c>
      <c r="H222" s="3027"/>
      <c r="I222" s="3028">
        <v>1</v>
      </c>
      <c r="J222" s="3027"/>
      <c r="K222" s="3027"/>
    </row>
    <row r="223" spans="1:11" s="3029" customFormat="1" ht="14.25">
      <c r="A223" s="3022">
        <v>221</v>
      </c>
      <c r="B223" s="3400"/>
      <c r="C223" s="3023" t="s">
        <v>3409</v>
      </c>
      <c r="D223" s="3024" t="s">
        <v>3188</v>
      </c>
      <c r="E223" s="3023">
        <v>77.22</v>
      </c>
      <c r="F223" s="3022">
        <v>18000</v>
      </c>
      <c r="G223" s="3026">
        <f t="shared" si="4"/>
        <v>138.99600000000001</v>
      </c>
      <c r="H223" s="3027"/>
      <c r="I223" s="3028">
        <v>1</v>
      </c>
      <c r="J223" s="3027"/>
      <c r="K223" s="3027"/>
    </row>
    <row r="224" spans="1:11" s="3029" customFormat="1" ht="14.25">
      <c r="A224" s="3022">
        <v>222</v>
      </c>
      <c r="B224" s="3400"/>
      <c r="C224" s="3023" t="s">
        <v>3410</v>
      </c>
      <c r="D224" s="3024" t="s">
        <v>3188</v>
      </c>
      <c r="E224" s="3023">
        <v>102.45</v>
      </c>
      <c r="F224" s="3022">
        <v>18000</v>
      </c>
      <c r="G224" s="3026">
        <f t="shared" si="4"/>
        <v>184.41</v>
      </c>
      <c r="H224" s="3027"/>
      <c r="I224" s="3028">
        <v>1</v>
      </c>
      <c r="J224" s="3027"/>
      <c r="K224" s="3027"/>
    </row>
    <row r="225" spans="1:11" s="3029" customFormat="1" ht="14.25">
      <c r="A225" s="3022">
        <v>223</v>
      </c>
      <c r="B225" s="3400"/>
      <c r="C225" s="3023" t="s">
        <v>3411</v>
      </c>
      <c r="D225" s="3024" t="s">
        <v>3188</v>
      </c>
      <c r="E225" s="3023">
        <v>77.16</v>
      </c>
      <c r="F225" s="3022">
        <v>18000</v>
      </c>
      <c r="G225" s="3026">
        <f t="shared" si="4"/>
        <v>138.88800000000001</v>
      </c>
      <c r="H225" s="3027"/>
      <c r="I225" s="3028">
        <v>1</v>
      </c>
      <c r="J225" s="3027"/>
      <c r="K225" s="3027"/>
    </row>
    <row r="226" spans="1:11" s="3029" customFormat="1" ht="14.25">
      <c r="A226" s="3022">
        <v>224</v>
      </c>
      <c r="B226" s="3400"/>
      <c r="C226" s="3023" t="s">
        <v>3412</v>
      </c>
      <c r="D226" s="3024" t="s">
        <v>3188</v>
      </c>
      <c r="E226" s="3023">
        <v>47.22</v>
      </c>
      <c r="F226" s="3022">
        <v>18000</v>
      </c>
      <c r="G226" s="3026">
        <f t="shared" si="4"/>
        <v>84.995999999999995</v>
      </c>
      <c r="H226" s="3027"/>
      <c r="I226" s="3028">
        <v>1</v>
      </c>
      <c r="J226" s="3027"/>
      <c r="K226" s="3027"/>
    </row>
    <row r="227" spans="1:11" s="3029" customFormat="1" ht="14.25">
      <c r="A227" s="3022">
        <v>225</v>
      </c>
      <c r="B227" s="3400"/>
      <c r="C227" s="3023" t="s">
        <v>3413</v>
      </c>
      <c r="D227" s="3024" t="s">
        <v>3188</v>
      </c>
      <c r="E227" s="3023">
        <v>77.16</v>
      </c>
      <c r="F227" s="3022">
        <v>18000</v>
      </c>
      <c r="G227" s="3026">
        <f t="shared" si="4"/>
        <v>138.88800000000001</v>
      </c>
      <c r="H227" s="3027"/>
      <c r="I227" s="3028">
        <v>1</v>
      </c>
      <c r="J227" s="3027"/>
      <c r="K227" s="3027"/>
    </row>
    <row r="228" spans="1:11" s="3029" customFormat="1" ht="14.25">
      <c r="A228" s="3022">
        <v>226</v>
      </c>
      <c r="B228" s="3400"/>
      <c r="C228" s="3023" t="s">
        <v>3414</v>
      </c>
      <c r="D228" s="3024" t="s">
        <v>3188</v>
      </c>
      <c r="E228" s="3023">
        <v>102.45</v>
      </c>
      <c r="F228" s="3022">
        <v>18000</v>
      </c>
      <c r="G228" s="3026">
        <f t="shared" si="4"/>
        <v>184.41</v>
      </c>
      <c r="H228" s="3027"/>
      <c r="I228" s="3028">
        <v>1</v>
      </c>
      <c r="J228" s="3027"/>
      <c r="K228" s="3027"/>
    </row>
    <row r="229" spans="1:11" s="3029" customFormat="1" ht="14.25">
      <c r="A229" s="3022">
        <v>227</v>
      </c>
      <c r="B229" s="3400"/>
      <c r="C229" s="3023" t="s">
        <v>3415</v>
      </c>
      <c r="D229" s="3024" t="s">
        <v>3188</v>
      </c>
      <c r="E229" s="3023">
        <v>102.45</v>
      </c>
      <c r="F229" s="3022">
        <v>18000</v>
      </c>
      <c r="G229" s="3026">
        <f t="shared" si="4"/>
        <v>184.41</v>
      </c>
      <c r="H229" s="3027"/>
      <c r="I229" s="3028">
        <v>1</v>
      </c>
      <c r="J229" s="3027"/>
      <c r="K229" s="3027"/>
    </row>
    <row r="230" spans="1:11" s="3029" customFormat="1" ht="14.25">
      <c r="A230" s="3022">
        <v>228</v>
      </c>
      <c r="B230" s="3400"/>
      <c r="C230" s="3023" t="s">
        <v>3416</v>
      </c>
      <c r="D230" s="3024" t="s">
        <v>3188</v>
      </c>
      <c r="E230" s="3023">
        <v>77.16</v>
      </c>
      <c r="F230" s="3022">
        <v>18000</v>
      </c>
      <c r="G230" s="3026">
        <f t="shared" si="4"/>
        <v>138.88800000000001</v>
      </c>
      <c r="H230" s="3027"/>
      <c r="I230" s="3028">
        <v>1</v>
      </c>
      <c r="J230" s="3027"/>
      <c r="K230" s="3027"/>
    </row>
    <row r="231" spans="1:11" s="3029" customFormat="1" ht="14.25">
      <c r="A231" s="3022">
        <v>229</v>
      </c>
      <c r="B231" s="3400"/>
      <c r="C231" s="3023" t="s">
        <v>3417</v>
      </c>
      <c r="D231" s="3024" t="s">
        <v>3188</v>
      </c>
      <c r="E231" s="3023">
        <v>47.22</v>
      </c>
      <c r="F231" s="3022">
        <v>18000</v>
      </c>
      <c r="G231" s="3026">
        <f t="shared" si="4"/>
        <v>84.995999999999995</v>
      </c>
      <c r="H231" s="3027"/>
      <c r="I231" s="3028">
        <v>1</v>
      </c>
      <c r="J231" s="3027"/>
      <c r="K231" s="3027"/>
    </row>
    <row r="232" spans="1:11" s="3029" customFormat="1" ht="14.25">
      <c r="A232" s="3022">
        <v>230</v>
      </c>
      <c r="B232" s="3400"/>
      <c r="C232" s="3023" t="s">
        <v>3418</v>
      </c>
      <c r="D232" s="3024" t="s">
        <v>3188</v>
      </c>
      <c r="E232" s="3023">
        <v>77.16</v>
      </c>
      <c r="F232" s="3022">
        <v>18000</v>
      </c>
      <c r="G232" s="3026">
        <f t="shared" si="4"/>
        <v>138.88800000000001</v>
      </c>
      <c r="H232" s="3027"/>
      <c r="I232" s="3028">
        <v>1</v>
      </c>
      <c r="J232" s="3027"/>
      <c r="K232" s="3027"/>
    </row>
    <row r="233" spans="1:11" s="3029" customFormat="1" ht="14.25">
      <c r="A233" s="3022">
        <v>231</v>
      </c>
      <c r="B233" s="3400"/>
      <c r="C233" s="3023" t="s">
        <v>3419</v>
      </c>
      <c r="D233" s="3024" t="s">
        <v>3188</v>
      </c>
      <c r="E233" s="3023">
        <v>102.45</v>
      </c>
      <c r="F233" s="3022">
        <v>18000</v>
      </c>
      <c r="G233" s="3026">
        <f t="shared" si="4"/>
        <v>184.41</v>
      </c>
      <c r="H233" s="3027"/>
      <c r="I233" s="3028">
        <v>1</v>
      </c>
      <c r="J233" s="3027"/>
      <c r="K233" s="3027"/>
    </row>
    <row r="234" spans="1:11" s="3029" customFormat="1" ht="14.25">
      <c r="A234" s="3022">
        <v>232</v>
      </c>
      <c r="B234" s="3400"/>
      <c r="C234" s="3023" t="s">
        <v>3420</v>
      </c>
      <c r="D234" s="3024" t="s">
        <v>3188</v>
      </c>
      <c r="E234" s="3023">
        <v>91.57</v>
      </c>
      <c r="F234" s="3022">
        <v>18000</v>
      </c>
      <c r="G234" s="3026">
        <f t="shared" si="4"/>
        <v>164.82599999999996</v>
      </c>
      <c r="H234" s="3027"/>
      <c r="I234" s="3028">
        <v>1</v>
      </c>
      <c r="J234" s="3027"/>
      <c r="K234" s="3027"/>
    </row>
    <row r="235" spans="1:11" s="3029" customFormat="1" ht="14.25">
      <c r="A235" s="3022">
        <v>233</v>
      </c>
      <c r="B235" s="3400"/>
      <c r="C235" s="3023" t="s">
        <v>3421</v>
      </c>
      <c r="D235" s="3024" t="s">
        <v>3188</v>
      </c>
      <c r="E235" s="3023">
        <v>63.14</v>
      </c>
      <c r="F235" s="3022">
        <v>18000</v>
      </c>
      <c r="G235" s="3026">
        <f t="shared" si="4"/>
        <v>113.652</v>
      </c>
      <c r="H235" s="3027"/>
      <c r="I235" s="3028">
        <v>1</v>
      </c>
      <c r="J235" s="3027"/>
      <c r="K235" s="3027"/>
    </row>
    <row r="236" spans="1:11" s="3029" customFormat="1" ht="14.25">
      <c r="A236" s="3022">
        <v>234</v>
      </c>
      <c r="B236" s="3400"/>
      <c r="C236" s="3023" t="s">
        <v>3422</v>
      </c>
      <c r="D236" s="3024" t="s">
        <v>3188</v>
      </c>
      <c r="E236" s="3023">
        <v>89.61</v>
      </c>
      <c r="F236" s="3022">
        <v>18000</v>
      </c>
      <c r="G236" s="3026">
        <f t="shared" si="4"/>
        <v>161.298</v>
      </c>
      <c r="H236" s="3027"/>
      <c r="I236" s="3028">
        <v>1</v>
      </c>
      <c r="J236" s="3027"/>
      <c r="K236" s="3027"/>
    </row>
    <row r="237" spans="1:11" s="3029" customFormat="1" ht="14.25">
      <c r="A237" s="3022">
        <v>235</v>
      </c>
      <c r="B237" s="3400"/>
      <c r="C237" s="3023" t="s">
        <v>3423</v>
      </c>
      <c r="D237" s="3024" t="s">
        <v>3188</v>
      </c>
      <c r="E237" s="3023">
        <v>93.8</v>
      </c>
      <c r="F237" s="3022">
        <v>18000</v>
      </c>
      <c r="G237" s="3026">
        <f t="shared" si="4"/>
        <v>168.84</v>
      </c>
      <c r="H237" s="3027"/>
      <c r="I237" s="3028">
        <v>1</v>
      </c>
      <c r="J237" s="3027"/>
      <c r="K237" s="3027"/>
    </row>
    <row r="238" spans="1:11" s="3029" customFormat="1" ht="14.25">
      <c r="A238" s="3022">
        <v>236</v>
      </c>
      <c r="B238" s="3400"/>
      <c r="C238" s="3023" t="s">
        <v>3424</v>
      </c>
      <c r="D238" s="3024" t="s">
        <v>3188</v>
      </c>
      <c r="E238" s="3023">
        <v>79.680000000000007</v>
      </c>
      <c r="F238" s="3022">
        <v>18000</v>
      </c>
      <c r="G238" s="3026">
        <f t="shared" si="4"/>
        <v>143.42400000000004</v>
      </c>
      <c r="H238" s="3027"/>
      <c r="I238" s="3028">
        <v>1</v>
      </c>
      <c r="J238" s="3027"/>
      <c r="K238" s="3027"/>
    </row>
    <row r="239" spans="1:11" s="3029" customFormat="1" ht="14.25">
      <c r="A239" s="3022">
        <v>237</v>
      </c>
      <c r="B239" s="3400"/>
      <c r="C239" s="3023" t="s">
        <v>3425</v>
      </c>
      <c r="D239" s="3024" t="s">
        <v>3188</v>
      </c>
      <c r="E239" s="3023">
        <v>82.03</v>
      </c>
      <c r="F239" s="3022">
        <v>18000</v>
      </c>
      <c r="G239" s="3026">
        <f t="shared" si="4"/>
        <v>147.654</v>
      </c>
      <c r="H239" s="3027"/>
      <c r="I239" s="3028">
        <v>1</v>
      </c>
      <c r="J239" s="3027"/>
      <c r="K239" s="3027"/>
    </row>
    <row r="240" spans="1:11" s="3029" customFormat="1" ht="14.25">
      <c r="A240" s="3022">
        <v>238</v>
      </c>
      <c r="B240" s="3400"/>
      <c r="C240" s="3023" t="s">
        <v>3426</v>
      </c>
      <c r="D240" s="3024" t="s">
        <v>3188</v>
      </c>
      <c r="E240" s="3023">
        <v>59.11</v>
      </c>
      <c r="F240" s="3022">
        <v>18000</v>
      </c>
      <c r="G240" s="3026">
        <f t="shared" si="4"/>
        <v>106.398</v>
      </c>
      <c r="H240" s="3027"/>
      <c r="I240" s="3028">
        <v>1</v>
      </c>
      <c r="J240" s="3027"/>
      <c r="K240" s="3027"/>
    </row>
    <row r="241" spans="1:11" s="3029" customFormat="1" ht="14.25">
      <c r="A241" s="3022">
        <v>239</v>
      </c>
      <c r="B241" s="3400"/>
      <c r="C241" s="3023" t="s">
        <v>3427</v>
      </c>
      <c r="D241" s="3024" t="s">
        <v>3188</v>
      </c>
      <c r="E241" s="3023">
        <v>89.48</v>
      </c>
      <c r="F241" s="3022">
        <v>18000</v>
      </c>
      <c r="G241" s="3026">
        <f t="shared" si="4"/>
        <v>161.06399999999999</v>
      </c>
      <c r="H241" s="3027"/>
      <c r="I241" s="3028">
        <v>1</v>
      </c>
      <c r="J241" s="3027"/>
      <c r="K241" s="3027"/>
    </row>
    <row r="242" spans="1:11" s="3029" customFormat="1" ht="14.25">
      <c r="A242" s="3022">
        <v>240</v>
      </c>
      <c r="B242" s="3400"/>
      <c r="C242" s="3023" t="s">
        <v>3428</v>
      </c>
      <c r="D242" s="3024" t="s">
        <v>3188</v>
      </c>
      <c r="E242" s="3023">
        <v>69.52</v>
      </c>
      <c r="F242" s="3022">
        <v>18000</v>
      </c>
      <c r="G242" s="3026">
        <f t="shared" si="4"/>
        <v>125.136</v>
      </c>
      <c r="H242" s="3027"/>
      <c r="I242" s="3028">
        <v>1</v>
      </c>
      <c r="J242" s="3027"/>
      <c r="K242" s="3027"/>
    </row>
    <row r="243" spans="1:11" s="3029" customFormat="1" ht="14.25">
      <c r="A243" s="3022">
        <v>241</v>
      </c>
      <c r="B243" s="3400"/>
      <c r="C243" s="3023" t="s">
        <v>3429</v>
      </c>
      <c r="D243" s="3024" t="s">
        <v>3188</v>
      </c>
      <c r="E243" s="3023">
        <v>45.68</v>
      </c>
      <c r="F243" s="3022">
        <v>18000</v>
      </c>
      <c r="G243" s="3026">
        <f t="shared" si="4"/>
        <v>82.224000000000004</v>
      </c>
      <c r="H243" s="3027"/>
      <c r="I243" s="3028">
        <v>1</v>
      </c>
      <c r="J243" s="3027"/>
      <c r="K243" s="3027"/>
    </row>
    <row r="244" spans="1:11" s="3029" customFormat="1" ht="14.25">
      <c r="A244" s="3022">
        <v>242</v>
      </c>
      <c r="B244" s="3400"/>
      <c r="C244" s="3023" t="s">
        <v>3430</v>
      </c>
      <c r="D244" s="3024" t="s">
        <v>3188</v>
      </c>
      <c r="E244" s="3023">
        <v>40.85</v>
      </c>
      <c r="F244" s="3022">
        <v>18000</v>
      </c>
      <c r="G244" s="3026">
        <f t="shared" si="4"/>
        <v>73.53</v>
      </c>
      <c r="H244" s="3027"/>
      <c r="I244" s="3028">
        <v>1</v>
      </c>
      <c r="J244" s="3027"/>
      <c r="K244" s="3027"/>
    </row>
    <row r="245" spans="1:11" s="3029" customFormat="1" ht="14.25">
      <c r="A245" s="3022">
        <v>243</v>
      </c>
      <c r="B245" s="3400"/>
      <c r="C245" s="3023" t="s">
        <v>3431</v>
      </c>
      <c r="D245" s="3024" t="s">
        <v>3188</v>
      </c>
      <c r="E245" s="3023">
        <v>39.53</v>
      </c>
      <c r="F245" s="3022">
        <v>18000</v>
      </c>
      <c r="G245" s="3026">
        <f t="shared" si="4"/>
        <v>71.153999999999996</v>
      </c>
      <c r="H245" s="3027"/>
      <c r="I245" s="3028">
        <v>1</v>
      </c>
      <c r="J245" s="3027"/>
      <c r="K245" s="3027"/>
    </row>
    <row r="246" spans="1:11" s="3029" customFormat="1" ht="14.25">
      <c r="A246" s="3022">
        <v>244</v>
      </c>
      <c r="B246" s="3400"/>
      <c r="C246" s="3023" t="s">
        <v>3432</v>
      </c>
      <c r="D246" s="3024" t="s">
        <v>3188</v>
      </c>
      <c r="E246" s="3023">
        <v>58.02</v>
      </c>
      <c r="F246" s="3022">
        <v>18000</v>
      </c>
      <c r="G246" s="3026">
        <f t="shared" si="4"/>
        <v>104.43600000000001</v>
      </c>
      <c r="H246" s="3027"/>
      <c r="I246" s="3028">
        <v>1</v>
      </c>
      <c r="J246" s="3027"/>
      <c r="K246" s="3027"/>
    </row>
    <row r="247" spans="1:11" s="3029" customFormat="1" ht="14.25">
      <c r="A247" s="3022">
        <v>245</v>
      </c>
      <c r="B247" s="3400"/>
      <c r="C247" s="3023" t="s">
        <v>3433</v>
      </c>
      <c r="D247" s="3024" t="s">
        <v>3188</v>
      </c>
      <c r="E247" s="3023">
        <v>93.27</v>
      </c>
      <c r="F247" s="3022">
        <v>18000</v>
      </c>
      <c r="G247" s="3026">
        <f t="shared" si="4"/>
        <v>167.886</v>
      </c>
      <c r="H247" s="3027"/>
      <c r="I247" s="3028">
        <v>1</v>
      </c>
      <c r="J247" s="3027"/>
      <c r="K247" s="3027"/>
    </row>
    <row r="248" spans="1:11" s="3029" customFormat="1" ht="14.25">
      <c r="A248" s="3022">
        <v>246</v>
      </c>
      <c r="B248" s="3400"/>
      <c r="C248" s="3023" t="s">
        <v>3434</v>
      </c>
      <c r="D248" s="3024" t="s">
        <v>3188</v>
      </c>
      <c r="E248" s="3023">
        <v>93.27</v>
      </c>
      <c r="F248" s="3022">
        <v>18000</v>
      </c>
      <c r="G248" s="3026">
        <f t="shared" si="4"/>
        <v>167.886</v>
      </c>
      <c r="H248" s="3027"/>
      <c r="I248" s="3028">
        <v>1</v>
      </c>
      <c r="J248" s="3027"/>
      <c r="K248" s="3027"/>
    </row>
    <row r="249" spans="1:11" s="3029" customFormat="1" ht="14.25">
      <c r="A249" s="3022">
        <v>247</v>
      </c>
      <c r="B249" s="3400"/>
      <c r="C249" s="3023" t="s">
        <v>3435</v>
      </c>
      <c r="D249" s="3024" t="s">
        <v>3188</v>
      </c>
      <c r="E249" s="3023">
        <v>93.27</v>
      </c>
      <c r="F249" s="3022">
        <v>18000</v>
      </c>
      <c r="G249" s="3026">
        <f t="shared" si="4"/>
        <v>167.886</v>
      </c>
      <c r="H249" s="3027"/>
      <c r="I249" s="3028">
        <v>1</v>
      </c>
      <c r="J249" s="3027"/>
      <c r="K249" s="3027"/>
    </row>
    <row r="250" spans="1:11" s="3029" customFormat="1" ht="14.25">
      <c r="A250" s="3022">
        <v>248</v>
      </c>
      <c r="B250" s="3400"/>
      <c r="C250" s="3023" t="s">
        <v>3436</v>
      </c>
      <c r="D250" s="3024" t="s">
        <v>3188</v>
      </c>
      <c r="E250" s="3023">
        <v>143.74</v>
      </c>
      <c r="F250" s="3022">
        <v>18000</v>
      </c>
      <c r="G250" s="3026">
        <f t="shared" si="4"/>
        <v>258.73200000000003</v>
      </c>
      <c r="H250" s="3027"/>
      <c r="I250" s="3028">
        <v>1</v>
      </c>
      <c r="J250" s="3027"/>
      <c r="K250" s="3027"/>
    </row>
    <row r="251" spans="1:11" s="3029" customFormat="1" ht="14.25">
      <c r="A251" s="3022">
        <v>249</v>
      </c>
      <c r="B251" s="3400"/>
      <c r="C251" s="3023" t="s">
        <v>3437</v>
      </c>
      <c r="D251" s="3024" t="s">
        <v>3188</v>
      </c>
      <c r="E251" s="3023">
        <v>72.23</v>
      </c>
      <c r="F251" s="3022">
        <v>18000</v>
      </c>
      <c r="G251" s="3026">
        <f t="shared" si="4"/>
        <v>130.01400000000001</v>
      </c>
      <c r="H251" s="3027"/>
      <c r="I251" s="3028">
        <v>1</v>
      </c>
      <c r="J251" s="3027"/>
      <c r="K251" s="3027"/>
    </row>
    <row r="252" spans="1:11" s="3029" customFormat="1" ht="14.25">
      <c r="A252" s="3022">
        <v>250</v>
      </c>
      <c r="B252" s="3400"/>
      <c r="C252" s="3023" t="s">
        <v>3438</v>
      </c>
      <c r="D252" s="3024" t="s">
        <v>3188</v>
      </c>
      <c r="E252" s="3023">
        <v>83.76</v>
      </c>
      <c r="F252" s="3022">
        <v>18000</v>
      </c>
      <c r="G252" s="3026">
        <f t="shared" si="4"/>
        <v>150.768</v>
      </c>
      <c r="H252" s="3027"/>
      <c r="I252" s="3028">
        <v>1</v>
      </c>
      <c r="J252" s="3027"/>
      <c r="K252" s="3027"/>
    </row>
    <row r="253" spans="1:11" s="3029" customFormat="1" ht="14.25">
      <c r="A253" s="3022">
        <v>251</v>
      </c>
      <c r="B253" s="3400"/>
      <c r="C253" s="3023" t="s">
        <v>3439</v>
      </c>
      <c r="D253" s="3024" t="s">
        <v>3188</v>
      </c>
      <c r="E253" s="3023">
        <v>188.34</v>
      </c>
      <c r="F253" s="3022">
        <v>18000</v>
      </c>
      <c r="G253" s="3026">
        <f t="shared" si="4"/>
        <v>339.012</v>
      </c>
      <c r="H253" s="3027"/>
      <c r="I253" s="3028">
        <v>1</v>
      </c>
      <c r="J253" s="3027"/>
      <c r="K253" s="3027"/>
    </row>
    <row r="254" spans="1:11" s="3029" customFormat="1" ht="14.25">
      <c r="A254" s="3022">
        <v>252</v>
      </c>
      <c r="B254" s="3400"/>
      <c r="C254" s="3023" t="s">
        <v>3440</v>
      </c>
      <c r="D254" s="3024" t="s">
        <v>3188</v>
      </c>
      <c r="E254" s="3023">
        <v>202.88</v>
      </c>
      <c r="F254" s="3022">
        <v>18000</v>
      </c>
      <c r="G254" s="3026">
        <f t="shared" si="4"/>
        <v>365.18400000000003</v>
      </c>
      <c r="H254" s="3027"/>
      <c r="I254" s="3028">
        <v>1</v>
      </c>
      <c r="J254" s="3027"/>
      <c r="K254" s="3027"/>
    </row>
    <row r="255" spans="1:11" s="3029" customFormat="1" ht="14.25">
      <c r="A255" s="3022">
        <v>253</v>
      </c>
      <c r="B255" s="3400"/>
      <c r="C255" s="3023" t="s">
        <v>3441</v>
      </c>
      <c r="D255" s="3024" t="s">
        <v>3188</v>
      </c>
      <c r="E255" s="3023">
        <v>235.96</v>
      </c>
      <c r="F255" s="3022">
        <v>18000</v>
      </c>
      <c r="G255" s="3026">
        <f t="shared" si="4"/>
        <v>424.72800000000001</v>
      </c>
      <c r="H255" s="3027"/>
      <c r="I255" s="3028">
        <v>1</v>
      </c>
      <c r="J255" s="3027"/>
      <c r="K255" s="3027"/>
    </row>
    <row r="256" spans="1:11" s="3029" customFormat="1" ht="14.25">
      <c r="A256" s="3022">
        <v>254</v>
      </c>
      <c r="B256" s="3400"/>
      <c r="C256" s="3023" t="s">
        <v>3442</v>
      </c>
      <c r="D256" s="3024" t="s">
        <v>3188</v>
      </c>
      <c r="E256" s="3023">
        <v>101.64</v>
      </c>
      <c r="F256" s="3022">
        <v>18000</v>
      </c>
      <c r="G256" s="3026">
        <f t="shared" si="4"/>
        <v>182.952</v>
      </c>
      <c r="H256" s="3027"/>
      <c r="I256" s="3028">
        <v>1</v>
      </c>
      <c r="J256" s="3027"/>
      <c r="K256" s="3027"/>
    </row>
    <row r="257" spans="1:11" s="3029" customFormat="1" ht="14.25">
      <c r="A257" s="3022">
        <v>255</v>
      </c>
      <c r="B257" s="3400"/>
      <c r="C257" s="3023" t="s">
        <v>3443</v>
      </c>
      <c r="D257" s="3024" t="s">
        <v>3188</v>
      </c>
      <c r="E257" s="3023">
        <v>68.61</v>
      </c>
      <c r="F257" s="3022">
        <v>18000</v>
      </c>
      <c r="G257" s="3026">
        <f t="shared" si="4"/>
        <v>123.498</v>
      </c>
      <c r="H257" s="3027"/>
      <c r="I257" s="3028">
        <v>1</v>
      </c>
      <c r="J257" s="3027"/>
      <c r="K257" s="3027"/>
    </row>
    <row r="258" spans="1:11" s="3029" customFormat="1" ht="14.25">
      <c r="A258" s="3022">
        <v>256</v>
      </c>
      <c r="B258" s="3400"/>
      <c r="C258" s="3023" t="s">
        <v>3444</v>
      </c>
      <c r="D258" s="3024" t="s">
        <v>3188</v>
      </c>
      <c r="E258" s="3023">
        <v>63.32</v>
      </c>
      <c r="F258" s="3022">
        <v>18000</v>
      </c>
      <c r="G258" s="3026">
        <f t="shared" si="4"/>
        <v>113.976</v>
      </c>
      <c r="H258" s="3027"/>
      <c r="I258" s="3028">
        <v>1</v>
      </c>
      <c r="J258" s="3027"/>
      <c r="K258" s="3027"/>
    </row>
    <row r="259" spans="1:11" s="3029" customFormat="1" ht="14.25">
      <c r="A259" s="3022">
        <v>257</v>
      </c>
      <c r="B259" s="3400"/>
      <c r="C259" s="3023" t="s">
        <v>3445</v>
      </c>
      <c r="D259" s="3024" t="s">
        <v>3188</v>
      </c>
      <c r="E259" s="3023">
        <v>51.77</v>
      </c>
      <c r="F259" s="3022">
        <v>18000</v>
      </c>
      <c r="G259" s="3026">
        <f t="shared" si="4"/>
        <v>93.186000000000007</v>
      </c>
      <c r="H259" s="3027"/>
      <c r="I259" s="3028">
        <v>1</v>
      </c>
      <c r="J259" s="3027"/>
      <c r="K259" s="3027"/>
    </row>
    <row r="260" spans="1:11" s="3029" customFormat="1" ht="14.25">
      <c r="A260" s="3022">
        <v>258</v>
      </c>
      <c r="B260" s="3400"/>
      <c r="C260" s="3023" t="s">
        <v>3446</v>
      </c>
      <c r="D260" s="3024" t="s">
        <v>3188</v>
      </c>
      <c r="E260" s="3023">
        <v>45.79</v>
      </c>
      <c r="F260" s="3022">
        <v>18000</v>
      </c>
      <c r="G260" s="3026">
        <f t="shared" si="4"/>
        <v>82.421999999999997</v>
      </c>
      <c r="H260" s="3027"/>
      <c r="I260" s="3028">
        <v>1</v>
      </c>
      <c r="J260" s="3027"/>
      <c r="K260" s="3027"/>
    </row>
    <row r="261" spans="1:11" s="3029" customFormat="1" ht="14.25">
      <c r="A261" s="3022">
        <v>259</v>
      </c>
      <c r="B261" s="3400"/>
      <c r="C261" s="3023" t="s">
        <v>3447</v>
      </c>
      <c r="D261" s="3024" t="s">
        <v>3188</v>
      </c>
      <c r="E261" s="3023">
        <v>72.72</v>
      </c>
      <c r="F261" s="3022">
        <v>18000</v>
      </c>
      <c r="G261" s="3026">
        <f t="shared" si="4"/>
        <v>130.89599999999999</v>
      </c>
      <c r="H261" s="3027"/>
      <c r="I261" s="3028">
        <v>1</v>
      </c>
      <c r="J261" s="3027"/>
      <c r="K261" s="3027"/>
    </row>
    <row r="262" spans="1:11" s="3029" customFormat="1" ht="14.25">
      <c r="A262" s="3022">
        <v>260</v>
      </c>
      <c r="B262" s="3400"/>
      <c r="C262" s="3023" t="s">
        <v>3448</v>
      </c>
      <c r="D262" s="3024" t="s">
        <v>3188</v>
      </c>
      <c r="E262" s="3023">
        <v>78.09</v>
      </c>
      <c r="F262" s="3022">
        <v>18000</v>
      </c>
      <c r="G262" s="3026">
        <f t="shared" si="4"/>
        <v>140.56200000000001</v>
      </c>
      <c r="H262" s="3027"/>
      <c r="I262" s="3028">
        <v>1</v>
      </c>
      <c r="J262" s="3027"/>
      <c r="K262" s="3027"/>
    </row>
    <row r="263" spans="1:11" s="3029" customFormat="1" ht="14.25">
      <c r="A263" s="3022">
        <v>261</v>
      </c>
      <c r="B263" s="3400"/>
      <c r="C263" s="3023" t="s">
        <v>3449</v>
      </c>
      <c r="D263" s="3024" t="s">
        <v>3188</v>
      </c>
      <c r="E263" s="3023">
        <v>84.23</v>
      </c>
      <c r="F263" s="3022">
        <v>18000</v>
      </c>
      <c r="G263" s="3026">
        <f t="shared" si="4"/>
        <v>151.614</v>
      </c>
      <c r="H263" s="3027"/>
      <c r="I263" s="3028">
        <v>1</v>
      </c>
      <c r="J263" s="3027"/>
      <c r="K263" s="3027"/>
    </row>
    <row r="264" spans="1:11" s="3029" customFormat="1" ht="14.25">
      <c r="A264" s="3022">
        <v>262</v>
      </c>
      <c r="B264" s="3400"/>
      <c r="C264" s="3023" t="s">
        <v>3450</v>
      </c>
      <c r="D264" s="3024" t="s">
        <v>3188</v>
      </c>
      <c r="E264" s="3023">
        <v>84.23</v>
      </c>
      <c r="F264" s="3022">
        <v>18000</v>
      </c>
      <c r="G264" s="3026">
        <f t="shared" si="4"/>
        <v>151.614</v>
      </c>
      <c r="H264" s="3027"/>
      <c r="I264" s="3028">
        <v>1</v>
      </c>
      <c r="J264" s="3027"/>
      <c r="K264" s="3027"/>
    </row>
    <row r="265" spans="1:11" s="3029" customFormat="1" ht="14.25">
      <c r="A265" s="3022">
        <v>263</v>
      </c>
      <c r="B265" s="3400"/>
      <c r="C265" s="3023" t="s">
        <v>3451</v>
      </c>
      <c r="D265" s="3024" t="s">
        <v>3188</v>
      </c>
      <c r="E265" s="3023">
        <v>84.23</v>
      </c>
      <c r="F265" s="3022">
        <v>18000</v>
      </c>
      <c r="G265" s="3026">
        <f t="shared" si="4"/>
        <v>151.614</v>
      </c>
      <c r="H265" s="3027"/>
      <c r="I265" s="3028">
        <v>1</v>
      </c>
      <c r="J265" s="3027"/>
      <c r="K265" s="3027"/>
    </row>
    <row r="266" spans="1:11" s="3029" customFormat="1" ht="14.25">
      <c r="A266" s="3022">
        <v>264</v>
      </c>
      <c r="B266" s="3400"/>
      <c r="C266" s="3023" t="s">
        <v>3452</v>
      </c>
      <c r="D266" s="3024" t="s">
        <v>3188</v>
      </c>
      <c r="E266" s="3023">
        <v>63.12</v>
      </c>
      <c r="F266" s="3022">
        <v>18000</v>
      </c>
      <c r="G266" s="3026">
        <f t="shared" si="4"/>
        <v>113.616</v>
      </c>
      <c r="H266" s="3027"/>
      <c r="I266" s="3028">
        <v>1</v>
      </c>
      <c r="J266" s="3027"/>
      <c r="K266" s="3027"/>
    </row>
    <row r="267" spans="1:11" s="3029" customFormat="1" ht="14.25">
      <c r="A267" s="3022">
        <v>265</v>
      </c>
      <c r="B267" s="3400"/>
      <c r="C267" s="3023" t="s">
        <v>3453</v>
      </c>
      <c r="D267" s="3024" t="s">
        <v>3188</v>
      </c>
      <c r="E267" s="3023">
        <v>61.68</v>
      </c>
      <c r="F267" s="3022">
        <v>18000</v>
      </c>
      <c r="G267" s="3026">
        <f t="shared" si="4"/>
        <v>111.024</v>
      </c>
      <c r="H267" s="3027"/>
      <c r="I267" s="3028">
        <v>1</v>
      </c>
      <c r="J267" s="3027"/>
      <c r="K267" s="3027"/>
    </row>
    <row r="268" spans="1:11" s="3029" customFormat="1" ht="14.25">
      <c r="A268" s="3022">
        <v>266</v>
      </c>
      <c r="B268" s="3400"/>
      <c r="C268" s="3023" t="s">
        <v>3454</v>
      </c>
      <c r="D268" s="3024" t="s">
        <v>3188</v>
      </c>
      <c r="E268" s="3023">
        <v>61.68</v>
      </c>
      <c r="F268" s="3022">
        <v>18000</v>
      </c>
      <c r="G268" s="3026">
        <f t="shared" si="4"/>
        <v>111.024</v>
      </c>
      <c r="H268" s="3027"/>
      <c r="I268" s="3028">
        <v>1</v>
      </c>
      <c r="J268" s="3027"/>
      <c r="K268" s="3027"/>
    </row>
    <row r="269" spans="1:11" s="3029" customFormat="1" ht="14.25">
      <c r="A269" s="3022">
        <v>267</v>
      </c>
      <c r="B269" s="3400"/>
      <c r="C269" s="3023" t="s">
        <v>3455</v>
      </c>
      <c r="D269" s="3024" t="s">
        <v>3188</v>
      </c>
      <c r="E269" s="3023">
        <v>63.12</v>
      </c>
      <c r="F269" s="3022">
        <v>18000</v>
      </c>
      <c r="G269" s="3026">
        <f t="shared" si="4"/>
        <v>113.616</v>
      </c>
      <c r="H269" s="3027"/>
      <c r="I269" s="3028">
        <v>1</v>
      </c>
      <c r="J269" s="3027"/>
      <c r="K269" s="3027"/>
    </row>
    <row r="270" spans="1:11" s="3029" customFormat="1" ht="14.25">
      <c r="A270" s="3022">
        <v>268</v>
      </c>
      <c r="B270" s="3400"/>
      <c r="C270" s="3023" t="s">
        <v>3456</v>
      </c>
      <c r="D270" s="3024" t="s">
        <v>3188</v>
      </c>
      <c r="E270" s="3023">
        <v>63.12</v>
      </c>
      <c r="F270" s="3022">
        <v>18000</v>
      </c>
      <c r="G270" s="3026">
        <f t="shared" si="4"/>
        <v>113.616</v>
      </c>
      <c r="H270" s="3027"/>
      <c r="I270" s="3028">
        <v>1</v>
      </c>
      <c r="J270" s="3027"/>
      <c r="K270" s="3027"/>
    </row>
    <row r="271" spans="1:11" s="3029" customFormat="1" ht="14.25">
      <c r="A271" s="3022">
        <v>269</v>
      </c>
      <c r="B271" s="3400"/>
      <c r="C271" s="3023" t="s">
        <v>3457</v>
      </c>
      <c r="D271" s="3024" t="s">
        <v>3188</v>
      </c>
      <c r="E271" s="3023">
        <v>61.68</v>
      </c>
      <c r="F271" s="3022">
        <v>18000</v>
      </c>
      <c r="G271" s="3026">
        <f t="shared" si="4"/>
        <v>111.024</v>
      </c>
      <c r="H271" s="3027"/>
      <c r="I271" s="3028">
        <v>1</v>
      </c>
      <c r="J271" s="3027"/>
      <c r="K271" s="3027"/>
    </row>
    <row r="272" spans="1:11" s="3029" customFormat="1" ht="14.25">
      <c r="A272" s="3022">
        <v>270</v>
      </c>
      <c r="B272" s="3400"/>
      <c r="C272" s="3023" t="s">
        <v>3458</v>
      </c>
      <c r="D272" s="3024" t="s">
        <v>3188</v>
      </c>
      <c r="E272" s="3023">
        <v>61.68</v>
      </c>
      <c r="F272" s="3022">
        <v>18000</v>
      </c>
      <c r="G272" s="3026">
        <f t="shared" si="4"/>
        <v>111.024</v>
      </c>
      <c r="H272" s="3027"/>
      <c r="I272" s="3028">
        <v>1</v>
      </c>
      <c r="J272" s="3027"/>
      <c r="K272" s="3027"/>
    </row>
    <row r="273" spans="1:12" s="3029" customFormat="1" ht="14.25">
      <c r="A273" s="3022">
        <v>271</v>
      </c>
      <c r="B273" s="3400"/>
      <c r="C273" s="3023" t="s">
        <v>3459</v>
      </c>
      <c r="D273" s="3024" t="s">
        <v>3188</v>
      </c>
      <c r="E273" s="3023">
        <v>61.68</v>
      </c>
      <c r="F273" s="3022">
        <v>18000</v>
      </c>
      <c r="G273" s="3026">
        <f t="shared" si="4"/>
        <v>111.024</v>
      </c>
      <c r="H273" s="3027"/>
      <c r="I273" s="3028">
        <v>1</v>
      </c>
      <c r="J273" s="3027"/>
      <c r="K273" s="3027"/>
    </row>
    <row r="274" spans="1:12" s="3029" customFormat="1" ht="14.25">
      <c r="A274" s="3022">
        <v>272</v>
      </c>
      <c r="B274" s="3400"/>
      <c r="C274" s="3032" t="s">
        <v>3460</v>
      </c>
      <c r="D274" s="3033" t="s">
        <v>3188</v>
      </c>
      <c r="E274" s="3032">
        <v>63.12</v>
      </c>
      <c r="F274" s="3034">
        <v>18000</v>
      </c>
      <c r="G274" s="3026">
        <f t="shared" si="4"/>
        <v>113.616</v>
      </c>
      <c r="H274" s="3030"/>
      <c r="I274" s="3035">
        <v>1</v>
      </c>
      <c r="J274" s="3030"/>
      <c r="K274" s="3030"/>
      <c r="L274" s="3029">
        <f>SUM(E91:E274)</f>
        <v>14210.390000000001</v>
      </c>
    </row>
    <row r="275" spans="1:12">
      <c r="A275" s="3036">
        <v>273</v>
      </c>
      <c r="B275" s="3401" t="s">
        <v>3461</v>
      </c>
      <c r="C275" s="3037" t="s">
        <v>3462</v>
      </c>
      <c r="D275" s="3038" t="s">
        <v>3188</v>
      </c>
      <c r="E275" s="3036">
        <v>70.47</v>
      </c>
      <c r="F275" s="3036">
        <v>18000</v>
      </c>
      <c r="G275" s="3039">
        <f>E275*F275/10000</f>
        <v>126.846</v>
      </c>
      <c r="H275" s="3040"/>
      <c r="I275" s="3041">
        <v>1</v>
      </c>
      <c r="J275" s="3040"/>
      <c r="K275" s="3040"/>
    </row>
    <row r="276" spans="1:12">
      <c r="A276" s="3036">
        <v>274</v>
      </c>
      <c r="B276" s="3402"/>
      <c r="C276" s="3037" t="s">
        <v>3463</v>
      </c>
      <c r="D276" s="3038" t="s">
        <v>3188</v>
      </c>
      <c r="E276" s="3036">
        <v>93.67</v>
      </c>
      <c r="F276" s="3036">
        <v>18000</v>
      </c>
      <c r="G276" s="3039">
        <f t="shared" ref="G276:G339" si="5">E276*F276/10000</f>
        <v>168.60599999999999</v>
      </c>
      <c r="H276" s="3040"/>
      <c r="I276" s="3041">
        <v>1</v>
      </c>
      <c r="J276" s="3040"/>
      <c r="K276" s="3040"/>
    </row>
    <row r="277" spans="1:12">
      <c r="A277" s="3036">
        <v>275</v>
      </c>
      <c r="B277" s="3402"/>
      <c r="C277" s="3037" t="s">
        <v>3464</v>
      </c>
      <c r="D277" s="3038" t="s">
        <v>3188</v>
      </c>
      <c r="E277" s="3036">
        <v>150.28</v>
      </c>
      <c r="F277" s="3036">
        <v>18000</v>
      </c>
      <c r="G277" s="3039">
        <f t="shared" si="5"/>
        <v>270.50400000000002</v>
      </c>
      <c r="H277" s="3040"/>
      <c r="I277" s="3041">
        <v>1</v>
      </c>
      <c r="J277" s="3040"/>
      <c r="K277" s="3040"/>
    </row>
    <row r="278" spans="1:12">
      <c r="A278" s="3036">
        <v>276</v>
      </c>
      <c r="B278" s="3402"/>
      <c r="C278" s="3037" t="s">
        <v>3465</v>
      </c>
      <c r="D278" s="3038" t="s">
        <v>3188</v>
      </c>
      <c r="E278" s="3036">
        <v>137.15</v>
      </c>
      <c r="F278" s="3036">
        <v>18000</v>
      </c>
      <c r="G278" s="3039">
        <f t="shared" si="5"/>
        <v>246.87</v>
      </c>
      <c r="H278" s="3040"/>
      <c r="I278" s="3041">
        <v>1</v>
      </c>
      <c r="J278" s="3040"/>
      <c r="K278" s="3040"/>
    </row>
    <row r="279" spans="1:12">
      <c r="A279" s="3036">
        <v>277</v>
      </c>
      <c r="B279" s="3402"/>
      <c r="C279" s="3037" t="s">
        <v>3466</v>
      </c>
      <c r="D279" s="3038" t="s">
        <v>3188</v>
      </c>
      <c r="E279" s="3036">
        <v>192.7</v>
      </c>
      <c r="F279" s="3036">
        <v>18000</v>
      </c>
      <c r="G279" s="3039">
        <f t="shared" si="5"/>
        <v>346.86</v>
      </c>
      <c r="H279" s="3040"/>
      <c r="I279" s="3041">
        <v>1</v>
      </c>
      <c r="J279" s="3040"/>
      <c r="K279" s="3040"/>
    </row>
    <row r="280" spans="1:12">
      <c r="A280" s="3036">
        <v>278</v>
      </c>
      <c r="B280" s="3402"/>
      <c r="C280" s="3037" t="s">
        <v>3467</v>
      </c>
      <c r="D280" s="3038" t="s">
        <v>3188</v>
      </c>
      <c r="E280" s="3036">
        <v>112.39</v>
      </c>
      <c r="F280" s="3036">
        <v>18000</v>
      </c>
      <c r="G280" s="3039">
        <f t="shared" si="5"/>
        <v>202.30199999999999</v>
      </c>
      <c r="H280" s="3040"/>
      <c r="I280" s="3041">
        <v>1</v>
      </c>
      <c r="J280" s="3040"/>
      <c r="K280" s="3040"/>
    </row>
    <row r="281" spans="1:12">
      <c r="A281" s="3036">
        <v>279</v>
      </c>
      <c r="B281" s="3402"/>
      <c r="C281" s="3037" t="s">
        <v>3468</v>
      </c>
      <c r="D281" s="3038" t="s">
        <v>3188</v>
      </c>
      <c r="E281" s="3036">
        <v>81.91</v>
      </c>
      <c r="F281" s="3036">
        <v>18000</v>
      </c>
      <c r="G281" s="3039">
        <f t="shared" si="5"/>
        <v>147.43799999999999</v>
      </c>
      <c r="H281" s="3040"/>
      <c r="I281" s="3041">
        <v>1</v>
      </c>
      <c r="J281" s="3040"/>
      <c r="K281" s="3040"/>
    </row>
    <row r="282" spans="1:12">
      <c r="A282" s="3036">
        <v>280</v>
      </c>
      <c r="B282" s="3402"/>
      <c r="C282" s="3037" t="s">
        <v>3469</v>
      </c>
      <c r="D282" s="3038" t="s">
        <v>3188</v>
      </c>
      <c r="E282" s="3036">
        <v>86.42</v>
      </c>
      <c r="F282" s="3036">
        <v>18000</v>
      </c>
      <c r="G282" s="3039">
        <f t="shared" si="5"/>
        <v>155.55600000000001</v>
      </c>
      <c r="H282" s="3040"/>
      <c r="I282" s="3041">
        <v>1</v>
      </c>
      <c r="J282" s="3040"/>
      <c r="K282" s="3040"/>
    </row>
    <row r="283" spans="1:12">
      <c r="A283" s="3036">
        <v>281</v>
      </c>
      <c r="B283" s="3402"/>
      <c r="C283" s="3037" t="s">
        <v>3470</v>
      </c>
      <c r="D283" s="3038" t="s">
        <v>3188</v>
      </c>
      <c r="E283" s="3036">
        <v>92.74</v>
      </c>
      <c r="F283" s="3036">
        <v>18000</v>
      </c>
      <c r="G283" s="3039">
        <f t="shared" si="5"/>
        <v>166.93199999999999</v>
      </c>
      <c r="H283" s="3040"/>
      <c r="I283" s="3041">
        <v>1</v>
      </c>
      <c r="J283" s="3040"/>
      <c r="K283" s="3040"/>
    </row>
    <row r="284" spans="1:12">
      <c r="A284" s="3036">
        <v>282</v>
      </c>
      <c r="B284" s="3402"/>
      <c r="C284" s="3037" t="s">
        <v>3471</v>
      </c>
      <c r="D284" s="3038" t="s">
        <v>3188</v>
      </c>
      <c r="E284" s="3036">
        <v>92.74</v>
      </c>
      <c r="F284" s="3036">
        <v>18000</v>
      </c>
      <c r="G284" s="3039">
        <f t="shared" si="5"/>
        <v>166.93199999999999</v>
      </c>
      <c r="H284" s="3040"/>
      <c r="I284" s="3041">
        <v>1</v>
      </c>
      <c r="J284" s="3040"/>
      <c r="K284" s="3040"/>
    </row>
    <row r="285" spans="1:12">
      <c r="A285" s="3036">
        <v>283</v>
      </c>
      <c r="B285" s="3402"/>
      <c r="C285" s="3037" t="s">
        <v>3472</v>
      </c>
      <c r="D285" s="3038" t="s">
        <v>3188</v>
      </c>
      <c r="E285" s="3036">
        <v>88.53</v>
      </c>
      <c r="F285" s="3036">
        <v>18000</v>
      </c>
      <c r="G285" s="3039">
        <f t="shared" si="5"/>
        <v>159.35400000000001</v>
      </c>
      <c r="H285" s="3040"/>
      <c r="I285" s="3041">
        <v>1</v>
      </c>
      <c r="J285" s="3040"/>
      <c r="K285" s="3040"/>
    </row>
    <row r="286" spans="1:12">
      <c r="A286" s="3036">
        <v>284</v>
      </c>
      <c r="B286" s="3402"/>
      <c r="C286" s="3037" t="s">
        <v>3473</v>
      </c>
      <c r="D286" s="3038" t="s">
        <v>3188</v>
      </c>
      <c r="E286" s="3036">
        <v>81.540000000000006</v>
      </c>
      <c r="F286" s="3036">
        <v>18000</v>
      </c>
      <c r="G286" s="3039">
        <f t="shared" si="5"/>
        <v>146.77199999999999</v>
      </c>
      <c r="H286" s="3040"/>
      <c r="I286" s="3041">
        <v>1</v>
      </c>
      <c r="J286" s="3040"/>
      <c r="K286" s="3040"/>
    </row>
    <row r="287" spans="1:12">
      <c r="A287" s="3036">
        <v>285</v>
      </c>
      <c r="B287" s="3402"/>
      <c r="C287" s="3037" t="s">
        <v>3474</v>
      </c>
      <c r="D287" s="3038" t="s">
        <v>3188</v>
      </c>
      <c r="E287" s="3036">
        <v>71</v>
      </c>
      <c r="F287" s="3036">
        <v>18000</v>
      </c>
      <c r="G287" s="3039">
        <f t="shared" si="5"/>
        <v>127.8</v>
      </c>
      <c r="H287" s="3040"/>
      <c r="I287" s="3041">
        <v>1</v>
      </c>
      <c r="J287" s="3040"/>
      <c r="K287" s="3040"/>
    </row>
    <row r="288" spans="1:12">
      <c r="A288" s="3036">
        <v>286</v>
      </c>
      <c r="B288" s="3402"/>
      <c r="C288" s="3037" t="s">
        <v>3475</v>
      </c>
      <c r="D288" s="3038" t="s">
        <v>3188</v>
      </c>
      <c r="E288" s="3036">
        <v>86.97</v>
      </c>
      <c r="F288" s="3036">
        <v>18000</v>
      </c>
      <c r="G288" s="3039">
        <f t="shared" si="5"/>
        <v>156.54599999999999</v>
      </c>
      <c r="H288" s="3040"/>
      <c r="I288" s="3041">
        <v>1</v>
      </c>
      <c r="J288" s="3040"/>
      <c r="K288" s="3040"/>
    </row>
    <row r="289" spans="1:11">
      <c r="A289" s="3036">
        <v>287</v>
      </c>
      <c r="B289" s="3402"/>
      <c r="C289" s="3037" t="s">
        <v>3476</v>
      </c>
      <c r="D289" s="3038" t="s">
        <v>3188</v>
      </c>
      <c r="E289" s="3036">
        <v>112.62</v>
      </c>
      <c r="F289" s="3036">
        <v>18000</v>
      </c>
      <c r="G289" s="3039">
        <f t="shared" si="5"/>
        <v>202.71600000000001</v>
      </c>
      <c r="H289" s="3040"/>
      <c r="I289" s="3041">
        <v>1</v>
      </c>
      <c r="J289" s="3040"/>
      <c r="K289" s="3040"/>
    </row>
    <row r="290" spans="1:11">
      <c r="A290" s="3036">
        <v>288</v>
      </c>
      <c r="B290" s="3402"/>
      <c r="C290" s="3037" t="s">
        <v>3477</v>
      </c>
      <c r="D290" s="3038" t="s">
        <v>3188</v>
      </c>
      <c r="E290" s="3036">
        <v>136.27000000000001</v>
      </c>
      <c r="F290" s="3036">
        <v>18000</v>
      </c>
      <c r="G290" s="3039">
        <f t="shared" si="5"/>
        <v>245.286</v>
      </c>
      <c r="H290" s="3040"/>
      <c r="I290" s="3041">
        <v>1</v>
      </c>
      <c r="J290" s="3040"/>
      <c r="K290" s="3040"/>
    </row>
    <row r="291" spans="1:11">
      <c r="A291" s="3036">
        <v>289</v>
      </c>
      <c r="B291" s="3402"/>
      <c r="C291" s="3037" t="s">
        <v>3478</v>
      </c>
      <c r="D291" s="3038" t="s">
        <v>3188</v>
      </c>
      <c r="E291" s="3036">
        <v>110.17</v>
      </c>
      <c r="F291" s="3036">
        <v>18000</v>
      </c>
      <c r="G291" s="3039">
        <f t="shared" si="5"/>
        <v>198.30600000000001</v>
      </c>
      <c r="H291" s="3040"/>
      <c r="I291" s="3041">
        <v>1</v>
      </c>
      <c r="J291" s="3040"/>
      <c r="K291" s="3040"/>
    </row>
    <row r="292" spans="1:11">
      <c r="A292" s="3036">
        <v>290</v>
      </c>
      <c r="B292" s="3402"/>
      <c r="C292" s="3037" t="s">
        <v>3479</v>
      </c>
      <c r="D292" s="3038" t="s">
        <v>3188</v>
      </c>
      <c r="E292" s="3036">
        <v>70.59</v>
      </c>
      <c r="F292" s="3036">
        <v>18000</v>
      </c>
      <c r="G292" s="3039">
        <f t="shared" si="5"/>
        <v>127.062</v>
      </c>
      <c r="H292" s="3040"/>
      <c r="I292" s="3041">
        <v>1</v>
      </c>
      <c r="J292" s="3040"/>
      <c r="K292" s="3040"/>
    </row>
    <row r="293" spans="1:11">
      <c r="A293" s="3036">
        <v>291</v>
      </c>
      <c r="B293" s="3402"/>
      <c r="C293" s="3037" t="s">
        <v>3480</v>
      </c>
      <c r="D293" s="3038" t="s">
        <v>3188</v>
      </c>
      <c r="E293" s="3036">
        <v>90.39</v>
      </c>
      <c r="F293" s="3036">
        <v>18000</v>
      </c>
      <c r="G293" s="3039">
        <f t="shared" si="5"/>
        <v>162.702</v>
      </c>
      <c r="H293" s="3040"/>
      <c r="I293" s="3041">
        <v>1</v>
      </c>
      <c r="J293" s="3040"/>
      <c r="K293" s="3040"/>
    </row>
    <row r="294" spans="1:11">
      <c r="A294" s="3036">
        <v>292</v>
      </c>
      <c r="B294" s="3402"/>
      <c r="C294" s="3037" t="s">
        <v>3481</v>
      </c>
      <c r="D294" s="3038" t="s">
        <v>3188</v>
      </c>
      <c r="E294" s="3036">
        <v>217.41</v>
      </c>
      <c r="F294" s="3036">
        <v>18000</v>
      </c>
      <c r="G294" s="3039">
        <f t="shared" si="5"/>
        <v>391.33800000000002</v>
      </c>
      <c r="H294" s="3040"/>
      <c r="I294" s="3041">
        <v>1</v>
      </c>
      <c r="J294" s="3040"/>
      <c r="K294" s="3040"/>
    </row>
    <row r="295" spans="1:11">
      <c r="A295" s="3036">
        <v>293</v>
      </c>
      <c r="B295" s="3402"/>
      <c r="C295" s="3037" t="s">
        <v>3482</v>
      </c>
      <c r="D295" s="3038" t="s">
        <v>3188</v>
      </c>
      <c r="E295" s="3036">
        <v>217.41</v>
      </c>
      <c r="F295" s="3036">
        <v>18000</v>
      </c>
      <c r="G295" s="3039">
        <f t="shared" si="5"/>
        <v>391.33800000000002</v>
      </c>
      <c r="H295" s="3040"/>
      <c r="I295" s="3041">
        <v>1</v>
      </c>
      <c r="J295" s="3040"/>
      <c r="K295" s="3040"/>
    </row>
    <row r="296" spans="1:11">
      <c r="A296" s="3036">
        <v>294</v>
      </c>
      <c r="B296" s="3402"/>
      <c r="C296" s="3037" t="s">
        <v>3483</v>
      </c>
      <c r="D296" s="3038" t="s">
        <v>3188</v>
      </c>
      <c r="E296" s="3036">
        <v>217.41</v>
      </c>
      <c r="F296" s="3036">
        <v>18000</v>
      </c>
      <c r="G296" s="3039">
        <f t="shared" si="5"/>
        <v>391.33800000000002</v>
      </c>
      <c r="H296" s="3040"/>
      <c r="I296" s="3041">
        <v>1</v>
      </c>
      <c r="J296" s="3040"/>
      <c r="K296" s="3040"/>
    </row>
    <row r="297" spans="1:11">
      <c r="A297" s="3036">
        <v>295</v>
      </c>
      <c r="B297" s="3402"/>
      <c r="C297" s="3037" t="s">
        <v>3484</v>
      </c>
      <c r="D297" s="3038" t="s">
        <v>3188</v>
      </c>
      <c r="E297" s="3036">
        <v>217.41</v>
      </c>
      <c r="F297" s="3036">
        <v>18000</v>
      </c>
      <c r="G297" s="3039">
        <f t="shared" si="5"/>
        <v>391.33800000000002</v>
      </c>
      <c r="H297" s="3040"/>
      <c r="I297" s="3041">
        <v>1</v>
      </c>
      <c r="J297" s="3040"/>
      <c r="K297" s="3040"/>
    </row>
    <row r="298" spans="1:11">
      <c r="A298" s="3036">
        <v>296</v>
      </c>
      <c r="B298" s="3402"/>
      <c r="C298" s="3037" t="s">
        <v>3485</v>
      </c>
      <c r="D298" s="3038" t="s">
        <v>3188</v>
      </c>
      <c r="E298" s="3036">
        <v>217.41</v>
      </c>
      <c r="F298" s="3036">
        <v>18000</v>
      </c>
      <c r="G298" s="3039">
        <f t="shared" si="5"/>
        <v>391.33800000000002</v>
      </c>
      <c r="H298" s="3040"/>
      <c r="I298" s="3041">
        <v>1</v>
      </c>
      <c r="J298" s="3040"/>
      <c r="K298" s="3040"/>
    </row>
    <row r="299" spans="1:11">
      <c r="A299" s="3036">
        <v>297</v>
      </c>
      <c r="B299" s="3402"/>
      <c r="C299" s="3037" t="s">
        <v>3486</v>
      </c>
      <c r="D299" s="3038" t="s">
        <v>3188</v>
      </c>
      <c r="E299" s="3036">
        <v>97.88</v>
      </c>
      <c r="F299" s="3036">
        <v>18000</v>
      </c>
      <c r="G299" s="3039">
        <f t="shared" si="5"/>
        <v>176.184</v>
      </c>
      <c r="H299" s="3040"/>
      <c r="I299" s="3041">
        <v>1</v>
      </c>
      <c r="J299" s="3040"/>
      <c r="K299" s="3040"/>
    </row>
    <row r="300" spans="1:11">
      <c r="A300" s="3036">
        <v>298</v>
      </c>
      <c r="B300" s="3402"/>
      <c r="C300" s="3037" t="s">
        <v>3487</v>
      </c>
      <c r="D300" s="3038" t="s">
        <v>3188</v>
      </c>
      <c r="E300" s="3036">
        <v>197.8</v>
      </c>
      <c r="F300" s="3036">
        <v>18000</v>
      </c>
      <c r="G300" s="3039">
        <f t="shared" si="5"/>
        <v>356.04</v>
      </c>
      <c r="H300" s="3040"/>
      <c r="I300" s="3041">
        <v>1</v>
      </c>
      <c r="J300" s="3040"/>
      <c r="K300" s="3040"/>
    </row>
    <row r="301" spans="1:11">
      <c r="A301" s="3036">
        <v>299</v>
      </c>
      <c r="B301" s="3402"/>
      <c r="C301" s="3037" t="s">
        <v>3488</v>
      </c>
      <c r="D301" s="3038" t="s">
        <v>3188</v>
      </c>
      <c r="E301" s="3036">
        <v>122.38</v>
      </c>
      <c r="F301" s="3036">
        <v>18000</v>
      </c>
      <c r="G301" s="3039">
        <f t="shared" si="5"/>
        <v>220.28399999999999</v>
      </c>
      <c r="H301" s="3040"/>
      <c r="I301" s="3041">
        <v>1</v>
      </c>
      <c r="J301" s="3040"/>
      <c r="K301" s="3040"/>
    </row>
    <row r="302" spans="1:11">
      <c r="A302" s="3036">
        <v>300</v>
      </c>
      <c r="B302" s="3402"/>
      <c r="C302" s="3037" t="s">
        <v>3489</v>
      </c>
      <c r="D302" s="3038" t="s">
        <v>3188</v>
      </c>
      <c r="E302" s="3036">
        <v>77.650000000000006</v>
      </c>
      <c r="F302" s="3036">
        <v>18000</v>
      </c>
      <c r="G302" s="3039">
        <f t="shared" si="5"/>
        <v>139.77000000000001</v>
      </c>
      <c r="H302" s="3040"/>
      <c r="I302" s="3041">
        <v>1</v>
      </c>
      <c r="J302" s="3040"/>
      <c r="K302" s="3040"/>
    </row>
    <row r="303" spans="1:11">
      <c r="A303" s="3036">
        <v>301</v>
      </c>
      <c r="B303" s="3402"/>
      <c r="C303" s="3037" t="s">
        <v>3490</v>
      </c>
      <c r="D303" s="3038" t="s">
        <v>3188</v>
      </c>
      <c r="E303" s="3036">
        <v>81.349999999999994</v>
      </c>
      <c r="F303" s="3036">
        <v>18000</v>
      </c>
      <c r="G303" s="3039">
        <f t="shared" si="5"/>
        <v>146.43</v>
      </c>
      <c r="H303" s="3040"/>
      <c r="I303" s="3041">
        <v>1</v>
      </c>
      <c r="J303" s="3040"/>
      <c r="K303" s="3040"/>
    </row>
    <row r="304" spans="1:11">
      <c r="A304" s="3036">
        <v>302</v>
      </c>
      <c r="B304" s="3402"/>
      <c r="C304" s="3037" t="s">
        <v>3491</v>
      </c>
      <c r="D304" s="3038" t="s">
        <v>3188</v>
      </c>
      <c r="E304" s="3036">
        <v>81.349999999999994</v>
      </c>
      <c r="F304" s="3036">
        <v>18000</v>
      </c>
      <c r="G304" s="3039">
        <f t="shared" si="5"/>
        <v>146.43</v>
      </c>
      <c r="H304" s="3040"/>
      <c r="I304" s="3041">
        <v>1</v>
      </c>
      <c r="J304" s="3040"/>
      <c r="K304" s="3040"/>
    </row>
    <row r="305" spans="1:11">
      <c r="A305" s="3036">
        <v>303</v>
      </c>
      <c r="B305" s="3402"/>
      <c r="C305" s="3037" t="s">
        <v>3492</v>
      </c>
      <c r="D305" s="3038" t="s">
        <v>3188</v>
      </c>
      <c r="E305" s="3036">
        <v>75.77</v>
      </c>
      <c r="F305" s="3036">
        <v>18000</v>
      </c>
      <c r="G305" s="3039">
        <f t="shared" si="5"/>
        <v>136.386</v>
      </c>
      <c r="H305" s="3040"/>
      <c r="I305" s="3041">
        <v>1</v>
      </c>
      <c r="J305" s="3040"/>
      <c r="K305" s="3040"/>
    </row>
    <row r="306" spans="1:11">
      <c r="A306" s="3036">
        <v>304</v>
      </c>
      <c r="B306" s="3402"/>
      <c r="C306" s="3037" t="s">
        <v>3493</v>
      </c>
      <c r="D306" s="3038" t="s">
        <v>3188</v>
      </c>
      <c r="E306" s="3036">
        <v>60.58</v>
      </c>
      <c r="F306" s="3036">
        <v>18000</v>
      </c>
      <c r="G306" s="3039">
        <f t="shared" si="5"/>
        <v>109.044</v>
      </c>
      <c r="H306" s="3040"/>
      <c r="I306" s="3041">
        <v>1</v>
      </c>
      <c r="J306" s="3040"/>
      <c r="K306" s="3040"/>
    </row>
    <row r="307" spans="1:11">
      <c r="A307" s="3036">
        <v>305</v>
      </c>
      <c r="B307" s="3402"/>
      <c r="C307" s="3037" t="s">
        <v>3494</v>
      </c>
      <c r="D307" s="3038" t="s">
        <v>3188</v>
      </c>
      <c r="E307" s="3036">
        <v>156.29</v>
      </c>
      <c r="F307" s="3036">
        <v>18000</v>
      </c>
      <c r="G307" s="3039">
        <f t="shared" si="5"/>
        <v>281.322</v>
      </c>
      <c r="H307" s="3040"/>
      <c r="I307" s="3041">
        <v>1</v>
      </c>
      <c r="J307" s="3040"/>
      <c r="K307" s="3040"/>
    </row>
    <row r="308" spans="1:11">
      <c r="A308" s="3036">
        <v>306</v>
      </c>
      <c r="B308" s="3402"/>
      <c r="C308" s="3037" t="s">
        <v>3495</v>
      </c>
      <c r="D308" s="3038" t="s">
        <v>3188</v>
      </c>
      <c r="E308" s="3036">
        <v>125.56</v>
      </c>
      <c r="F308" s="3036">
        <v>18000</v>
      </c>
      <c r="G308" s="3039">
        <f t="shared" si="5"/>
        <v>226.00800000000001</v>
      </c>
      <c r="H308" s="3040"/>
      <c r="I308" s="3041">
        <v>1</v>
      </c>
      <c r="J308" s="3040"/>
      <c r="K308" s="3040"/>
    </row>
    <row r="309" spans="1:11">
      <c r="A309" s="3036">
        <v>307</v>
      </c>
      <c r="B309" s="3402"/>
      <c r="C309" s="3037" t="s">
        <v>3496</v>
      </c>
      <c r="D309" s="3038" t="s">
        <v>3188</v>
      </c>
      <c r="E309" s="3036">
        <v>173.23</v>
      </c>
      <c r="F309" s="3036">
        <v>18000</v>
      </c>
      <c r="G309" s="3039">
        <f t="shared" si="5"/>
        <v>311.81400000000002</v>
      </c>
      <c r="H309" s="3040"/>
      <c r="I309" s="3041">
        <v>1</v>
      </c>
      <c r="J309" s="3040"/>
      <c r="K309" s="3040"/>
    </row>
    <row r="310" spans="1:11">
      <c r="A310" s="3036">
        <v>308</v>
      </c>
      <c r="B310" s="3402"/>
      <c r="C310" s="3037" t="s">
        <v>3497</v>
      </c>
      <c r="D310" s="3038" t="s">
        <v>3188</v>
      </c>
      <c r="E310" s="3036">
        <v>96.28</v>
      </c>
      <c r="F310" s="3036">
        <v>18000</v>
      </c>
      <c r="G310" s="3039">
        <f t="shared" si="5"/>
        <v>173.304</v>
      </c>
      <c r="H310" s="3040"/>
      <c r="I310" s="3041">
        <v>1</v>
      </c>
      <c r="J310" s="3040"/>
      <c r="K310" s="3040"/>
    </row>
    <row r="311" spans="1:11">
      <c r="A311" s="3036">
        <v>309</v>
      </c>
      <c r="B311" s="3402"/>
      <c r="C311" s="3037" t="s">
        <v>3498</v>
      </c>
      <c r="D311" s="3038" t="s">
        <v>3188</v>
      </c>
      <c r="E311" s="3036">
        <v>77.099999999999994</v>
      </c>
      <c r="F311" s="3036">
        <v>18000</v>
      </c>
      <c r="G311" s="3039">
        <f t="shared" si="5"/>
        <v>138.78</v>
      </c>
      <c r="H311" s="3040"/>
      <c r="I311" s="3041">
        <v>1</v>
      </c>
      <c r="J311" s="3040"/>
      <c r="K311" s="3040"/>
    </row>
    <row r="312" spans="1:11">
      <c r="A312" s="3036">
        <v>310</v>
      </c>
      <c r="B312" s="3402"/>
      <c r="C312" s="3037" t="s">
        <v>3228</v>
      </c>
      <c r="D312" s="3038" t="s">
        <v>3188</v>
      </c>
      <c r="E312" s="3036">
        <v>4090.55</v>
      </c>
      <c r="F312" s="3036">
        <v>18000</v>
      </c>
      <c r="G312" s="3039">
        <f t="shared" si="5"/>
        <v>7362.99</v>
      </c>
      <c r="H312" s="3040"/>
      <c r="I312" s="3041">
        <v>1</v>
      </c>
      <c r="J312" s="3040"/>
      <c r="K312" s="3040"/>
    </row>
    <row r="313" spans="1:11">
      <c r="A313" s="3036">
        <v>311</v>
      </c>
      <c r="B313" s="3402"/>
      <c r="C313" s="3037" t="s">
        <v>3499</v>
      </c>
      <c r="D313" s="3038" t="s">
        <v>3188</v>
      </c>
      <c r="E313" s="3036">
        <v>22.49</v>
      </c>
      <c r="F313" s="3036">
        <v>18000</v>
      </c>
      <c r="G313" s="3039">
        <f t="shared" si="5"/>
        <v>40.481999999999999</v>
      </c>
      <c r="H313" s="3040"/>
      <c r="I313" s="3041">
        <v>1</v>
      </c>
      <c r="J313" s="3040"/>
      <c r="K313" s="3040"/>
    </row>
    <row r="314" spans="1:11">
      <c r="A314" s="3036">
        <v>312</v>
      </c>
      <c r="B314" s="3402"/>
      <c r="C314" s="3037" t="s">
        <v>3500</v>
      </c>
      <c r="D314" s="3038" t="s">
        <v>3188</v>
      </c>
      <c r="E314" s="3036">
        <v>61.92</v>
      </c>
      <c r="F314" s="3036">
        <v>18000</v>
      </c>
      <c r="G314" s="3039">
        <f t="shared" si="5"/>
        <v>111.456</v>
      </c>
      <c r="H314" s="3040"/>
      <c r="I314" s="3041">
        <v>1</v>
      </c>
      <c r="J314" s="3040"/>
      <c r="K314" s="3040"/>
    </row>
    <row r="315" spans="1:11">
      <c r="A315" s="3036">
        <v>313</v>
      </c>
      <c r="B315" s="3402"/>
      <c r="C315" s="3037" t="s">
        <v>3501</v>
      </c>
      <c r="D315" s="3038" t="s">
        <v>3188</v>
      </c>
      <c r="E315" s="3036">
        <v>212.37</v>
      </c>
      <c r="F315" s="3036">
        <v>18000</v>
      </c>
      <c r="G315" s="3039">
        <f t="shared" si="5"/>
        <v>382.26600000000002</v>
      </c>
      <c r="H315" s="3042"/>
      <c r="I315" s="3041">
        <v>1</v>
      </c>
      <c r="J315" s="3042"/>
      <c r="K315" s="3042"/>
    </row>
    <row r="316" spans="1:11" ht="14.25">
      <c r="A316" s="3036">
        <v>314</v>
      </c>
      <c r="B316" s="3402"/>
      <c r="C316" s="3037" t="s">
        <v>3502</v>
      </c>
      <c r="D316" s="3038" t="s">
        <v>3188</v>
      </c>
      <c r="E316" s="3036">
        <v>165.56</v>
      </c>
      <c r="F316" s="3036">
        <v>18000</v>
      </c>
      <c r="G316" s="3039">
        <f t="shared" si="5"/>
        <v>298.00799999999998</v>
      </c>
      <c r="H316" s="3005"/>
      <c r="I316" s="3041">
        <v>1</v>
      </c>
      <c r="J316" s="3005"/>
      <c r="K316" s="3005"/>
    </row>
    <row r="317" spans="1:11">
      <c r="A317" s="3036">
        <v>315</v>
      </c>
      <c r="B317" s="3402"/>
      <c r="C317" s="3037" t="s">
        <v>3503</v>
      </c>
      <c r="D317" s="3038" t="s">
        <v>3188</v>
      </c>
      <c r="E317" s="3036">
        <v>165.56</v>
      </c>
      <c r="F317" s="3036">
        <v>18000</v>
      </c>
      <c r="G317" s="3039">
        <f t="shared" si="5"/>
        <v>298.00799999999998</v>
      </c>
      <c r="H317" s="3040"/>
      <c r="I317" s="3041">
        <v>1</v>
      </c>
      <c r="J317" s="3040"/>
      <c r="K317" s="3040"/>
    </row>
    <row r="318" spans="1:11">
      <c r="A318" s="3036">
        <v>316</v>
      </c>
      <c r="B318" s="3402"/>
      <c r="C318" s="3037" t="s">
        <v>3504</v>
      </c>
      <c r="D318" s="3038" t="s">
        <v>3188</v>
      </c>
      <c r="E318" s="3036">
        <v>324.07</v>
      </c>
      <c r="F318" s="3036">
        <v>18000</v>
      </c>
      <c r="G318" s="3039">
        <f t="shared" si="5"/>
        <v>583.32600000000002</v>
      </c>
      <c r="H318" s="3040"/>
      <c r="I318" s="3041">
        <v>1</v>
      </c>
      <c r="J318" s="3040"/>
      <c r="K318" s="3040"/>
    </row>
    <row r="319" spans="1:11">
      <c r="A319" s="3036">
        <v>317</v>
      </c>
      <c r="B319" s="3402"/>
      <c r="C319" s="3037" t="s">
        <v>3505</v>
      </c>
      <c r="D319" s="3038" t="s">
        <v>3188</v>
      </c>
      <c r="E319" s="3036">
        <v>78.430000000000007</v>
      </c>
      <c r="F319" s="3036">
        <v>18000</v>
      </c>
      <c r="G319" s="3039">
        <f t="shared" si="5"/>
        <v>141.17400000000004</v>
      </c>
      <c r="H319" s="3040"/>
      <c r="I319" s="3041">
        <v>1</v>
      </c>
      <c r="J319" s="3040"/>
      <c r="K319" s="3040"/>
    </row>
    <row r="320" spans="1:11">
      <c r="A320" s="3036">
        <v>318</v>
      </c>
      <c r="B320" s="3402"/>
      <c r="C320" s="3037" t="s">
        <v>3506</v>
      </c>
      <c r="D320" s="3038" t="s">
        <v>3188</v>
      </c>
      <c r="E320" s="3036">
        <v>103.96</v>
      </c>
      <c r="F320" s="3036">
        <v>18000</v>
      </c>
      <c r="G320" s="3039">
        <f t="shared" si="5"/>
        <v>187.12799999999999</v>
      </c>
      <c r="H320" s="3040"/>
      <c r="I320" s="3041">
        <v>1</v>
      </c>
      <c r="J320" s="3040"/>
      <c r="K320" s="3040"/>
    </row>
    <row r="321" spans="1:11">
      <c r="A321" s="3036">
        <v>319</v>
      </c>
      <c r="B321" s="3402"/>
      <c r="C321" s="3037" t="s">
        <v>3507</v>
      </c>
      <c r="D321" s="3038" t="s">
        <v>3188</v>
      </c>
      <c r="E321" s="3036">
        <v>92.74</v>
      </c>
      <c r="F321" s="3036">
        <v>18000</v>
      </c>
      <c r="G321" s="3039">
        <f t="shared" si="5"/>
        <v>166.93199999999999</v>
      </c>
      <c r="H321" s="3040"/>
      <c r="I321" s="3041">
        <v>1</v>
      </c>
      <c r="J321" s="3040"/>
      <c r="K321" s="3040"/>
    </row>
    <row r="322" spans="1:11">
      <c r="A322" s="3036">
        <v>320</v>
      </c>
      <c r="B322" s="3402"/>
      <c r="C322" s="3037" t="s">
        <v>3508</v>
      </c>
      <c r="D322" s="3038" t="s">
        <v>3188</v>
      </c>
      <c r="E322" s="3036">
        <v>130.69</v>
      </c>
      <c r="F322" s="3036">
        <v>18000</v>
      </c>
      <c r="G322" s="3039">
        <f t="shared" si="5"/>
        <v>235.24199999999999</v>
      </c>
      <c r="H322" s="3040"/>
      <c r="I322" s="3041">
        <v>1</v>
      </c>
      <c r="J322" s="3040"/>
      <c r="K322" s="3040"/>
    </row>
    <row r="323" spans="1:11">
      <c r="A323" s="3036">
        <v>321</v>
      </c>
      <c r="B323" s="3402"/>
      <c r="C323" s="3037" t="s">
        <v>3509</v>
      </c>
      <c r="D323" s="3038" t="s">
        <v>3188</v>
      </c>
      <c r="E323" s="3036">
        <v>70.400000000000006</v>
      </c>
      <c r="F323" s="3036">
        <v>18000</v>
      </c>
      <c r="G323" s="3039">
        <f t="shared" si="5"/>
        <v>126.72</v>
      </c>
      <c r="H323" s="3040"/>
      <c r="I323" s="3041">
        <v>1</v>
      </c>
      <c r="J323" s="3040"/>
      <c r="K323" s="3040"/>
    </row>
    <row r="324" spans="1:11">
      <c r="A324" s="3036">
        <v>322</v>
      </c>
      <c r="B324" s="3402"/>
      <c r="C324" s="3037" t="s">
        <v>3250</v>
      </c>
      <c r="D324" s="3038" t="s">
        <v>3188</v>
      </c>
      <c r="E324" s="3036">
        <v>134.16</v>
      </c>
      <c r="F324" s="3036">
        <v>18000</v>
      </c>
      <c r="G324" s="3039">
        <f t="shared" si="5"/>
        <v>241.488</v>
      </c>
      <c r="H324" s="3040"/>
      <c r="I324" s="3041">
        <v>1</v>
      </c>
      <c r="J324" s="3040"/>
      <c r="K324" s="3040"/>
    </row>
    <row r="325" spans="1:11">
      <c r="A325" s="3036">
        <v>323</v>
      </c>
      <c r="B325" s="3402"/>
      <c r="C325" s="3037" t="s">
        <v>3510</v>
      </c>
      <c r="D325" s="3038" t="s">
        <v>3188</v>
      </c>
      <c r="E325" s="3036">
        <v>131.51</v>
      </c>
      <c r="F325" s="3036">
        <v>18000</v>
      </c>
      <c r="G325" s="3039">
        <f t="shared" si="5"/>
        <v>236.71799999999999</v>
      </c>
      <c r="H325" s="3040"/>
      <c r="I325" s="3041">
        <v>1</v>
      </c>
      <c r="J325" s="3040"/>
      <c r="K325" s="3040"/>
    </row>
    <row r="326" spans="1:11">
      <c r="A326" s="3036">
        <v>324</v>
      </c>
      <c r="B326" s="3402"/>
      <c r="C326" s="3037" t="s">
        <v>3511</v>
      </c>
      <c r="D326" s="3038" t="s">
        <v>3188</v>
      </c>
      <c r="E326" s="3036">
        <v>125.41</v>
      </c>
      <c r="F326" s="3036">
        <v>18000</v>
      </c>
      <c r="G326" s="3039">
        <f t="shared" si="5"/>
        <v>225.738</v>
      </c>
      <c r="H326" s="3040"/>
      <c r="I326" s="3041">
        <v>1</v>
      </c>
      <c r="J326" s="3040"/>
      <c r="K326" s="3040"/>
    </row>
    <row r="327" spans="1:11">
      <c r="A327" s="3036">
        <v>325</v>
      </c>
      <c r="B327" s="3402"/>
      <c r="C327" s="3037" t="s">
        <v>3512</v>
      </c>
      <c r="D327" s="3038" t="s">
        <v>3188</v>
      </c>
      <c r="E327" s="3036">
        <v>131.51</v>
      </c>
      <c r="F327" s="3036">
        <v>18000</v>
      </c>
      <c r="G327" s="3039">
        <f t="shared" si="5"/>
        <v>236.71799999999999</v>
      </c>
      <c r="H327" s="3040"/>
      <c r="I327" s="3041">
        <v>1</v>
      </c>
      <c r="J327" s="3040"/>
      <c r="K327" s="3040"/>
    </row>
    <row r="328" spans="1:11">
      <c r="A328" s="3036">
        <v>326</v>
      </c>
      <c r="B328" s="3402"/>
      <c r="C328" s="3037" t="s">
        <v>3513</v>
      </c>
      <c r="D328" s="3038" t="s">
        <v>3188</v>
      </c>
      <c r="E328" s="3036">
        <v>134.16</v>
      </c>
      <c r="F328" s="3036">
        <v>18000</v>
      </c>
      <c r="G328" s="3039">
        <f t="shared" si="5"/>
        <v>241.488</v>
      </c>
      <c r="H328" s="3040"/>
      <c r="I328" s="3041">
        <v>1</v>
      </c>
      <c r="J328" s="3040"/>
      <c r="K328" s="3040"/>
    </row>
    <row r="329" spans="1:11">
      <c r="A329" s="3036">
        <v>327</v>
      </c>
      <c r="B329" s="3402"/>
      <c r="C329" s="3037" t="s">
        <v>3514</v>
      </c>
      <c r="D329" s="3038" t="s">
        <v>3188</v>
      </c>
      <c r="E329" s="3036">
        <v>78.290000000000006</v>
      </c>
      <c r="F329" s="3036">
        <v>18000</v>
      </c>
      <c r="G329" s="3039">
        <f t="shared" si="5"/>
        <v>140.922</v>
      </c>
      <c r="H329" s="3040"/>
      <c r="I329" s="3041">
        <v>1</v>
      </c>
      <c r="J329" s="3040"/>
      <c r="K329" s="3040"/>
    </row>
    <row r="330" spans="1:11">
      <c r="A330" s="3036">
        <v>328</v>
      </c>
      <c r="B330" s="3402"/>
      <c r="C330" s="3037" t="s">
        <v>3515</v>
      </c>
      <c r="D330" s="3038" t="s">
        <v>3188</v>
      </c>
      <c r="E330" s="3036">
        <v>117.46</v>
      </c>
      <c r="F330" s="3036">
        <v>18000</v>
      </c>
      <c r="G330" s="3039">
        <f t="shared" si="5"/>
        <v>211.428</v>
      </c>
      <c r="H330" s="3040"/>
      <c r="I330" s="3041">
        <v>1</v>
      </c>
      <c r="J330" s="3040"/>
      <c r="K330" s="3040"/>
    </row>
    <row r="331" spans="1:11">
      <c r="A331" s="3036">
        <v>329</v>
      </c>
      <c r="B331" s="3402"/>
      <c r="C331" s="3037" t="s">
        <v>3516</v>
      </c>
      <c r="D331" s="3038" t="s">
        <v>3188</v>
      </c>
      <c r="E331" s="3036">
        <v>247.14</v>
      </c>
      <c r="F331" s="3036">
        <v>18000</v>
      </c>
      <c r="G331" s="3039">
        <f t="shared" si="5"/>
        <v>444.85199999999998</v>
      </c>
      <c r="H331" s="3040"/>
      <c r="I331" s="3041">
        <v>1</v>
      </c>
      <c r="J331" s="3040"/>
      <c r="K331" s="3040"/>
    </row>
    <row r="332" spans="1:11">
      <c r="A332" s="3036">
        <v>330</v>
      </c>
      <c r="B332" s="3402"/>
      <c r="C332" s="3037" t="s">
        <v>3517</v>
      </c>
      <c r="D332" s="3038" t="s">
        <v>3188</v>
      </c>
      <c r="E332" s="3036">
        <v>258.73</v>
      </c>
      <c r="F332" s="3036">
        <v>18000</v>
      </c>
      <c r="G332" s="3039">
        <f t="shared" si="5"/>
        <v>465.714</v>
      </c>
      <c r="H332" s="3040"/>
      <c r="I332" s="3041">
        <v>1</v>
      </c>
      <c r="J332" s="3040"/>
      <c r="K332" s="3040"/>
    </row>
    <row r="333" spans="1:11">
      <c r="A333" s="3036">
        <v>331</v>
      </c>
      <c r="B333" s="3402"/>
      <c r="C333" s="3037" t="s">
        <v>3518</v>
      </c>
      <c r="D333" s="3038" t="s">
        <v>3188</v>
      </c>
      <c r="E333" s="3036">
        <v>258.73</v>
      </c>
      <c r="F333" s="3036">
        <v>18000</v>
      </c>
      <c r="G333" s="3039">
        <f t="shared" si="5"/>
        <v>465.714</v>
      </c>
      <c r="H333" s="3040"/>
      <c r="I333" s="3041">
        <v>1</v>
      </c>
      <c r="J333" s="3040"/>
      <c r="K333" s="3040"/>
    </row>
    <row r="334" spans="1:11">
      <c r="A334" s="3036">
        <v>332</v>
      </c>
      <c r="B334" s="3402"/>
      <c r="C334" s="3037" t="s">
        <v>3519</v>
      </c>
      <c r="D334" s="3038" t="s">
        <v>3188</v>
      </c>
      <c r="E334" s="3036">
        <v>258.73</v>
      </c>
      <c r="F334" s="3036">
        <v>18000</v>
      </c>
      <c r="G334" s="3039">
        <f t="shared" si="5"/>
        <v>465.714</v>
      </c>
      <c r="H334" s="3040"/>
      <c r="I334" s="3041">
        <v>1</v>
      </c>
      <c r="J334" s="3040"/>
      <c r="K334" s="3040"/>
    </row>
    <row r="335" spans="1:11">
      <c r="A335" s="3036">
        <v>333</v>
      </c>
      <c r="B335" s="3402"/>
      <c r="C335" s="3037" t="s">
        <v>3520</v>
      </c>
      <c r="D335" s="3038" t="s">
        <v>3188</v>
      </c>
      <c r="E335" s="3036">
        <v>66.87</v>
      </c>
      <c r="F335" s="3036">
        <v>18000</v>
      </c>
      <c r="G335" s="3039">
        <f t="shared" si="5"/>
        <v>120.366</v>
      </c>
      <c r="H335" s="3040"/>
      <c r="I335" s="3041">
        <v>1</v>
      </c>
      <c r="J335" s="3040"/>
      <c r="K335" s="3040"/>
    </row>
    <row r="336" spans="1:11">
      <c r="A336" s="3036">
        <v>334</v>
      </c>
      <c r="B336" s="3402"/>
      <c r="C336" s="3037" t="s">
        <v>3521</v>
      </c>
      <c r="D336" s="3038" t="s">
        <v>3188</v>
      </c>
      <c r="E336" s="3036">
        <v>103.13</v>
      </c>
      <c r="F336" s="3036">
        <v>18000</v>
      </c>
      <c r="G336" s="3039">
        <f t="shared" si="5"/>
        <v>185.63399999999999</v>
      </c>
      <c r="H336" s="3040"/>
      <c r="I336" s="3041">
        <v>1</v>
      </c>
      <c r="J336" s="3040"/>
      <c r="K336" s="3040"/>
    </row>
    <row r="337" spans="1:11">
      <c r="A337" s="3036">
        <v>335</v>
      </c>
      <c r="B337" s="3402"/>
      <c r="C337" s="3037" t="s">
        <v>3522</v>
      </c>
      <c r="D337" s="3038" t="s">
        <v>3188</v>
      </c>
      <c r="E337" s="3036">
        <v>175.66</v>
      </c>
      <c r="F337" s="3036">
        <v>18000</v>
      </c>
      <c r="G337" s="3039">
        <f t="shared" si="5"/>
        <v>316.18799999999999</v>
      </c>
      <c r="H337" s="3040"/>
      <c r="I337" s="3041">
        <v>1</v>
      </c>
      <c r="J337" s="3040"/>
      <c r="K337" s="3040"/>
    </row>
    <row r="338" spans="1:11">
      <c r="A338" s="3036">
        <v>336</v>
      </c>
      <c r="B338" s="3402"/>
      <c r="C338" s="3037" t="s">
        <v>3523</v>
      </c>
      <c r="D338" s="3038" t="s">
        <v>3188</v>
      </c>
      <c r="E338" s="3036">
        <v>139.59</v>
      </c>
      <c r="F338" s="3036">
        <v>18000</v>
      </c>
      <c r="G338" s="3039">
        <f t="shared" si="5"/>
        <v>251.262</v>
      </c>
      <c r="H338" s="3040"/>
      <c r="I338" s="3041">
        <v>1</v>
      </c>
      <c r="J338" s="3040"/>
      <c r="K338" s="3040"/>
    </row>
    <row r="339" spans="1:11">
      <c r="A339" s="3036">
        <v>337</v>
      </c>
      <c r="B339" s="3402"/>
      <c r="C339" s="3037" t="s">
        <v>3524</v>
      </c>
      <c r="D339" s="3038" t="s">
        <v>3188</v>
      </c>
      <c r="E339" s="3036">
        <v>140.79</v>
      </c>
      <c r="F339" s="3036">
        <v>18000</v>
      </c>
      <c r="G339" s="3039">
        <f t="shared" si="5"/>
        <v>253.422</v>
      </c>
      <c r="H339" s="3040"/>
      <c r="I339" s="3041">
        <v>1</v>
      </c>
      <c r="J339" s="3040"/>
      <c r="K339" s="3040"/>
    </row>
    <row r="340" spans="1:11">
      <c r="A340" s="3036">
        <v>338</v>
      </c>
      <c r="B340" s="3402"/>
      <c r="C340" s="3037" t="s">
        <v>3525</v>
      </c>
      <c r="D340" s="3038" t="s">
        <v>3188</v>
      </c>
      <c r="E340" s="3036">
        <v>164.27</v>
      </c>
      <c r="F340" s="3036">
        <v>18000</v>
      </c>
      <c r="G340" s="3039">
        <f t="shared" ref="G340:G362" si="6">E340*F340/10000</f>
        <v>295.68599999999998</v>
      </c>
      <c r="H340" s="3040"/>
      <c r="I340" s="3041">
        <v>1</v>
      </c>
      <c r="J340" s="3040"/>
      <c r="K340" s="3040"/>
    </row>
    <row r="341" spans="1:11">
      <c r="A341" s="3036">
        <v>339</v>
      </c>
      <c r="B341" s="3402"/>
      <c r="C341" s="3037" t="s">
        <v>3526</v>
      </c>
      <c r="D341" s="3038" t="s">
        <v>3188</v>
      </c>
      <c r="E341" s="3036">
        <v>121.39</v>
      </c>
      <c r="F341" s="3036">
        <v>18000</v>
      </c>
      <c r="G341" s="3039">
        <f t="shared" si="6"/>
        <v>218.50200000000001</v>
      </c>
      <c r="H341" s="3040"/>
      <c r="I341" s="3041">
        <v>1</v>
      </c>
      <c r="J341" s="3040"/>
      <c r="K341" s="3040"/>
    </row>
    <row r="342" spans="1:11">
      <c r="A342" s="3036">
        <v>340</v>
      </c>
      <c r="B342" s="3402"/>
      <c r="C342" s="3037" t="s">
        <v>3527</v>
      </c>
      <c r="D342" s="3038" t="s">
        <v>3188</v>
      </c>
      <c r="E342" s="3036">
        <v>68.790000000000006</v>
      </c>
      <c r="F342" s="3036">
        <v>18000</v>
      </c>
      <c r="G342" s="3039">
        <f t="shared" si="6"/>
        <v>123.822</v>
      </c>
      <c r="H342" s="3040"/>
      <c r="I342" s="3041">
        <v>1</v>
      </c>
      <c r="J342" s="3040"/>
      <c r="K342" s="3040"/>
    </row>
    <row r="343" spans="1:11">
      <c r="A343" s="3036">
        <v>341</v>
      </c>
      <c r="B343" s="3402"/>
      <c r="C343" s="3037" t="s">
        <v>3528</v>
      </c>
      <c r="D343" s="3038" t="s">
        <v>3188</v>
      </c>
      <c r="E343" s="3036">
        <v>80.849999999999994</v>
      </c>
      <c r="F343" s="3036">
        <v>18000</v>
      </c>
      <c r="G343" s="3039">
        <f t="shared" si="6"/>
        <v>145.53</v>
      </c>
      <c r="H343" s="3040"/>
      <c r="I343" s="3041">
        <v>1</v>
      </c>
      <c r="J343" s="3040"/>
      <c r="K343" s="3040"/>
    </row>
    <row r="344" spans="1:11">
      <c r="A344" s="3036">
        <v>342</v>
      </c>
      <c r="B344" s="3402"/>
      <c r="C344" s="3037" t="s">
        <v>3529</v>
      </c>
      <c r="D344" s="3038" t="s">
        <v>3188</v>
      </c>
      <c r="E344" s="3036">
        <v>143.66</v>
      </c>
      <c r="F344" s="3036">
        <v>18000</v>
      </c>
      <c r="G344" s="3039">
        <f t="shared" si="6"/>
        <v>258.58800000000002</v>
      </c>
      <c r="H344" s="3040"/>
      <c r="I344" s="3041">
        <v>1</v>
      </c>
      <c r="J344" s="3040"/>
      <c r="K344" s="3040"/>
    </row>
    <row r="345" spans="1:11">
      <c r="A345" s="3036">
        <v>343</v>
      </c>
      <c r="B345" s="3402"/>
      <c r="C345" s="3037" t="s">
        <v>3530</v>
      </c>
      <c r="D345" s="3038" t="s">
        <v>3188</v>
      </c>
      <c r="E345" s="3036">
        <v>263.95</v>
      </c>
      <c r="F345" s="3036">
        <v>18000</v>
      </c>
      <c r="G345" s="3039">
        <f t="shared" si="6"/>
        <v>475.11</v>
      </c>
      <c r="H345" s="3040"/>
      <c r="I345" s="3041">
        <v>1</v>
      </c>
      <c r="J345" s="3040"/>
      <c r="K345" s="3040"/>
    </row>
    <row r="346" spans="1:11">
      <c r="A346" s="3036">
        <v>344</v>
      </c>
      <c r="B346" s="3402"/>
      <c r="C346" s="3037" t="s">
        <v>3531</v>
      </c>
      <c r="D346" s="3038" t="s">
        <v>3188</v>
      </c>
      <c r="E346" s="3036">
        <v>263.95</v>
      </c>
      <c r="F346" s="3036">
        <v>18000</v>
      </c>
      <c r="G346" s="3039">
        <f t="shared" si="6"/>
        <v>475.11</v>
      </c>
      <c r="H346" s="3040"/>
      <c r="I346" s="3041">
        <v>1</v>
      </c>
      <c r="J346" s="3040"/>
      <c r="K346" s="3040"/>
    </row>
    <row r="347" spans="1:11">
      <c r="A347" s="3036">
        <v>345</v>
      </c>
      <c r="B347" s="3402"/>
      <c r="C347" s="3037" t="s">
        <v>3532</v>
      </c>
      <c r="D347" s="3038" t="s">
        <v>3188</v>
      </c>
      <c r="E347" s="3036">
        <v>263.95</v>
      </c>
      <c r="F347" s="3036">
        <v>18000</v>
      </c>
      <c r="G347" s="3039">
        <f t="shared" si="6"/>
        <v>475.11</v>
      </c>
      <c r="H347" s="3040"/>
      <c r="I347" s="3041">
        <v>1</v>
      </c>
      <c r="J347" s="3040"/>
      <c r="K347" s="3040"/>
    </row>
    <row r="348" spans="1:11">
      <c r="A348" s="3036">
        <v>346</v>
      </c>
      <c r="B348" s="3402"/>
      <c r="C348" s="3037" t="s">
        <v>3533</v>
      </c>
      <c r="D348" s="3038" t="s">
        <v>3188</v>
      </c>
      <c r="E348" s="3036">
        <v>239.95</v>
      </c>
      <c r="F348" s="3036">
        <v>18000</v>
      </c>
      <c r="G348" s="3039">
        <f t="shared" si="6"/>
        <v>431.91</v>
      </c>
      <c r="H348" s="3040"/>
      <c r="I348" s="3041">
        <v>1</v>
      </c>
      <c r="J348" s="3040"/>
      <c r="K348" s="3040"/>
    </row>
    <row r="349" spans="1:11">
      <c r="A349" s="3036">
        <v>347</v>
      </c>
      <c r="B349" s="3402"/>
      <c r="C349" s="3037" t="s">
        <v>3534</v>
      </c>
      <c r="D349" s="3038" t="s">
        <v>3188</v>
      </c>
      <c r="E349" s="3036">
        <v>123.6</v>
      </c>
      <c r="F349" s="3036">
        <v>18000</v>
      </c>
      <c r="G349" s="3039">
        <f t="shared" si="6"/>
        <v>222.48</v>
      </c>
      <c r="H349" s="3040"/>
      <c r="I349" s="3041">
        <v>1</v>
      </c>
      <c r="J349" s="3040"/>
      <c r="K349" s="3040"/>
    </row>
    <row r="350" spans="1:11">
      <c r="A350" s="3036">
        <v>348</v>
      </c>
      <c r="B350" s="3402"/>
      <c r="C350" s="3037" t="s">
        <v>3535</v>
      </c>
      <c r="D350" s="3038" t="s">
        <v>3188</v>
      </c>
      <c r="E350" s="3036">
        <v>72.989999999999995</v>
      </c>
      <c r="F350" s="3036">
        <v>18000</v>
      </c>
      <c r="G350" s="3039">
        <f t="shared" si="6"/>
        <v>131.38200000000001</v>
      </c>
      <c r="H350" s="3040"/>
      <c r="I350" s="3041">
        <v>1</v>
      </c>
      <c r="J350" s="3040"/>
      <c r="K350" s="3040"/>
    </row>
    <row r="351" spans="1:11">
      <c r="A351" s="3036">
        <v>349</v>
      </c>
      <c r="B351" s="3402"/>
      <c r="C351" s="3037" t="s">
        <v>3536</v>
      </c>
      <c r="D351" s="3038" t="s">
        <v>3188</v>
      </c>
      <c r="E351" s="3036">
        <v>65.45</v>
      </c>
      <c r="F351" s="3036">
        <v>18000</v>
      </c>
      <c r="G351" s="3039">
        <f t="shared" si="6"/>
        <v>117.81</v>
      </c>
      <c r="H351" s="3040"/>
      <c r="I351" s="3041">
        <v>1</v>
      </c>
      <c r="J351" s="3040"/>
      <c r="K351" s="3040"/>
    </row>
    <row r="352" spans="1:11">
      <c r="A352" s="3036">
        <v>350</v>
      </c>
      <c r="B352" s="3402"/>
      <c r="C352" s="3037" t="s">
        <v>3537</v>
      </c>
      <c r="D352" s="3038" t="s">
        <v>3188</v>
      </c>
      <c r="E352" s="3036">
        <v>60.26</v>
      </c>
      <c r="F352" s="3036">
        <v>18000</v>
      </c>
      <c r="G352" s="3039">
        <f t="shared" si="6"/>
        <v>108.468</v>
      </c>
      <c r="H352" s="3040"/>
      <c r="I352" s="3041">
        <v>1</v>
      </c>
      <c r="J352" s="3040"/>
      <c r="K352" s="3040"/>
    </row>
    <row r="353" spans="1:12">
      <c r="A353" s="3036">
        <v>351</v>
      </c>
      <c r="B353" s="3402"/>
      <c r="C353" s="3037" t="s">
        <v>3538</v>
      </c>
      <c r="D353" s="3038" t="s">
        <v>3188</v>
      </c>
      <c r="E353" s="3036">
        <v>74.7</v>
      </c>
      <c r="F353" s="3036">
        <v>18000</v>
      </c>
      <c r="G353" s="3039">
        <f t="shared" si="6"/>
        <v>134.46</v>
      </c>
      <c r="H353" s="3040"/>
      <c r="I353" s="3041">
        <v>1</v>
      </c>
      <c r="J353" s="3040"/>
      <c r="K353" s="3040"/>
    </row>
    <row r="354" spans="1:12">
      <c r="A354" s="3036">
        <v>352</v>
      </c>
      <c r="B354" s="3402"/>
      <c r="C354" s="3037" t="s">
        <v>3539</v>
      </c>
      <c r="D354" s="3038" t="s">
        <v>3188</v>
      </c>
      <c r="E354" s="3036">
        <v>113.24</v>
      </c>
      <c r="F354" s="3036">
        <v>18000</v>
      </c>
      <c r="G354" s="3039">
        <f t="shared" si="6"/>
        <v>203.83199999999999</v>
      </c>
      <c r="H354" s="3040"/>
      <c r="I354" s="3041">
        <v>1</v>
      </c>
      <c r="J354" s="3040"/>
      <c r="K354" s="3040"/>
    </row>
    <row r="355" spans="1:12">
      <c r="A355" s="3036">
        <v>353</v>
      </c>
      <c r="B355" s="3402"/>
      <c r="C355" s="3037" t="s">
        <v>3540</v>
      </c>
      <c r="D355" s="3038" t="s">
        <v>3188</v>
      </c>
      <c r="E355" s="3036">
        <v>109.36</v>
      </c>
      <c r="F355" s="3036">
        <v>18000</v>
      </c>
      <c r="G355" s="3039">
        <f t="shared" si="6"/>
        <v>196.84800000000001</v>
      </c>
      <c r="H355" s="3040"/>
      <c r="I355" s="3041">
        <v>1</v>
      </c>
      <c r="J355" s="3040"/>
      <c r="K355" s="3040"/>
    </row>
    <row r="356" spans="1:12">
      <c r="A356" s="3036">
        <v>354</v>
      </c>
      <c r="B356" s="3402"/>
      <c r="C356" s="3037" t="s">
        <v>3541</v>
      </c>
      <c r="D356" s="3038" t="s">
        <v>3188</v>
      </c>
      <c r="E356" s="3036">
        <v>88.33</v>
      </c>
      <c r="F356" s="3036">
        <v>18000</v>
      </c>
      <c r="G356" s="3039">
        <f t="shared" si="6"/>
        <v>158.994</v>
      </c>
      <c r="H356" s="3040"/>
      <c r="I356" s="3041">
        <v>1</v>
      </c>
      <c r="J356" s="3040"/>
      <c r="K356" s="3040"/>
    </row>
    <row r="357" spans="1:12">
      <c r="A357" s="3036">
        <v>355</v>
      </c>
      <c r="B357" s="3402"/>
      <c r="C357" s="3037" t="s">
        <v>3542</v>
      </c>
      <c r="D357" s="3038" t="s">
        <v>3188</v>
      </c>
      <c r="E357" s="3036">
        <v>165.2</v>
      </c>
      <c r="F357" s="3036">
        <v>18000</v>
      </c>
      <c r="G357" s="3039">
        <f t="shared" si="6"/>
        <v>297.36</v>
      </c>
      <c r="H357" s="3040"/>
      <c r="I357" s="3041">
        <v>1</v>
      </c>
      <c r="J357" s="3040"/>
      <c r="K357" s="3040"/>
    </row>
    <row r="358" spans="1:12">
      <c r="A358" s="3036">
        <v>356</v>
      </c>
      <c r="B358" s="3402"/>
      <c r="C358" s="3037" t="s">
        <v>3543</v>
      </c>
      <c r="D358" s="3038" t="s">
        <v>3188</v>
      </c>
      <c r="E358" s="3036">
        <v>267.37</v>
      </c>
      <c r="F358" s="3036">
        <v>18000</v>
      </c>
      <c r="G358" s="3039">
        <f t="shared" si="6"/>
        <v>481.26600000000002</v>
      </c>
      <c r="H358" s="3040"/>
      <c r="I358" s="3041">
        <v>1</v>
      </c>
      <c r="J358" s="3040"/>
      <c r="K358" s="3040"/>
    </row>
    <row r="359" spans="1:12">
      <c r="A359" s="3036">
        <v>357</v>
      </c>
      <c r="B359" s="3402"/>
      <c r="C359" s="3037" t="s">
        <v>3544</v>
      </c>
      <c r="D359" s="3038" t="s">
        <v>3188</v>
      </c>
      <c r="E359" s="3036">
        <v>254.68</v>
      </c>
      <c r="F359" s="3036">
        <v>18000</v>
      </c>
      <c r="G359" s="3039">
        <f t="shared" si="6"/>
        <v>458.42399999999998</v>
      </c>
      <c r="H359" s="3040"/>
      <c r="I359" s="3041">
        <v>1</v>
      </c>
      <c r="J359" s="3040"/>
      <c r="K359" s="3040"/>
    </row>
    <row r="360" spans="1:12">
      <c r="A360" s="3036">
        <v>358</v>
      </c>
      <c r="B360" s="3402"/>
      <c r="C360" s="3037" t="s">
        <v>3545</v>
      </c>
      <c r="D360" s="3038" t="s">
        <v>3188</v>
      </c>
      <c r="E360" s="3036">
        <v>260.12</v>
      </c>
      <c r="F360" s="3036">
        <v>18000</v>
      </c>
      <c r="G360" s="3039">
        <f t="shared" si="6"/>
        <v>468.21600000000001</v>
      </c>
      <c r="H360" s="3040"/>
      <c r="I360" s="3041">
        <v>1</v>
      </c>
      <c r="J360" s="3040"/>
      <c r="K360" s="3040"/>
    </row>
    <row r="361" spans="1:12">
      <c r="A361" s="3036">
        <v>359</v>
      </c>
      <c r="B361" s="3402"/>
      <c r="C361" s="3037" t="s">
        <v>3546</v>
      </c>
      <c r="D361" s="3038" t="s">
        <v>3188</v>
      </c>
      <c r="E361" s="3036">
        <v>260.12</v>
      </c>
      <c r="F361" s="3036">
        <v>18000</v>
      </c>
      <c r="G361" s="3039">
        <f t="shared" si="6"/>
        <v>468.21600000000001</v>
      </c>
      <c r="H361" s="3040"/>
      <c r="I361" s="3041">
        <v>1</v>
      </c>
      <c r="J361" s="3040"/>
      <c r="K361" s="3040"/>
    </row>
    <row r="362" spans="1:12">
      <c r="A362" s="3036">
        <v>360</v>
      </c>
      <c r="B362" s="3403"/>
      <c r="C362" s="3037" t="s">
        <v>3547</v>
      </c>
      <c r="D362" s="3038" t="s">
        <v>3188</v>
      </c>
      <c r="E362" s="3036">
        <v>299.89999999999998</v>
      </c>
      <c r="F362" s="3036">
        <v>18000</v>
      </c>
      <c r="G362" s="3039">
        <f t="shared" si="6"/>
        <v>539.82000000000005</v>
      </c>
      <c r="H362" s="3040"/>
      <c r="I362" s="3041">
        <v>1</v>
      </c>
      <c r="J362" s="3040"/>
      <c r="K362" s="3040"/>
      <c r="L362" s="1637">
        <f>SUM(E275:E362)</f>
        <v>16315.510000000006</v>
      </c>
    </row>
    <row r="363" spans="1:12">
      <c r="E363" s="1637">
        <f>SUM(E3:E362)</f>
        <v>39089.930000000037</v>
      </c>
      <c r="L363" s="1637">
        <f>SUM(L3:L362)</f>
        <v>78179.86000000003</v>
      </c>
    </row>
    <row r="367" spans="1:12">
      <c r="H367" s="1637">
        <f>E363-典型户型修正!B22</f>
        <v>0</v>
      </c>
    </row>
  </sheetData>
  <mergeCells count="4">
    <mergeCell ref="A1:K1"/>
    <mergeCell ref="B3:B90"/>
    <mergeCell ref="B91:B274"/>
    <mergeCell ref="B275:B362"/>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B1:O122"/>
  <sheetViews>
    <sheetView topLeftCell="A80" workbookViewId="0">
      <selection activeCell="B63" sqref="B63:I90"/>
    </sheetView>
  </sheetViews>
  <sheetFormatPr defaultRowHeight="13.5"/>
  <cols>
    <col min="4" max="4" width="16" customWidth="1"/>
    <col min="5" max="5" width="9.5" bestFit="1" customWidth="1"/>
  </cols>
  <sheetData>
    <row r="1" spans="2:15" ht="14.25" thickBot="1"/>
    <row r="2" spans="2:15" ht="14.25" thickBot="1">
      <c r="B2" s="3404" t="s">
        <v>3127</v>
      </c>
      <c r="C2" s="3405"/>
      <c r="D2" s="2962" t="s">
        <v>3128</v>
      </c>
      <c r="E2" s="2962" t="s">
        <v>3129</v>
      </c>
      <c r="F2" s="2962" t="s">
        <v>3130</v>
      </c>
      <c r="G2" s="2962" t="s">
        <v>3131</v>
      </c>
      <c r="J2" s="3436" t="s">
        <v>3127</v>
      </c>
      <c r="K2" s="3437"/>
      <c r="L2" s="3048" t="s">
        <v>3128</v>
      </c>
      <c r="M2" s="3048" t="s">
        <v>3129</v>
      </c>
      <c r="N2" s="3048" t="s">
        <v>3130</v>
      </c>
      <c r="O2" s="3048" t="s">
        <v>3131</v>
      </c>
    </row>
    <row r="3" spans="2:15" ht="26.25" thickBot="1">
      <c r="B3" s="3406"/>
      <c r="C3" s="3407"/>
      <c r="D3" s="2963" t="s">
        <v>3563</v>
      </c>
      <c r="E3" s="2963" t="s">
        <v>3591</v>
      </c>
      <c r="F3" s="2963" t="s">
        <v>3593</v>
      </c>
      <c r="G3" s="2963" t="s">
        <v>3595</v>
      </c>
      <c r="J3" s="3438"/>
      <c r="K3" s="3439"/>
      <c r="L3" s="2963" t="s">
        <v>3590</v>
      </c>
      <c r="M3" s="2963" t="s">
        <v>3591</v>
      </c>
      <c r="N3" s="2963" t="s">
        <v>3593</v>
      </c>
      <c r="O3" s="2963" t="s">
        <v>3595</v>
      </c>
    </row>
    <row r="4" spans="2:15" ht="77.25" thickBot="1">
      <c r="B4" s="3408"/>
      <c r="C4" s="3409"/>
      <c r="D4" s="2964" t="s">
        <v>3611</v>
      </c>
      <c r="E4" s="2965" t="s">
        <v>3592</v>
      </c>
      <c r="F4" s="2965" t="s">
        <v>3594</v>
      </c>
      <c r="G4" s="2965" t="s">
        <v>3596</v>
      </c>
      <c r="J4" s="3440"/>
      <c r="K4" s="3441"/>
      <c r="L4" s="2963" t="s">
        <v>3575</v>
      </c>
      <c r="M4" s="2963" t="s">
        <v>3592</v>
      </c>
      <c r="N4" s="2963" t="s">
        <v>3594</v>
      </c>
      <c r="O4" s="2963" t="s">
        <v>3596</v>
      </c>
    </row>
    <row r="5" spans="2:15" ht="14.25" thickBot="1">
      <c r="B5" s="3410" t="s">
        <v>3132</v>
      </c>
      <c r="C5" s="3411"/>
      <c r="D5" s="2966">
        <v>43191</v>
      </c>
      <c r="E5" s="2966">
        <v>43191</v>
      </c>
      <c r="F5" s="2966">
        <v>43191</v>
      </c>
      <c r="G5" s="2966">
        <v>43191</v>
      </c>
      <c r="J5" s="3442" t="s">
        <v>3132</v>
      </c>
      <c r="K5" s="3443"/>
      <c r="L5" s="3049">
        <v>43191</v>
      </c>
      <c r="M5" s="3049">
        <v>43191</v>
      </c>
      <c r="N5" s="3049">
        <v>43191</v>
      </c>
      <c r="O5" s="3049">
        <v>43191</v>
      </c>
    </row>
    <row r="6" spans="2:15" ht="14.25" thickBot="1">
      <c r="B6" s="3412" t="s">
        <v>3133</v>
      </c>
      <c r="C6" s="3413"/>
      <c r="D6" s="2965" t="s">
        <v>3076</v>
      </c>
      <c r="E6" s="2965" t="s">
        <v>3076</v>
      </c>
      <c r="F6" s="2965" t="s">
        <v>3076</v>
      </c>
      <c r="G6" s="2965" t="s">
        <v>3076</v>
      </c>
      <c r="J6" s="3442" t="s">
        <v>3133</v>
      </c>
      <c r="K6" s="3443"/>
      <c r="L6" s="2963" t="s">
        <v>3076</v>
      </c>
      <c r="M6" s="2963" t="s">
        <v>3076</v>
      </c>
      <c r="N6" s="2963" t="s">
        <v>3076</v>
      </c>
      <c r="O6" s="2963" t="s">
        <v>3076</v>
      </c>
    </row>
    <row r="7" spans="2:15" ht="14.25" thickBot="1">
      <c r="B7" s="3417" t="s">
        <v>3147</v>
      </c>
      <c r="C7" s="2967" t="s">
        <v>1375</v>
      </c>
      <c r="D7" s="2965" t="s">
        <v>3167</v>
      </c>
      <c r="E7" s="2965" t="s">
        <v>3167</v>
      </c>
      <c r="F7" s="2965" t="s">
        <v>3167</v>
      </c>
      <c r="G7" s="2965" t="s">
        <v>3167</v>
      </c>
      <c r="J7" s="3433" t="s">
        <v>3146</v>
      </c>
      <c r="K7" s="3050" t="s">
        <v>1375</v>
      </c>
      <c r="L7" s="2963" t="s">
        <v>1377</v>
      </c>
      <c r="M7" s="2963" t="s">
        <v>1377</v>
      </c>
      <c r="N7" s="2963" t="s">
        <v>1377</v>
      </c>
      <c r="O7" s="2963" t="s">
        <v>1377</v>
      </c>
    </row>
    <row r="8" spans="2:15" ht="26.25" thickBot="1">
      <c r="B8" s="3418"/>
      <c r="C8" s="2967" t="s">
        <v>3134</v>
      </c>
      <c r="D8" s="2965" t="s">
        <v>3145</v>
      </c>
      <c r="E8" s="2965" t="s">
        <v>3145</v>
      </c>
      <c r="F8" s="2965" t="s">
        <v>3145</v>
      </c>
      <c r="G8" s="2965" t="s">
        <v>3145</v>
      </c>
      <c r="J8" s="3435"/>
      <c r="K8" s="3050" t="s">
        <v>3134</v>
      </c>
      <c r="L8" s="3051" t="s">
        <v>3576</v>
      </c>
      <c r="M8" s="3051" t="s">
        <v>3576</v>
      </c>
      <c r="N8" s="3051" t="s">
        <v>3576</v>
      </c>
      <c r="O8" s="3051" t="s">
        <v>3576</v>
      </c>
    </row>
    <row r="9" spans="2:15" ht="90" thickBot="1">
      <c r="B9" s="3419"/>
      <c r="C9" s="2965" t="s">
        <v>3148</v>
      </c>
      <c r="D9" s="2970">
        <v>2.5</v>
      </c>
      <c r="E9" s="2970">
        <v>2.5</v>
      </c>
      <c r="F9" s="2970">
        <v>2.5</v>
      </c>
      <c r="G9" s="2970">
        <v>2.5</v>
      </c>
      <c r="J9" s="3433" t="s">
        <v>3135</v>
      </c>
      <c r="K9" s="3050" t="s">
        <v>3577</v>
      </c>
      <c r="L9" s="2963" t="s">
        <v>3597</v>
      </c>
      <c r="M9" s="2963" t="s">
        <v>3598</v>
      </c>
      <c r="N9" s="2963" t="s">
        <v>3599</v>
      </c>
      <c r="O9" s="2963" t="s">
        <v>3600</v>
      </c>
    </row>
    <row r="10" spans="2:15" ht="128.25" thickBot="1">
      <c r="B10" s="3420" t="s">
        <v>3135</v>
      </c>
      <c r="C10" s="2968" t="s">
        <v>3149</v>
      </c>
      <c r="D10" s="2965" t="s">
        <v>3612</v>
      </c>
      <c r="E10" s="2965" t="s">
        <v>3613</v>
      </c>
      <c r="F10" s="2965" t="s">
        <v>3614</v>
      </c>
      <c r="G10" s="2965" t="s">
        <v>3614</v>
      </c>
      <c r="J10" s="3434"/>
      <c r="K10" s="3050" t="s">
        <v>3578</v>
      </c>
      <c r="L10" s="2963" t="s">
        <v>3601</v>
      </c>
      <c r="M10" s="2963" t="s">
        <v>3601</v>
      </c>
      <c r="N10" s="2963" t="s">
        <v>3602</v>
      </c>
      <c r="O10" s="2963" t="s">
        <v>3602</v>
      </c>
    </row>
    <row r="11" spans="2:15" ht="60.75" customHeight="1" thickBot="1">
      <c r="B11" s="3421"/>
      <c r="C11" s="2968" t="s">
        <v>3150</v>
      </c>
      <c r="D11" s="2965" t="s">
        <v>3615</v>
      </c>
      <c r="E11" s="2965" t="s">
        <v>3616</v>
      </c>
      <c r="F11" s="2965" t="s">
        <v>3616</v>
      </c>
      <c r="G11" s="2965" t="s">
        <v>3616</v>
      </c>
      <c r="J11" s="3434"/>
      <c r="K11" s="3050" t="s">
        <v>3136</v>
      </c>
      <c r="L11" s="2963" t="s">
        <v>3603</v>
      </c>
      <c r="M11" s="2963" t="s">
        <v>3603</v>
      </c>
      <c r="N11" s="2963" t="s">
        <v>3603</v>
      </c>
      <c r="O11" s="2963" t="s">
        <v>3604</v>
      </c>
    </row>
    <row r="12" spans="2:15" ht="201" customHeight="1" thickBot="1">
      <c r="B12" s="3421"/>
      <c r="C12" s="2968" t="s">
        <v>3136</v>
      </c>
      <c r="D12" s="2965" t="s">
        <v>3619</v>
      </c>
      <c r="E12" s="2965" t="s">
        <v>3618</v>
      </c>
      <c r="F12" s="2965" t="s">
        <v>3617</v>
      </c>
      <c r="G12" s="2965" t="s">
        <v>3617</v>
      </c>
      <c r="J12" s="3434"/>
      <c r="K12" s="3050" t="s">
        <v>3137</v>
      </c>
      <c r="L12" s="2963" t="s">
        <v>3079</v>
      </c>
      <c r="M12" s="2963" t="s">
        <v>3079</v>
      </c>
      <c r="N12" s="2963" t="s">
        <v>3079</v>
      </c>
      <c r="O12" s="2963" t="s">
        <v>3079</v>
      </c>
    </row>
    <row r="13" spans="2:15" ht="64.5" thickBot="1">
      <c r="B13" s="3421"/>
      <c r="C13" s="2968" t="s">
        <v>3137</v>
      </c>
      <c r="D13" s="2965" t="s">
        <v>3079</v>
      </c>
      <c r="E13" s="2965" t="s">
        <v>3079</v>
      </c>
      <c r="F13" s="2965" t="s">
        <v>3079</v>
      </c>
      <c r="G13" s="2965" t="s">
        <v>3079</v>
      </c>
      <c r="J13" s="3434"/>
      <c r="K13" s="3050" t="s">
        <v>3579</v>
      </c>
      <c r="L13" s="2963" t="s">
        <v>3605</v>
      </c>
      <c r="M13" s="2963" t="s">
        <v>3605</v>
      </c>
      <c r="N13" s="2963" t="s">
        <v>3605</v>
      </c>
      <c r="O13" s="2963" t="s">
        <v>3605</v>
      </c>
    </row>
    <row r="14" spans="2:15" ht="90" thickBot="1">
      <c r="B14" s="3421"/>
      <c r="C14" s="2968" t="s">
        <v>3151</v>
      </c>
      <c r="D14" s="2965" t="s">
        <v>3621</v>
      </c>
      <c r="E14" s="2965" t="s">
        <v>3620</v>
      </c>
      <c r="F14" s="2965" t="s">
        <v>3620</v>
      </c>
      <c r="G14" s="2965" t="s">
        <v>3620</v>
      </c>
      <c r="J14" s="3434"/>
      <c r="K14" s="3050" t="s">
        <v>3580</v>
      </c>
      <c r="L14" s="2963" t="s">
        <v>3082</v>
      </c>
      <c r="M14" s="2963" t="s">
        <v>3082</v>
      </c>
      <c r="N14" s="2963" t="s">
        <v>3082</v>
      </c>
      <c r="O14" s="2963" t="s">
        <v>3082</v>
      </c>
    </row>
    <row r="15" spans="2:15" ht="14.25" thickBot="1">
      <c r="B15" s="3421"/>
      <c r="C15" s="2968" t="s">
        <v>3152</v>
      </c>
      <c r="D15" s="2965" t="s">
        <v>3153</v>
      </c>
      <c r="E15" s="2965" t="s">
        <v>3153</v>
      </c>
      <c r="F15" s="2965" t="s">
        <v>3153</v>
      </c>
      <c r="G15" s="2965" t="s">
        <v>3153</v>
      </c>
      <c r="J15" s="3434"/>
      <c r="K15" s="3050" t="s">
        <v>3581</v>
      </c>
      <c r="L15" s="2963" t="s">
        <v>3078</v>
      </c>
      <c r="M15" s="2963" t="s">
        <v>3078</v>
      </c>
      <c r="N15" s="2963" t="s">
        <v>3078</v>
      </c>
      <c r="O15" s="2963" t="s">
        <v>3078</v>
      </c>
    </row>
    <row r="16" spans="2:15" ht="14.25" thickBot="1">
      <c r="B16" s="3421"/>
      <c r="C16" s="2968" t="s">
        <v>3154</v>
      </c>
      <c r="D16" s="2965" t="s">
        <v>3155</v>
      </c>
      <c r="E16" s="2965" t="s">
        <v>3155</v>
      </c>
      <c r="F16" s="2965" t="s">
        <v>3155</v>
      </c>
      <c r="G16" s="2965" t="s">
        <v>3155</v>
      </c>
      <c r="J16" s="3434"/>
      <c r="K16" s="3050" t="s">
        <v>3582</v>
      </c>
      <c r="L16" s="2963" t="s">
        <v>3553</v>
      </c>
      <c r="M16" s="2963" t="s">
        <v>3553</v>
      </c>
      <c r="N16" s="2963" t="s">
        <v>3553</v>
      </c>
      <c r="O16" s="2963" t="s">
        <v>3553</v>
      </c>
    </row>
    <row r="17" spans="2:15" ht="14.25" thickBot="1">
      <c r="B17" s="3421"/>
      <c r="C17" s="2968" t="s">
        <v>3156</v>
      </c>
      <c r="D17" s="2965" t="s">
        <v>3607</v>
      </c>
      <c r="E17" s="2965" t="s">
        <v>3607</v>
      </c>
      <c r="F17" s="2965" t="s">
        <v>3607</v>
      </c>
      <c r="G17" s="2965" t="s">
        <v>3607</v>
      </c>
      <c r="J17" s="3435"/>
      <c r="K17" s="3050" t="s">
        <v>3583</v>
      </c>
      <c r="L17" s="3051" t="s">
        <v>3584</v>
      </c>
      <c r="M17" s="3051" t="s">
        <v>3584</v>
      </c>
      <c r="N17" s="3051" t="s">
        <v>3584</v>
      </c>
      <c r="O17" s="3051" t="s">
        <v>3584</v>
      </c>
    </row>
    <row r="18" spans="2:15" ht="14.25" thickBot="1">
      <c r="B18" s="3421"/>
      <c r="C18" s="2968" t="s">
        <v>3065</v>
      </c>
      <c r="D18" s="2965" t="s">
        <v>3157</v>
      </c>
      <c r="E18" s="2965" t="s">
        <v>3157</v>
      </c>
      <c r="F18" s="2965" t="s">
        <v>3157</v>
      </c>
      <c r="G18" s="2965" t="s">
        <v>3157</v>
      </c>
      <c r="J18" s="3433" t="s">
        <v>3138</v>
      </c>
      <c r="K18" s="3050" t="s">
        <v>3585</v>
      </c>
      <c r="L18" s="2963" t="s">
        <v>3097</v>
      </c>
      <c r="M18" s="2963" t="s">
        <v>3097</v>
      </c>
      <c r="N18" s="2963" t="s">
        <v>3097</v>
      </c>
      <c r="O18" s="2963" t="s">
        <v>3097</v>
      </c>
    </row>
    <row r="19" spans="2:15" ht="14.25" thickBot="1">
      <c r="B19" s="3414" t="s">
        <v>3138</v>
      </c>
      <c r="C19" s="2968" t="s">
        <v>3158</v>
      </c>
      <c r="D19" s="2963" t="s">
        <v>3159</v>
      </c>
      <c r="E19" s="2963" t="s">
        <v>3159</v>
      </c>
      <c r="F19" s="2963" t="s">
        <v>3159</v>
      </c>
      <c r="G19" s="2963" t="s">
        <v>3159</v>
      </c>
      <c r="J19" s="3434"/>
      <c r="K19" s="3050" t="s">
        <v>3139</v>
      </c>
      <c r="L19" s="2963" t="s">
        <v>3071</v>
      </c>
      <c r="M19" s="2963" t="s">
        <v>3071</v>
      </c>
      <c r="N19" s="2963" t="s">
        <v>3071</v>
      </c>
      <c r="O19" s="2963" t="s">
        <v>3071</v>
      </c>
    </row>
    <row r="20" spans="2:15" ht="14.25" thickBot="1">
      <c r="B20" s="3415"/>
      <c r="C20" s="2968" t="s">
        <v>3139</v>
      </c>
      <c r="D20" s="2963" t="s">
        <v>3071</v>
      </c>
      <c r="E20" s="2963" t="s">
        <v>3071</v>
      </c>
      <c r="F20" s="2963" t="s">
        <v>3071</v>
      </c>
      <c r="G20" s="2963" t="s">
        <v>3071</v>
      </c>
      <c r="J20" s="3434"/>
      <c r="K20" s="3050" t="s">
        <v>3141</v>
      </c>
      <c r="L20" s="3052">
        <v>0.88</v>
      </c>
      <c r="M20" s="3052">
        <v>0.9</v>
      </c>
      <c r="N20" s="3052">
        <v>0.9</v>
      </c>
      <c r="O20" s="3052">
        <v>0.9</v>
      </c>
    </row>
    <row r="21" spans="2:15" ht="26.25" thickBot="1">
      <c r="B21" s="3415"/>
      <c r="C21" s="2968" t="s">
        <v>3140</v>
      </c>
      <c r="D21" s="2963" t="s">
        <v>3622</v>
      </c>
      <c r="E21" s="2963" t="s">
        <v>3622</v>
      </c>
      <c r="F21" s="2963" t="s">
        <v>3622</v>
      </c>
      <c r="G21" s="2963" t="s">
        <v>3622</v>
      </c>
      <c r="J21" s="3434"/>
      <c r="K21" s="3050" t="s">
        <v>3142</v>
      </c>
      <c r="L21" s="2963" t="s">
        <v>3079</v>
      </c>
      <c r="M21" s="2963" t="s">
        <v>3079</v>
      </c>
      <c r="N21" s="2963" t="s">
        <v>3079</v>
      </c>
      <c r="O21" s="2963" t="s">
        <v>3079</v>
      </c>
    </row>
    <row r="22" spans="2:15" ht="26.25" thickBot="1">
      <c r="B22" s="3415"/>
      <c r="C22" s="2968" t="s">
        <v>3141</v>
      </c>
      <c r="D22" s="2969">
        <v>0.88</v>
      </c>
      <c r="E22" s="2969">
        <v>0.9</v>
      </c>
      <c r="F22" s="2969">
        <v>0.9</v>
      </c>
      <c r="G22" s="2969">
        <v>0.9</v>
      </c>
      <c r="J22" s="3434"/>
      <c r="K22" s="3050" t="s">
        <v>3586</v>
      </c>
      <c r="L22" s="2963" t="s">
        <v>3115</v>
      </c>
      <c r="M22" s="2963" t="s">
        <v>3115</v>
      </c>
      <c r="N22" s="2963" t="s">
        <v>3115</v>
      </c>
      <c r="O22" s="2963" t="s">
        <v>3115</v>
      </c>
    </row>
    <row r="23" spans="2:15" ht="14.25" thickBot="1">
      <c r="B23" s="3415"/>
      <c r="C23" s="2968" t="s">
        <v>3142</v>
      </c>
      <c r="D23" s="2963" t="s">
        <v>3079</v>
      </c>
      <c r="E23" s="2963" t="s">
        <v>3079</v>
      </c>
      <c r="F23" s="2963" t="s">
        <v>3079</v>
      </c>
      <c r="G23" s="2963" t="s">
        <v>3079</v>
      </c>
      <c r="J23" s="3434"/>
      <c r="K23" s="3050" t="s">
        <v>3587</v>
      </c>
      <c r="L23" s="2963" t="s">
        <v>3117</v>
      </c>
      <c r="M23" s="2963" t="s">
        <v>3117</v>
      </c>
      <c r="N23" s="2963" t="s">
        <v>3117</v>
      </c>
      <c r="O23" s="2963" t="s">
        <v>3117</v>
      </c>
    </row>
    <row r="24" spans="2:15" ht="39" thickBot="1">
      <c r="B24" s="3415"/>
      <c r="C24" s="2968" t="s">
        <v>3160</v>
      </c>
      <c r="D24" s="2963" t="s">
        <v>3161</v>
      </c>
      <c r="E24" s="2963" t="s">
        <v>3161</v>
      </c>
      <c r="F24" s="2963" t="s">
        <v>3161</v>
      </c>
      <c r="G24" s="2963" t="s">
        <v>3161</v>
      </c>
      <c r="J24" s="3434"/>
      <c r="K24" s="3050" t="s">
        <v>3588</v>
      </c>
      <c r="L24" s="3051">
        <v>98.27</v>
      </c>
      <c r="M24" s="3051">
        <v>82</v>
      </c>
      <c r="N24" s="3051">
        <v>50</v>
      </c>
      <c r="O24" s="3051">
        <v>65</v>
      </c>
    </row>
    <row r="25" spans="2:15" ht="14.25" thickBot="1">
      <c r="B25" s="3415"/>
      <c r="C25" s="2968" t="s">
        <v>3162</v>
      </c>
      <c r="D25" s="2963" t="s">
        <v>3163</v>
      </c>
      <c r="E25" s="2963" t="s">
        <v>3163</v>
      </c>
      <c r="F25" s="2963" t="s">
        <v>3163</v>
      </c>
      <c r="G25" s="2963" t="s">
        <v>3163</v>
      </c>
      <c r="J25" s="3434"/>
      <c r="K25" s="3050" t="s">
        <v>3589</v>
      </c>
      <c r="L25" s="2963" t="s">
        <v>3078</v>
      </c>
      <c r="M25" s="2963" t="s">
        <v>3078</v>
      </c>
      <c r="N25" s="2963" t="s">
        <v>3078</v>
      </c>
      <c r="O25" s="2963" t="s">
        <v>3078</v>
      </c>
    </row>
    <row r="26" spans="2:15" ht="14.25" thickBot="1">
      <c r="B26" s="3415"/>
      <c r="C26" s="2968" t="s">
        <v>3168</v>
      </c>
      <c r="D26" s="2963">
        <v>98.27</v>
      </c>
      <c r="E26" s="2963">
        <v>82</v>
      </c>
      <c r="F26" s="2963">
        <v>50</v>
      </c>
      <c r="G26" s="2963">
        <v>65</v>
      </c>
      <c r="J26" s="3434"/>
      <c r="K26" s="3050" t="s">
        <v>3143</v>
      </c>
      <c r="L26" s="2963" t="s">
        <v>3106</v>
      </c>
      <c r="M26" s="2963" t="s">
        <v>3106</v>
      </c>
      <c r="N26" s="2963" t="s">
        <v>3106</v>
      </c>
      <c r="O26" s="2963" t="s">
        <v>3106</v>
      </c>
    </row>
    <row r="27" spans="2:15" ht="26.25" thickBot="1">
      <c r="B27" s="3415"/>
      <c r="C27" s="2968" t="s">
        <v>3164</v>
      </c>
      <c r="D27" s="2963" t="s">
        <v>3165</v>
      </c>
      <c r="E27" s="2963" t="s">
        <v>3165</v>
      </c>
      <c r="F27" s="2963" t="s">
        <v>3165</v>
      </c>
      <c r="G27" s="2963" t="s">
        <v>3165</v>
      </c>
      <c r="J27" s="3435"/>
      <c r="K27" s="3050" t="s">
        <v>3144</v>
      </c>
      <c r="L27" s="2963" t="s">
        <v>3606</v>
      </c>
      <c r="M27" s="2963" t="s">
        <v>3607</v>
      </c>
      <c r="N27" s="2963" t="s">
        <v>3607</v>
      </c>
      <c r="O27" s="2963" t="s">
        <v>3607</v>
      </c>
    </row>
    <row r="28" spans="2:15" ht="14.25" thickBot="1">
      <c r="B28" s="3415"/>
      <c r="C28" s="2968" t="s">
        <v>3143</v>
      </c>
      <c r="D28" s="2963" t="s">
        <v>3166</v>
      </c>
      <c r="E28" s="2963" t="s">
        <v>3166</v>
      </c>
      <c r="F28" s="2963" t="s">
        <v>3166</v>
      </c>
      <c r="G28" s="2963" t="s">
        <v>3166</v>
      </c>
    </row>
    <row r="29" spans="2:15" ht="14.25" thickBot="1">
      <c r="B29" s="3416"/>
      <c r="C29" s="2968" t="s">
        <v>3144</v>
      </c>
      <c r="D29" s="2963" t="s">
        <v>3623</v>
      </c>
      <c r="E29" s="2963" t="s">
        <v>3624</v>
      </c>
      <c r="F29" s="2963" t="s">
        <v>3624</v>
      </c>
      <c r="G29" s="2963" t="s">
        <v>3624</v>
      </c>
    </row>
    <row r="33" spans="2:7">
      <c r="B33" s="3422" t="s">
        <v>3127</v>
      </c>
      <c r="C33" s="3422"/>
      <c r="D33" s="2972" t="s">
        <v>3128</v>
      </c>
      <c r="E33" s="2972" t="s">
        <v>3129</v>
      </c>
      <c r="F33" s="2972" t="s">
        <v>3130</v>
      </c>
      <c r="G33" s="2972" t="s">
        <v>3131</v>
      </c>
    </row>
    <row r="34" spans="2:7">
      <c r="B34" s="3422" t="s">
        <v>3169</v>
      </c>
      <c r="C34" s="3422"/>
      <c r="D34" s="2973">
        <v>100</v>
      </c>
      <c r="E34" s="2973">
        <v>100</v>
      </c>
      <c r="F34" s="2973">
        <v>100</v>
      </c>
      <c r="G34" s="2973">
        <v>100</v>
      </c>
    </row>
    <row r="35" spans="2:7">
      <c r="B35" s="3422" t="s">
        <v>3133</v>
      </c>
      <c r="C35" s="3422"/>
      <c r="D35" s="2973">
        <v>100</v>
      </c>
      <c r="E35" s="2973">
        <v>100</v>
      </c>
      <c r="F35" s="2973">
        <v>100</v>
      </c>
      <c r="G35" s="2973">
        <v>100</v>
      </c>
    </row>
    <row r="36" spans="2:7">
      <c r="B36" s="3423" t="s">
        <v>3146</v>
      </c>
      <c r="C36" s="2974" t="str">
        <f>C7</f>
        <v>用途</v>
      </c>
      <c r="D36" s="2973">
        <v>100</v>
      </c>
      <c r="E36" s="2973">
        <v>100</v>
      </c>
      <c r="F36" s="2973">
        <v>100</v>
      </c>
      <c r="G36" s="2973">
        <v>100</v>
      </c>
    </row>
    <row r="37" spans="2:7">
      <c r="B37" s="3423"/>
      <c r="C37" s="3064" t="str">
        <f t="shared" ref="C37:C38" si="0">C8</f>
        <v>土地使用年限（年）</v>
      </c>
      <c r="D37" s="2973">
        <v>100</v>
      </c>
      <c r="E37" s="2973">
        <v>100</v>
      </c>
      <c r="F37" s="2973">
        <v>100</v>
      </c>
      <c r="G37" s="2973">
        <v>100</v>
      </c>
    </row>
    <row r="38" spans="2:7">
      <c r="B38" s="3423"/>
      <c r="C38" s="3064" t="str">
        <f t="shared" si="0"/>
        <v>容积率</v>
      </c>
      <c r="D38" s="2973">
        <v>100</v>
      </c>
      <c r="E38" s="2973">
        <v>100</v>
      </c>
      <c r="F38" s="2973">
        <v>100</v>
      </c>
      <c r="G38" s="2973">
        <v>100</v>
      </c>
    </row>
    <row r="39" spans="2:7">
      <c r="B39" s="3424" t="s">
        <v>3135</v>
      </c>
      <c r="C39" s="2974" t="str">
        <f>C10</f>
        <v>商业繁华度</v>
      </c>
      <c r="D39" s="2973">
        <v>100</v>
      </c>
      <c r="E39" s="2973">
        <v>100</v>
      </c>
      <c r="F39" s="2973">
        <v>100</v>
      </c>
      <c r="G39" s="2973">
        <v>100</v>
      </c>
    </row>
    <row r="40" spans="2:7">
      <c r="B40" s="3424"/>
      <c r="C40" s="3064" t="str">
        <f t="shared" ref="C40:C47" si="1">C11</f>
        <v>交通便捷度</v>
      </c>
      <c r="D40" s="2973">
        <v>100</v>
      </c>
      <c r="E40" s="2973">
        <v>100</v>
      </c>
      <c r="F40" s="2973">
        <v>100</v>
      </c>
      <c r="G40" s="2973">
        <v>100</v>
      </c>
    </row>
    <row r="41" spans="2:7">
      <c r="B41" s="3424"/>
      <c r="C41" s="3064" t="str">
        <f t="shared" si="1"/>
        <v>公共配套设施</v>
      </c>
      <c r="D41" s="2973">
        <v>100</v>
      </c>
      <c r="E41" s="2973">
        <v>100</v>
      </c>
      <c r="F41" s="2973">
        <v>100</v>
      </c>
      <c r="G41" s="2973">
        <v>100</v>
      </c>
    </row>
    <row r="42" spans="2:7">
      <c r="B42" s="3424"/>
      <c r="C42" s="3064" t="str">
        <f t="shared" si="1"/>
        <v>区域基础设施水平</v>
      </c>
      <c r="D42" s="2973">
        <v>100</v>
      </c>
      <c r="E42" s="2973">
        <v>100</v>
      </c>
      <c r="F42" s="2973">
        <v>100</v>
      </c>
      <c r="G42" s="2973">
        <v>100</v>
      </c>
    </row>
    <row r="43" spans="2:7">
      <c r="B43" s="3424"/>
      <c r="C43" s="3064" t="str">
        <f t="shared" si="1"/>
        <v>自然及人文环境</v>
      </c>
      <c r="D43" s="2973">
        <v>100</v>
      </c>
      <c r="E43" s="2973">
        <v>100</v>
      </c>
      <c r="F43" s="2973">
        <v>100</v>
      </c>
      <c r="G43" s="2973">
        <v>100</v>
      </c>
    </row>
    <row r="44" spans="2:7">
      <c r="B44" s="3424"/>
      <c r="C44" s="3064" t="str">
        <f t="shared" si="1"/>
        <v>临街状况</v>
      </c>
      <c r="D44" s="2973">
        <v>100</v>
      </c>
      <c r="E44" s="2973">
        <v>100</v>
      </c>
      <c r="F44" s="2973">
        <v>100</v>
      </c>
      <c r="G44" s="2973">
        <v>100</v>
      </c>
    </row>
    <row r="45" spans="2:7">
      <c r="B45" s="3424"/>
      <c r="C45" s="3064" t="str">
        <f t="shared" si="1"/>
        <v>可视性</v>
      </c>
      <c r="D45" s="2973">
        <v>100</v>
      </c>
      <c r="E45" s="2973">
        <v>100</v>
      </c>
      <c r="F45" s="2973">
        <v>100</v>
      </c>
      <c r="G45" s="2973">
        <v>100</v>
      </c>
    </row>
    <row r="46" spans="2:7">
      <c r="B46" s="3424"/>
      <c r="C46" s="3064" t="str">
        <f t="shared" si="1"/>
        <v>人流量</v>
      </c>
      <c r="D46" s="2973">
        <v>100</v>
      </c>
      <c r="E46" s="2973">
        <v>100</v>
      </c>
      <c r="F46" s="2973">
        <v>100</v>
      </c>
      <c r="G46" s="2973">
        <v>100</v>
      </c>
    </row>
    <row r="47" spans="2:7">
      <c r="B47" s="3424"/>
      <c r="C47" s="3064" t="str">
        <f t="shared" si="1"/>
        <v>楼层</v>
      </c>
      <c r="D47" s="2973">
        <v>100</v>
      </c>
      <c r="E47" s="2973">
        <v>100</v>
      </c>
      <c r="F47" s="2973">
        <v>100</v>
      </c>
      <c r="G47" s="2973">
        <v>100</v>
      </c>
    </row>
    <row r="48" spans="2:7">
      <c r="B48" s="3423" t="s">
        <v>3138</v>
      </c>
      <c r="C48" s="2974" t="str">
        <f>C19</f>
        <v>商业类型</v>
      </c>
      <c r="D48" s="2973">
        <v>100</v>
      </c>
      <c r="E48" s="2973">
        <v>100</v>
      </c>
      <c r="F48" s="2973">
        <v>100</v>
      </c>
      <c r="G48" s="2973">
        <v>100</v>
      </c>
    </row>
    <row r="49" spans="2:9">
      <c r="B49" s="3423"/>
      <c r="C49" s="3064" t="str">
        <f t="shared" ref="C49:C58" si="2">C20</f>
        <v>建筑结构</v>
      </c>
      <c r="D49" s="2973">
        <v>100</v>
      </c>
      <c r="E49" s="2973">
        <v>100</v>
      </c>
      <c r="F49" s="2973">
        <v>100</v>
      </c>
      <c r="G49" s="2973">
        <v>100</v>
      </c>
    </row>
    <row r="50" spans="2:9">
      <c r="B50" s="3423"/>
      <c r="C50" s="3064" t="str">
        <f t="shared" si="2"/>
        <v>公共部分装修</v>
      </c>
      <c r="D50" s="2973">
        <v>100</v>
      </c>
      <c r="E50" s="2973">
        <v>100</v>
      </c>
      <c r="F50" s="2973">
        <v>100</v>
      </c>
      <c r="G50" s="2973">
        <v>100</v>
      </c>
    </row>
    <row r="51" spans="2:9">
      <c r="B51" s="3423"/>
      <c r="C51" s="3064" t="str">
        <f t="shared" si="2"/>
        <v>成新率</v>
      </c>
      <c r="D51" s="2973">
        <v>100</v>
      </c>
      <c r="E51" s="2973">
        <v>102</v>
      </c>
      <c r="F51" s="2973">
        <v>102</v>
      </c>
      <c r="G51" s="2973">
        <v>102</v>
      </c>
    </row>
    <row r="52" spans="2:9">
      <c r="B52" s="3423"/>
      <c r="C52" s="3064" t="str">
        <f t="shared" si="2"/>
        <v>市政基础设施</v>
      </c>
      <c r="D52" s="2973">
        <v>100</v>
      </c>
      <c r="E52" s="2973">
        <v>100</v>
      </c>
      <c r="F52" s="2973">
        <v>100</v>
      </c>
      <c r="G52" s="2973">
        <v>100</v>
      </c>
    </row>
    <row r="53" spans="2:9">
      <c r="B53" s="3423"/>
      <c r="C53" s="3064" t="str">
        <f t="shared" si="2"/>
        <v>业态</v>
      </c>
      <c r="D53" s="2973">
        <v>100</v>
      </c>
      <c r="E53" s="2973">
        <v>100</v>
      </c>
      <c r="F53" s="2973">
        <v>100</v>
      </c>
      <c r="G53" s="2973">
        <v>100</v>
      </c>
    </row>
    <row r="54" spans="2:9">
      <c r="B54" s="3423"/>
      <c r="C54" s="3064" t="str">
        <f t="shared" si="2"/>
        <v>层高</v>
      </c>
      <c r="D54" s="2973">
        <v>100</v>
      </c>
      <c r="E54" s="2973">
        <v>100</v>
      </c>
      <c r="F54" s="2973">
        <v>100</v>
      </c>
      <c r="G54" s="2973">
        <v>100</v>
      </c>
    </row>
    <row r="55" spans="2:9">
      <c r="B55" s="3423"/>
      <c r="C55" s="3064" t="str">
        <f t="shared" si="2"/>
        <v>单套建筑面积（平方米）</v>
      </c>
      <c r="D55" s="2973">
        <v>100</v>
      </c>
      <c r="E55" s="2973">
        <v>100</v>
      </c>
      <c r="F55" s="2973">
        <v>100</v>
      </c>
      <c r="G55" s="2973">
        <v>100</v>
      </c>
    </row>
    <row r="56" spans="2:9" ht="14.25" thickBot="1">
      <c r="B56" s="3423"/>
      <c r="C56" s="3064" t="str">
        <f t="shared" si="2"/>
        <v>进深比</v>
      </c>
      <c r="D56" s="2973">
        <v>100</v>
      </c>
      <c r="E56" s="2973">
        <v>100</v>
      </c>
      <c r="F56" s="2973">
        <v>100</v>
      </c>
      <c r="G56" s="2973">
        <v>100</v>
      </c>
      <c r="H56" s="2971"/>
    </row>
    <row r="57" spans="2:9">
      <c r="B57" s="3423"/>
      <c r="C57" s="3064" t="str">
        <f t="shared" si="2"/>
        <v>内部装修</v>
      </c>
      <c r="D57" s="2973">
        <v>100</v>
      </c>
      <c r="E57" s="2973">
        <v>100</v>
      </c>
      <c r="F57" s="2973">
        <v>100</v>
      </c>
      <c r="G57" s="2973">
        <v>100</v>
      </c>
    </row>
    <row r="58" spans="2:9">
      <c r="B58" s="3423"/>
      <c r="C58" s="3064" t="str">
        <f t="shared" si="2"/>
        <v>内部装修维护状况</v>
      </c>
      <c r="D58" s="2973">
        <v>100</v>
      </c>
      <c r="E58" s="2973">
        <v>103</v>
      </c>
      <c r="F58" s="2973">
        <v>103</v>
      </c>
      <c r="G58" s="2973">
        <v>103</v>
      </c>
    </row>
    <row r="62" spans="2:9" ht="14.25" thickBot="1"/>
    <row r="63" spans="2:9" ht="14.25" thickBot="1">
      <c r="B63" s="3410" t="s">
        <v>3127</v>
      </c>
      <c r="C63" s="3411"/>
      <c r="D63" s="3425" t="s">
        <v>3129</v>
      </c>
      <c r="E63" s="3426"/>
      <c r="F63" s="3425" t="s">
        <v>3130</v>
      </c>
      <c r="G63" s="3426"/>
      <c r="H63" s="3425" t="s">
        <v>3131</v>
      </c>
      <c r="I63" s="3426"/>
    </row>
    <row r="64" spans="2:9" ht="14.25" thickBot="1">
      <c r="B64" s="3427" t="s">
        <v>3169</v>
      </c>
      <c r="C64" s="3428"/>
      <c r="D64" s="2975" t="s">
        <v>3170</v>
      </c>
      <c r="E64" s="2971">
        <f>E34</f>
        <v>100</v>
      </c>
      <c r="F64" s="2975" t="s">
        <v>3170</v>
      </c>
      <c r="G64" s="2971">
        <f>F34</f>
        <v>100</v>
      </c>
      <c r="H64" s="2975" t="s">
        <v>3170</v>
      </c>
      <c r="I64" s="2971">
        <f>G34</f>
        <v>100</v>
      </c>
    </row>
    <row r="65" spans="2:9" ht="14.25" thickBot="1">
      <c r="B65" s="3427" t="s">
        <v>3133</v>
      </c>
      <c r="C65" s="3428"/>
      <c r="D65" s="2975" t="s">
        <v>3170</v>
      </c>
      <c r="E65" s="2971">
        <f t="shared" ref="E65:E88" si="3">E35</f>
        <v>100</v>
      </c>
      <c r="F65" s="2975" t="s">
        <v>3170</v>
      </c>
      <c r="G65" s="2971">
        <f t="shared" ref="G65:G88" si="4">F35</f>
        <v>100</v>
      </c>
      <c r="H65" s="2975" t="s">
        <v>3170</v>
      </c>
      <c r="I65" s="2971">
        <f t="shared" ref="I65:I88" si="5">G35</f>
        <v>100</v>
      </c>
    </row>
    <row r="66" spans="2:9" ht="14.25" thickBot="1">
      <c r="B66" s="3429" t="s">
        <v>3146</v>
      </c>
      <c r="C66" s="2968" t="str">
        <f>C36</f>
        <v>用途</v>
      </c>
      <c r="D66" s="2975" t="s">
        <v>3170</v>
      </c>
      <c r="E66" s="2971">
        <f t="shared" si="3"/>
        <v>100</v>
      </c>
      <c r="F66" s="2975" t="s">
        <v>3170</v>
      </c>
      <c r="G66" s="2971">
        <f t="shared" si="4"/>
        <v>100</v>
      </c>
      <c r="H66" s="2975" t="s">
        <v>3170</v>
      </c>
      <c r="I66" s="2971">
        <f t="shared" si="5"/>
        <v>100</v>
      </c>
    </row>
    <row r="67" spans="2:9" ht="14.25" thickBot="1">
      <c r="B67" s="3421"/>
      <c r="C67" s="2968" t="str">
        <f t="shared" ref="C67:C68" si="6">C37</f>
        <v>土地使用年限（年）</v>
      </c>
      <c r="D67" s="2975" t="s">
        <v>3170</v>
      </c>
      <c r="E67" s="2971">
        <f t="shared" si="3"/>
        <v>100</v>
      </c>
      <c r="F67" s="2975" t="s">
        <v>3170</v>
      </c>
      <c r="G67" s="2971">
        <f t="shared" si="4"/>
        <v>100</v>
      </c>
      <c r="H67" s="2975" t="s">
        <v>3170</v>
      </c>
      <c r="I67" s="2971">
        <f t="shared" si="5"/>
        <v>100</v>
      </c>
    </row>
    <row r="68" spans="2:9" ht="14.25" thickBot="1">
      <c r="B68" s="3430"/>
      <c r="C68" s="2968" t="str">
        <f t="shared" si="6"/>
        <v>容积率</v>
      </c>
      <c r="D68" s="2975" t="s">
        <v>3170</v>
      </c>
      <c r="E68" s="2971">
        <f t="shared" si="3"/>
        <v>100</v>
      </c>
      <c r="F68" s="2975" t="s">
        <v>3170</v>
      </c>
      <c r="G68" s="2971">
        <f t="shared" si="4"/>
        <v>100</v>
      </c>
      <c r="H68" s="2975" t="s">
        <v>3170</v>
      </c>
      <c r="I68" s="2971">
        <f t="shared" si="5"/>
        <v>100</v>
      </c>
    </row>
    <row r="69" spans="2:9" ht="14.25" thickBot="1">
      <c r="B69" s="3414" t="s">
        <v>3135</v>
      </c>
      <c r="C69" s="2968" t="str">
        <f>C39</f>
        <v>商业繁华度</v>
      </c>
      <c r="D69" s="2975" t="s">
        <v>3170</v>
      </c>
      <c r="E69" s="2971">
        <f t="shared" si="3"/>
        <v>100</v>
      </c>
      <c r="F69" s="2975" t="s">
        <v>3170</v>
      </c>
      <c r="G69" s="2971">
        <f t="shared" si="4"/>
        <v>100</v>
      </c>
      <c r="H69" s="2975" t="s">
        <v>3170</v>
      </c>
      <c r="I69" s="2971">
        <f t="shared" si="5"/>
        <v>100</v>
      </c>
    </row>
    <row r="70" spans="2:9" ht="14.25" thickBot="1">
      <c r="B70" s="3415"/>
      <c r="C70" s="3065" t="str">
        <f t="shared" ref="C70:C77" si="7">C40</f>
        <v>交通便捷度</v>
      </c>
      <c r="D70" s="2975" t="s">
        <v>3170</v>
      </c>
      <c r="E70" s="2971">
        <f t="shared" si="3"/>
        <v>100</v>
      </c>
      <c r="F70" s="2975" t="s">
        <v>3170</v>
      </c>
      <c r="G70" s="2971">
        <f t="shared" si="4"/>
        <v>100</v>
      </c>
      <c r="H70" s="2975" t="s">
        <v>3170</v>
      </c>
      <c r="I70" s="2971">
        <f t="shared" si="5"/>
        <v>100</v>
      </c>
    </row>
    <row r="71" spans="2:9" ht="14.25" thickBot="1">
      <c r="B71" s="3415"/>
      <c r="C71" s="3065" t="str">
        <f t="shared" si="7"/>
        <v>公共配套设施</v>
      </c>
      <c r="D71" s="2975" t="s">
        <v>3170</v>
      </c>
      <c r="E71" s="2971">
        <f t="shared" si="3"/>
        <v>100</v>
      </c>
      <c r="F71" s="2975" t="s">
        <v>3170</v>
      </c>
      <c r="G71" s="2971">
        <f t="shared" si="4"/>
        <v>100</v>
      </c>
      <c r="H71" s="2975" t="s">
        <v>3170</v>
      </c>
      <c r="I71" s="2971">
        <f t="shared" si="5"/>
        <v>100</v>
      </c>
    </row>
    <row r="72" spans="2:9" ht="14.25" thickBot="1">
      <c r="B72" s="3415"/>
      <c r="C72" s="3065" t="str">
        <f t="shared" si="7"/>
        <v>区域基础设施水平</v>
      </c>
      <c r="D72" s="2975" t="s">
        <v>3170</v>
      </c>
      <c r="E72" s="2971">
        <f t="shared" si="3"/>
        <v>100</v>
      </c>
      <c r="F72" s="2975" t="s">
        <v>3170</v>
      </c>
      <c r="G72" s="2971">
        <f t="shared" si="4"/>
        <v>100</v>
      </c>
      <c r="H72" s="2975" t="s">
        <v>3170</v>
      </c>
      <c r="I72" s="2971">
        <f t="shared" si="5"/>
        <v>100</v>
      </c>
    </row>
    <row r="73" spans="2:9" ht="14.25" thickBot="1">
      <c r="B73" s="3415"/>
      <c r="C73" s="3065" t="str">
        <f t="shared" si="7"/>
        <v>自然及人文环境</v>
      </c>
      <c r="D73" s="2975" t="s">
        <v>3170</v>
      </c>
      <c r="E73" s="2971">
        <f t="shared" si="3"/>
        <v>100</v>
      </c>
      <c r="F73" s="2975" t="s">
        <v>3170</v>
      </c>
      <c r="G73" s="2971">
        <f t="shared" si="4"/>
        <v>100</v>
      </c>
      <c r="H73" s="2975" t="s">
        <v>3170</v>
      </c>
      <c r="I73" s="2971">
        <f t="shared" si="5"/>
        <v>100</v>
      </c>
    </row>
    <row r="74" spans="2:9" ht="14.25" thickBot="1">
      <c r="B74" s="3415"/>
      <c r="C74" s="3065" t="str">
        <f t="shared" si="7"/>
        <v>临街状况</v>
      </c>
      <c r="D74" s="2975" t="s">
        <v>3170</v>
      </c>
      <c r="E74" s="2971">
        <f t="shared" si="3"/>
        <v>100</v>
      </c>
      <c r="F74" s="2975" t="s">
        <v>3170</v>
      </c>
      <c r="G74" s="2971">
        <f t="shared" si="4"/>
        <v>100</v>
      </c>
      <c r="H74" s="2975" t="s">
        <v>3170</v>
      </c>
      <c r="I74" s="2971">
        <f t="shared" si="5"/>
        <v>100</v>
      </c>
    </row>
    <row r="75" spans="2:9" ht="14.25" thickBot="1">
      <c r="B75" s="3415"/>
      <c r="C75" s="3065" t="str">
        <f t="shared" si="7"/>
        <v>可视性</v>
      </c>
      <c r="D75" s="2975" t="s">
        <v>3170</v>
      </c>
      <c r="E75" s="2971">
        <f t="shared" si="3"/>
        <v>100</v>
      </c>
      <c r="F75" s="2975" t="s">
        <v>3170</v>
      </c>
      <c r="G75" s="2971">
        <f t="shared" si="4"/>
        <v>100</v>
      </c>
      <c r="H75" s="2975" t="s">
        <v>3170</v>
      </c>
      <c r="I75" s="2971">
        <f t="shared" si="5"/>
        <v>100</v>
      </c>
    </row>
    <row r="76" spans="2:9" ht="14.25" thickBot="1">
      <c r="B76" s="3415"/>
      <c r="C76" s="3065" t="str">
        <f t="shared" si="7"/>
        <v>人流量</v>
      </c>
      <c r="D76" s="2975" t="s">
        <v>3170</v>
      </c>
      <c r="E76" s="2971">
        <f t="shared" si="3"/>
        <v>100</v>
      </c>
      <c r="F76" s="2975" t="s">
        <v>3170</v>
      </c>
      <c r="G76" s="2971">
        <f t="shared" si="4"/>
        <v>100</v>
      </c>
      <c r="H76" s="2975" t="s">
        <v>3170</v>
      </c>
      <c r="I76" s="2971">
        <f t="shared" si="5"/>
        <v>100</v>
      </c>
    </row>
    <row r="77" spans="2:9" ht="14.25" thickBot="1">
      <c r="B77" s="3416"/>
      <c r="C77" s="3065" t="str">
        <f t="shared" si="7"/>
        <v>楼层</v>
      </c>
      <c r="D77" s="2975" t="s">
        <v>3170</v>
      </c>
      <c r="E77" s="2971">
        <f t="shared" si="3"/>
        <v>100</v>
      </c>
      <c r="F77" s="2975" t="s">
        <v>3170</v>
      </c>
      <c r="G77" s="2971">
        <f t="shared" si="4"/>
        <v>100</v>
      </c>
      <c r="H77" s="2975" t="s">
        <v>3170</v>
      </c>
      <c r="I77" s="2971">
        <f t="shared" si="5"/>
        <v>100</v>
      </c>
    </row>
    <row r="78" spans="2:9" ht="14.25" thickBot="1">
      <c r="B78" s="3414" t="s">
        <v>3138</v>
      </c>
      <c r="C78" s="3047" t="str">
        <f>C48</f>
        <v>商业类型</v>
      </c>
      <c r="D78" s="2975" t="s">
        <v>3170</v>
      </c>
      <c r="E78" s="2971">
        <f t="shared" si="3"/>
        <v>100</v>
      </c>
      <c r="F78" s="2975" t="s">
        <v>3170</v>
      </c>
      <c r="G78" s="2971">
        <f t="shared" si="4"/>
        <v>100</v>
      </c>
      <c r="H78" s="2975" t="s">
        <v>3170</v>
      </c>
      <c r="I78" s="2971">
        <f t="shared" si="5"/>
        <v>100</v>
      </c>
    </row>
    <row r="79" spans="2:9" ht="14.25" thickBot="1">
      <c r="B79" s="3415"/>
      <c r="C79" s="3065" t="str">
        <f t="shared" ref="C79:C88" si="8">C49</f>
        <v>建筑结构</v>
      </c>
      <c r="D79" s="2975" t="s">
        <v>3170</v>
      </c>
      <c r="E79" s="2971">
        <f t="shared" si="3"/>
        <v>100</v>
      </c>
      <c r="F79" s="2975" t="s">
        <v>3170</v>
      </c>
      <c r="G79" s="2971">
        <f t="shared" si="4"/>
        <v>100</v>
      </c>
      <c r="H79" s="2975" t="s">
        <v>3170</v>
      </c>
      <c r="I79" s="2971">
        <f t="shared" si="5"/>
        <v>100</v>
      </c>
    </row>
    <row r="80" spans="2:9" ht="14.25" thickBot="1">
      <c r="B80" s="3415"/>
      <c r="C80" s="3065" t="str">
        <f t="shared" si="8"/>
        <v>公共部分装修</v>
      </c>
      <c r="D80" s="2975" t="s">
        <v>3170</v>
      </c>
      <c r="E80" s="2971">
        <f t="shared" si="3"/>
        <v>100</v>
      </c>
      <c r="F80" s="2975" t="s">
        <v>3170</v>
      </c>
      <c r="G80" s="2971">
        <f t="shared" si="4"/>
        <v>100</v>
      </c>
      <c r="H80" s="2975" t="s">
        <v>3170</v>
      </c>
      <c r="I80" s="2971">
        <f t="shared" si="5"/>
        <v>100</v>
      </c>
    </row>
    <row r="81" spans="2:9" ht="14.25" thickBot="1">
      <c r="B81" s="3415"/>
      <c r="C81" s="3065" t="str">
        <f t="shared" si="8"/>
        <v>成新率</v>
      </c>
      <c r="D81" s="2975" t="s">
        <v>3170</v>
      </c>
      <c r="E81" s="2971">
        <f t="shared" si="3"/>
        <v>102</v>
      </c>
      <c r="F81" s="2975" t="s">
        <v>3170</v>
      </c>
      <c r="G81" s="2971">
        <f t="shared" si="4"/>
        <v>102</v>
      </c>
      <c r="H81" s="2975" t="s">
        <v>3170</v>
      </c>
      <c r="I81" s="2971">
        <f t="shared" si="5"/>
        <v>102</v>
      </c>
    </row>
    <row r="82" spans="2:9" ht="14.25" thickBot="1">
      <c r="B82" s="3415"/>
      <c r="C82" s="3065" t="str">
        <f t="shared" si="8"/>
        <v>市政基础设施</v>
      </c>
      <c r="D82" s="2975" t="s">
        <v>3170</v>
      </c>
      <c r="E82" s="2971">
        <f t="shared" si="3"/>
        <v>100</v>
      </c>
      <c r="F82" s="2975" t="s">
        <v>3170</v>
      </c>
      <c r="G82" s="2971">
        <f t="shared" si="4"/>
        <v>100</v>
      </c>
      <c r="H82" s="2975" t="s">
        <v>3170</v>
      </c>
      <c r="I82" s="2971">
        <f t="shared" si="5"/>
        <v>100</v>
      </c>
    </row>
    <row r="83" spans="2:9" ht="14.25" thickBot="1">
      <c r="B83" s="3415"/>
      <c r="C83" s="3065" t="str">
        <f t="shared" si="8"/>
        <v>业态</v>
      </c>
      <c r="D83" s="2975" t="s">
        <v>3170</v>
      </c>
      <c r="E83" s="2971">
        <f t="shared" si="3"/>
        <v>100</v>
      </c>
      <c r="F83" s="2975" t="s">
        <v>3170</v>
      </c>
      <c r="G83" s="2971">
        <f t="shared" si="4"/>
        <v>100</v>
      </c>
      <c r="H83" s="2975" t="s">
        <v>3170</v>
      </c>
      <c r="I83" s="2971">
        <f t="shared" si="5"/>
        <v>100</v>
      </c>
    </row>
    <row r="84" spans="2:9" ht="14.25" thickBot="1">
      <c r="B84" s="3415"/>
      <c r="C84" s="3065" t="str">
        <f t="shared" si="8"/>
        <v>层高</v>
      </c>
      <c r="D84" s="2975" t="s">
        <v>3170</v>
      </c>
      <c r="E84" s="2971">
        <f t="shared" si="3"/>
        <v>100</v>
      </c>
      <c r="F84" s="2975" t="s">
        <v>3170</v>
      </c>
      <c r="G84" s="2971">
        <f t="shared" si="4"/>
        <v>100</v>
      </c>
      <c r="H84" s="2975" t="s">
        <v>3170</v>
      </c>
      <c r="I84" s="2971">
        <f t="shared" si="5"/>
        <v>100</v>
      </c>
    </row>
    <row r="85" spans="2:9" ht="14.25" thickBot="1">
      <c r="B85" s="3415"/>
      <c r="C85" s="3065" t="str">
        <f t="shared" si="8"/>
        <v>单套建筑面积（平方米）</v>
      </c>
      <c r="D85" s="2975" t="s">
        <v>3170</v>
      </c>
      <c r="E85" s="2971">
        <f t="shared" si="3"/>
        <v>100</v>
      </c>
      <c r="F85" s="2975" t="s">
        <v>3170</v>
      </c>
      <c r="G85" s="2971">
        <f t="shared" si="4"/>
        <v>100</v>
      </c>
      <c r="H85" s="2975" t="s">
        <v>3170</v>
      </c>
      <c r="I85" s="2971">
        <f t="shared" si="5"/>
        <v>100</v>
      </c>
    </row>
    <row r="86" spans="2:9" ht="14.25" thickBot="1">
      <c r="B86" s="3415"/>
      <c r="C86" s="3065" t="str">
        <f t="shared" si="8"/>
        <v>进深比</v>
      </c>
      <c r="D86" s="2975" t="s">
        <v>3170</v>
      </c>
      <c r="E86" s="2971">
        <f t="shared" si="3"/>
        <v>100</v>
      </c>
      <c r="F86" s="2975" t="s">
        <v>3170</v>
      </c>
      <c r="G86" s="2971">
        <f t="shared" si="4"/>
        <v>100</v>
      </c>
      <c r="H86" s="2975" t="s">
        <v>3170</v>
      </c>
      <c r="I86" s="2971">
        <f t="shared" si="5"/>
        <v>100</v>
      </c>
    </row>
    <row r="87" spans="2:9" ht="14.25" thickBot="1">
      <c r="B87" s="3415"/>
      <c r="C87" s="3065" t="str">
        <f t="shared" si="8"/>
        <v>内部装修</v>
      </c>
      <c r="D87" s="2975" t="s">
        <v>3170</v>
      </c>
      <c r="E87" s="2971">
        <f t="shared" si="3"/>
        <v>100</v>
      </c>
      <c r="F87" s="2975" t="s">
        <v>3170</v>
      </c>
      <c r="G87" s="2971">
        <f t="shared" si="4"/>
        <v>100</v>
      </c>
      <c r="H87" s="2975" t="s">
        <v>3170</v>
      </c>
      <c r="I87" s="2971">
        <f t="shared" si="5"/>
        <v>100</v>
      </c>
    </row>
    <row r="88" spans="2:9" ht="14.25" thickBot="1">
      <c r="B88" s="3415"/>
      <c r="C88" s="3065" t="str">
        <f t="shared" si="8"/>
        <v>内部装修维护状况</v>
      </c>
      <c r="D88" s="2975" t="s">
        <v>3170</v>
      </c>
      <c r="E88" s="2971">
        <f t="shared" si="3"/>
        <v>103</v>
      </c>
      <c r="F88" s="2975" t="s">
        <v>3170</v>
      </c>
      <c r="G88" s="2971">
        <f t="shared" si="4"/>
        <v>103</v>
      </c>
      <c r="H88" s="2975" t="s">
        <v>3170</v>
      </c>
      <c r="I88" s="2971">
        <f t="shared" si="5"/>
        <v>103</v>
      </c>
    </row>
    <row r="89" spans="2:9" ht="14.25" thickBot="1">
      <c r="B89" s="3431" t="s">
        <v>3171</v>
      </c>
      <c r="C89" s="3432"/>
      <c r="D89" s="3410">
        <f>'比较法-商业'!E47</f>
        <v>28975</v>
      </c>
      <c r="E89" s="3411"/>
      <c r="F89" s="3410">
        <f>'比较法-商业'!G47</f>
        <v>33950</v>
      </c>
      <c r="G89" s="3411"/>
      <c r="H89" s="3410">
        <f>'比较法-商业'!I47</f>
        <v>32010</v>
      </c>
      <c r="I89" s="3411"/>
    </row>
    <row r="90" spans="2:9" ht="14.25" thickBot="1">
      <c r="B90" s="3431" t="s">
        <v>3172</v>
      </c>
      <c r="C90" s="3432"/>
      <c r="D90" s="3410">
        <f>'比较法-商业'!E48</f>
        <v>27579</v>
      </c>
      <c r="E90" s="3411"/>
      <c r="F90" s="3410">
        <f>'比较法-商业'!G48</f>
        <v>32315</v>
      </c>
      <c r="G90" s="3411"/>
      <c r="H90" s="3410">
        <f>'比较法-商业'!I48</f>
        <v>30468</v>
      </c>
      <c r="I90" s="3411"/>
    </row>
    <row r="116" spans="4:12">
      <c r="D116" s="3044" t="s">
        <v>3560</v>
      </c>
      <c r="E116" s="3044" t="s">
        <v>3561</v>
      </c>
      <c r="F116" s="3044" t="s">
        <v>3562</v>
      </c>
      <c r="G116" s="3044" t="s">
        <v>3565</v>
      </c>
      <c r="H116" s="3044" t="s">
        <v>3567</v>
      </c>
    </row>
    <row r="117" spans="4:12">
      <c r="D117" s="3044" t="s">
        <v>3563</v>
      </c>
      <c r="E117" s="3045">
        <f>典型户型修正!B22</f>
        <v>39089.930000000037</v>
      </c>
      <c r="F117" s="3045">
        <f ca="1">典型户型修正!S22</f>
        <v>102448</v>
      </c>
      <c r="G117" s="3045">
        <f ca="1">典型户型修正!R22</f>
        <v>26208</v>
      </c>
      <c r="H117" s="3045"/>
      <c r="J117" s="3046">
        <f>2764/4</f>
        <v>691</v>
      </c>
      <c r="K117">
        <f>J117*E117/10000</f>
        <v>2701.1141630000025</v>
      </c>
      <c r="L117">
        <f ca="1">F117-K117</f>
        <v>99746.885836999994</v>
      </c>
    </row>
    <row r="118" spans="4:12">
      <c r="D118" s="3044" t="s">
        <v>3573</v>
      </c>
      <c r="E118" s="3045">
        <f>[1]典型户型修正!$B$22</f>
        <v>4020.0999999999995</v>
      </c>
      <c r="F118" s="3045">
        <f>[1]典型户型修正!$S$22</f>
        <v>9962</v>
      </c>
      <c r="G118" s="3045">
        <f>[1]典型户型修正!$R$22</f>
        <v>24780</v>
      </c>
      <c r="H118" s="3045"/>
    </row>
    <row r="119" spans="4:12">
      <c r="D119" s="3044" t="s">
        <v>3572</v>
      </c>
      <c r="E119" s="3045">
        <f>[2]典型户型修正!$B$22</f>
        <v>13354.179999999989</v>
      </c>
      <c r="F119" s="3045">
        <f>[2]典型户型修正!$S$22</f>
        <v>34766</v>
      </c>
      <c r="G119" s="3045">
        <f>[2]典型户型修正!$R$22</f>
        <v>26034</v>
      </c>
      <c r="H119" s="3045"/>
    </row>
    <row r="120" spans="4:12" ht="54">
      <c r="D120" s="3044" t="s">
        <v>3564</v>
      </c>
      <c r="E120" s="3045">
        <f>[3]典型户型修正!$B$22</f>
        <v>14780.880000000001</v>
      </c>
      <c r="F120" s="3045">
        <f>[3]典型户型修正!$S$22</f>
        <v>37594</v>
      </c>
      <c r="G120" s="3045">
        <f>[3]典型户型修正!$R$22</f>
        <v>25434</v>
      </c>
      <c r="H120" s="3044" t="s">
        <v>3570</v>
      </c>
    </row>
    <row r="121" spans="4:12" ht="54">
      <c r="D121" s="3044" t="s">
        <v>3566</v>
      </c>
      <c r="E121" s="3045">
        <f>[4]典型户型修正!$B$22</f>
        <v>10648.419999999995</v>
      </c>
      <c r="F121" s="3045">
        <f>[4]典型户型修正!$S$22</f>
        <v>29909</v>
      </c>
      <c r="G121" s="3045">
        <f>[4]典型户型修正!$R$22</f>
        <v>28088</v>
      </c>
      <c r="H121" s="3044" t="s">
        <v>3568</v>
      </c>
    </row>
    <row r="122" spans="4:12">
      <c r="D122" s="3044" t="s">
        <v>3569</v>
      </c>
      <c r="E122" s="3045">
        <f>SUM(E117:E121)</f>
        <v>81893.510000000024</v>
      </c>
      <c r="F122" s="3045">
        <f ca="1">SUM(F117:F121)</f>
        <v>214679</v>
      </c>
      <c r="G122" s="3045"/>
      <c r="H122" s="3045"/>
    </row>
  </sheetData>
  <mergeCells count="35">
    <mergeCell ref="J18:J27"/>
    <mergeCell ref="J2:K4"/>
    <mergeCell ref="J5:K5"/>
    <mergeCell ref="J6:K6"/>
    <mergeCell ref="J7:J8"/>
    <mergeCell ref="J9:J17"/>
    <mergeCell ref="B90:C90"/>
    <mergeCell ref="D90:E90"/>
    <mergeCell ref="F90:G90"/>
    <mergeCell ref="H90:I90"/>
    <mergeCell ref="F89:G89"/>
    <mergeCell ref="B69:B77"/>
    <mergeCell ref="B78:B88"/>
    <mergeCell ref="B89:C89"/>
    <mergeCell ref="D89:E89"/>
    <mergeCell ref="H89:I89"/>
    <mergeCell ref="D63:E63"/>
    <mergeCell ref="F63:G63"/>
    <mergeCell ref="H63:I63"/>
    <mergeCell ref="B64:C64"/>
    <mergeCell ref="B66:B68"/>
    <mergeCell ref="B65:C65"/>
    <mergeCell ref="B63:C63"/>
    <mergeCell ref="B33:C33"/>
    <mergeCell ref="B34:C34"/>
    <mergeCell ref="B35:C35"/>
    <mergeCell ref="B36:B38"/>
    <mergeCell ref="B48:B58"/>
    <mergeCell ref="B39:B47"/>
    <mergeCell ref="B2:C4"/>
    <mergeCell ref="B5:C5"/>
    <mergeCell ref="B6:C6"/>
    <mergeCell ref="B19:B29"/>
    <mergeCell ref="B7:B9"/>
    <mergeCell ref="B10:B18"/>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86" t="str">
        <f>IF(项目基本情况!B9="房地产市场价值","估价结果一览表","结果表-2")</f>
        <v>结果表-2</v>
      </c>
      <c r="B1" s="3086"/>
      <c r="C1" s="3086"/>
      <c r="D1" s="3086"/>
      <c r="E1" s="3086"/>
      <c r="F1" s="3086"/>
      <c r="G1" s="3086"/>
      <c r="H1" s="3086"/>
      <c r="I1" s="3086"/>
    </row>
    <row r="2" spans="1:9" ht="30" customHeight="1" thickTop="1">
      <c r="A2" s="3087" t="s">
        <v>1640</v>
      </c>
      <c r="B2" s="3087" t="s">
        <v>1641</v>
      </c>
      <c r="C2" s="3087" t="s">
        <v>1642</v>
      </c>
      <c r="D2" s="3087" t="str">
        <f>结果表!D116</f>
        <v>出让国有建设用地使用权价值</v>
      </c>
      <c r="E2" s="3087"/>
      <c r="F2" s="3087" t="str">
        <f>结果表!F116</f>
        <v>在建建筑物价值</v>
      </c>
      <c r="G2" s="3087"/>
      <c r="H2" s="3087" t="str">
        <f>IF(项目基本情况!B9="房地产市场价值","房地产市场价值","房地产价值")</f>
        <v>房地产价值</v>
      </c>
      <c r="I2" s="3087"/>
    </row>
    <row r="3" spans="1:9" ht="15">
      <c r="A3" s="3081"/>
      <c r="B3" s="3081"/>
      <c r="C3" s="3081"/>
      <c r="D3" s="1046" t="s">
        <v>1637</v>
      </c>
      <c r="E3" s="1046" t="s">
        <v>1643</v>
      </c>
      <c r="F3" s="1046" t="s">
        <v>1637</v>
      </c>
      <c r="G3" s="1046" t="s">
        <v>1638</v>
      </c>
      <c r="H3" s="1046" t="s">
        <v>1637</v>
      </c>
      <c r="I3" s="1046" t="s">
        <v>1638</v>
      </c>
    </row>
    <row r="4" spans="1:9" ht="15">
      <c r="A4" s="1975" t="str">
        <f>项目基本情况!S2</f>
        <v>湖北省武汉市房地产</v>
      </c>
      <c r="B4" s="1046">
        <f>项目基本情况!C17</f>
        <v>39089.930000000037</v>
      </c>
      <c r="C4" s="1046">
        <f>项目基本情况!C18</f>
        <v>15635.97</v>
      </c>
      <c r="D4" s="1046" t="e">
        <f ca="1">结果表!D118</f>
        <v>#REF!</v>
      </c>
      <c r="E4" s="1046" t="e">
        <f ca="1">结果表!E118</f>
        <v>#REF!</v>
      </c>
      <c r="F4" s="1046" t="e">
        <f ca="1">结果表!F118</f>
        <v>#REF!</v>
      </c>
      <c r="G4" s="1046" t="e">
        <f ca="1">结果表!G118</f>
        <v>#REF!</v>
      </c>
      <c r="H4" s="1046">
        <f ca="1">结果表!H118</f>
        <v>269</v>
      </c>
      <c r="I4" s="1046">
        <f ca="1">结果表!I118</f>
        <v>27374</v>
      </c>
    </row>
    <row r="5" spans="1:9" ht="30" customHeight="1">
      <c r="A5" s="3081" t="s">
        <v>1639</v>
      </c>
      <c r="B5" s="3081"/>
      <c r="C5" s="3081"/>
      <c r="D5" s="3082" t="e">
        <f ca="1">结果表!D119</f>
        <v>#REF!</v>
      </c>
      <c r="E5" s="3082"/>
      <c r="F5" s="3082" t="e">
        <f ca="1">结果表!F119</f>
        <v>#REF!</v>
      </c>
      <c r="G5" s="3082"/>
      <c r="H5" s="3082" t="str">
        <f ca="1">结果表!H119</f>
        <v>贰佰陆拾玖万元整</v>
      </c>
      <c r="I5" s="3082"/>
    </row>
    <row r="6" spans="1:9" ht="15.75">
      <c r="A6" s="3080" t="str">
        <f>结果表!A120</f>
        <v>估价师知悉的法定优先受偿款</v>
      </c>
      <c r="B6" s="3080"/>
      <c r="C6" s="3080"/>
      <c r="D6" s="3080">
        <f>结果表!D120</f>
        <v>0</v>
      </c>
      <c r="E6" s="3080"/>
      <c r="F6" s="3080"/>
      <c r="G6" s="3080"/>
      <c r="H6" s="3080"/>
      <c r="I6" s="3080"/>
    </row>
    <row r="7" spans="1:9" ht="15">
      <c r="A7" s="3081" t="s">
        <v>1639</v>
      </c>
      <c r="B7" s="3081"/>
      <c r="C7" s="3081"/>
      <c r="D7" s="3083" t="str">
        <f>结果表!D121</f>
        <v>零元整</v>
      </c>
      <c r="E7" s="3084"/>
      <c r="F7" s="3084"/>
      <c r="G7" s="3084"/>
      <c r="H7" s="3084"/>
      <c r="I7" s="3085"/>
    </row>
    <row r="8" spans="1:9" ht="15.75">
      <c r="A8" s="3080" t="str">
        <f>结果表!A122</f>
        <v>房地产抵押价值</v>
      </c>
      <c r="B8" s="3080"/>
      <c r="C8" s="3080"/>
      <c r="D8" s="3080">
        <f ca="1">结果表!D122</f>
        <v>269</v>
      </c>
      <c r="E8" s="3080"/>
      <c r="F8" s="3080"/>
      <c r="G8" s="3080"/>
      <c r="H8" s="3080"/>
      <c r="I8" s="3080"/>
    </row>
    <row r="9" spans="1:9" ht="15">
      <c r="A9" s="3081" t="s">
        <v>1639</v>
      </c>
      <c r="B9" s="3081"/>
      <c r="C9" s="3081"/>
      <c r="D9" s="3082" t="str">
        <f ca="1">结果表!D123</f>
        <v>贰佰陆拾玖万元整</v>
      </c>
      <c r="E9" s="3082"/>
      <c r="F9" s="3082"/>
      <c r="G9" s="3082"/>
      <c r="H9" s="3082"/>
      <c r="I9" s="3082"/>
    </row>
    <row r="10" spans="1:9" ht="15.75">
      <c r="A10" s="3080" t="str">
        <f>结果表!A124</f>
        <v/>
      </c>
      <c r="B10" s="3080"/>
      <c r="C10" s="3080"/>
      <c r="D10" s="3080" t="str">
        <f>结果表!D124</f>
        <v>——</v>
      </c>
      <c r="E10" s="3080"/>
      <c r="F10" s="3080"/>
      <c r="G10" s="3080"/>
      <c r="H10" s="3080"/>
      <c r="I10" s="3080"/>
    </row>
    <row r="11" spans="1:9" ht="15">
      <c r="A11" s="3081" t="s">
        <v>1639</v>
      </c>
      <c r="B11" s="3081"/>
      <c r="C11" s="3081"/>
      <c r="D11" s="3082" t="e">
        <f>结果表!D125</f>
        <v>#VALUE!</v>
      </c>
      <c r="E11" s="3082"/>
      <c r="F11" s="3082"/>
      <c r="G11" s="3082"/>
      <c r="H11" s="3082"/>
      <c r="I11" s="3082"/>
    </row>
    <row r="12" spans="1:9" ht="15.75">
      <c r="A12" s="3080" t="str">
        <f>结果表!A126</f>
        <v/>
      </c>
      <c r="B12" s="3080"/>
      <c r="C12" s="3080"/>
      <c r="D12" s="3080" t="str">
        <f>结果表!D126</f>
        <v>——</v>
      </c>
      <c r="E12" s="3080"/>
      <c r="F12" s="3080"/>
      <c r="G12" s="3080"/>
      <c r="H12" s="3080"/>
      <c r="I12" s="3080"/>
    </row>
    <row r="13" spans="1:9" ht="15.75" thickBot="1">
      <c r="A13" s="3077" t="s">
        <v>1639</v>
      </c>
      <c r="B13" s="3077"/>
      <c r="C13" s="3077"/>
      <c r="D13" s="3078" t="e">
        <f>结果表!D127</f>
        <v>#VALUE!</v>
      </c>
      <c r="E13" s="3078"/>
      <c r="F13" s="3078"/>
      <c r="G13" s="3078"/>
      <c r="H13" s="3078"/>
      <c r="I13" s="3078"/>
    </row>
    <row r="14" spans="1:9" ht="15" thickTop="1">
      <c r="A14" s="3079" t="s">
        <v>1644</v>
      </c>
      <c r="B14" s="3079"/>
      <c r="C14" s="3079"/>
      <c r="D14" s="3079"/>
      <c r="E14" s="3079"/>
      <c r="F14" s="3079"/>
      <c r="G14" s="3079"/>
      <c r="H14" s="3079"/>
      <c r="I14" s="3079"/>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94" t="s">
        <v>1661</v>
      </c>
      <c r="B1" s="3094"/>
      <c r="C1" s="3094"/>
      <c r="D1" s="3094"/>
    </row>
    <row r="2" spans="1:4" ht="18">
      <c r="A2" s="3095" t="s">
        <v>1645</v>
      </c>
      <c r="B2" s="3095"/>
      <c r="C2" s="3095"/>
      <c r="D2" s="3095"/>
    </row>
    <row r="3" spans="1:4" ht="18.75">
      <c r="A3" s="1979" t="s">
        <v>1646</v>
      </c>
      <c r="B3" s="1979" t="s">
        <v>1647</v>
      </c>
      <c r="C3" s="1979" t="s">
        <v>1648</v>
      </c>
      <c r="D3" s="1979" t="s">
        <v>1649</v>
      </c>
    </row>
    <row r="4" spans="1:4" ht="56.25" customHeight="1">
      <c r="A4" s="1980" t="str">
        <f>项目基本情况!B4</f>
        <v>郑燚</v>
      </c>
      <c r="B4" s="1981">
        <f ca="1">项目基本情况!C4</f>
        <v>1120070131</v>
      </c>
      <c r="C4" s="1982"/>
      <c r="D4" s="1983" t="s">
        <v>1650</v>
      </c>
    </row>
    <row r="5" spans="1:4" ht="56.25" customHeight="1">
      <c r="A5" s="1980" t="str">
        <f>项目基本情况!D4</f>
        <v>王萌</v>
      </c>
      <c r="B5" s="1981">
        <f ca="1">项目基本情况!E4</f>
        <v>1120130048</v>
      </c>
      <c r="C5" s="1984"/>
      <c r="D5" s="1983" t="s">
        <v>1650</v>
      </c>
    </row>
    <row r="6" spans="1:4" ht="18">
      <c r="A6" s="3095" t="s">
        <v>1651</v>
      </c>
      <c r="B6" s="3095"/>
      <c r="C6" s="3095"/>
      <c r="D6" s="3095"/>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96" t="s">
        <v>1654</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3"/>
      <c r="C12" s="3093"/>
      <c r="D12" s="3093"/>
    </row>
    <row r="13" spans="1:4" ht="30" customHeight="1">
      <c r="A13" s="30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3"/>
      <c r="C13" s="3093"/>
      <c r="D13" s="3093"/>
    </row>
    <row r="14" spans="1:4" ht="15.75" customHeight="1">
      <c r="A14" s="3088" t="str">
        <f>IF(项目基本情况!B8="抵押","4.本次评估估价师所知悉的法定优先受偿款情况说明如下：","——")</f>
        <v>4.本次评估估价师所知悉的法定优先受偿款情况说明如下：</v>
      </c>
      <c r="B14" s="3093"/>
      <c r="C14" s="3093"/>
      <c r="D14" s="3093"/>
    </row>
    <row r="15" spans="1:4" ht="42" customHeight="1">
      <c r="A15" s="3088" t="str">
        <f>IF(项目基本情况!B8="抵押","（1）"&amp;CONCATENATE(项目基本情况!L20,项目基本情况!L21,项目基本情况!L22),"——")</f>
        <v>（1）根据估价对象《房屋所有权证》原件、《国有土地使用权》原件，截至价值时点，估价对象抵押权未见登记。</v>
      </c>
      <c r="B15" s="3088"/>
      <c r="C15" s="3088"/>
      <c r="D15" s="3088"/>
    </row>
    <row r="16" spans="1:4" ht="30" customHeight="1">
      <c r="A16" s="3090" t="s">
        <v>1655</v>
      </c>
      <c r="B16" s="3090"/>
      <c r="C16" s="3090"/>
      <c r="D16" s="3090"/>
    </row>
    <row r="17" spans="1:4" ht="144" customHeight="1">
      <c r="A17" s="3090" t="s">
        <v>1656</v>
      </c>
      <c r="B17" s="3090"/>
      <c r="C17" s="3090"/>
      <c r="D17" s="3090"/>
    </row>
    <row r="18" spans="1:4" ht="15.75" customHeight="1">
      <c r="A18" s="3088" t="str">
        <f>IF(项目基本情况!B8="抵押",结果表!K120,"——")</f>
        <v>故，本次评估不存在估价师知悉的法定优先受偿款</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8"/>
      <c r="C20" s="3088"/>
      <c r="D20" s="3088"/>
    </row>
    <row r="21" spans="1:4" ht="57.75" customHeight="1">
      <c r="A21" s="30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1"/>
      <c r="C21" s="3091"/>
      <c r="D21" s="3091"/>
    </row>
    <row r="22" spans="1:4" ht="18.75" customHeight="1">
      <c r="A22" s="3092" t="s">
        <v>1657</v>
      </c>
      <c r="B22" s="3092"/>
      <c r="C22" s="3092"/>
      <c r="D22" s="3092"/>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89">
        <v>42551</v>
      </c>
      <c r="D31" s="30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102" t="s">
        <v>1668</v>
      </c>
      <c r="B15" s="3097" t="s">
        <v>136</v>
      </c>
      <c r="C15" s="3098"/>
    </row>
    <row r="16" spans="1:7" ht="13.5">
      <c r="A16" s="3103"/>
      <c r="B16" s="3097" t="s">
        <v>69</v>
      </c>
      <c r="C16" s="3098"/>
    </row>
    <row r="17" spans="1:3" ht="13.5">
      <c r="A17" s="3103"/>
      <c r="B17" s="3100" t="s">
        <v>1669</v>
      </c>
      <c r="C17" s="2002" t="s">
        <v>1668</v>
      </c>
    </row>
    <row r="18" spans="1:3" ht="13.5">
      <c r="A18" s="3103"/>
      <c r="B18" s="3100"/>
      <c r="C18" s="2002" t="s">
        <v>1670</v>
      </c>
    </row>
    <row r="19" spans="1:3" ht="13.5">
      <c r="A19" s="3103"/>
      <c r="B19" s="3100"/>
      <c r="C19" s="2002" t="s">
        <v>1671</v>
      </c>
    </row>
    <row r="20" spans="1:3" ht="13.5">
      <c r="A20" s="3104"/>
      <c r="B20" s="3099" t="s">
        <v>1672</v>
      </c>
      <c r="C20" s="3098"/>
    </row>
    <row r="21" spans="1:3" ht="13.5">
      <c r="A21" s="2003" t="s">
        <v>1673</v>
      </c>
      <c r="B21" s="2004"/>
      <c r="C21" s="2005"/>
    </row>
    <row r="22" spans="1:3" ht="13.5">
      <c r="A22" s="3101" t="s">
        <v>1674</v>
      </c>
      <c r="B22" s="3099" t="s">
        <v>1675</v>
      </c>
      <c r="C22" s="3098"/>
    </row>
    <row r="23" spans="1:3" ht="13.5">
      <c r="A23" s="3101"/>
      <c r="B23" s="3099" t="s">
        <v>1676</v>
      </c>
      <c r="C23" s="3098"/>
    </row>
    <row r="24" spans="1:3" ht="13.5">
      <c r="A24" s="3101"/>
      <c r="B24" s="3099" t="s">
        <v>1677</v>
      </c>
      <c r="C24" s="3098"/>
    </row>
    <row r="25" spans="1:3" ht="13.5">
      <c r="A25" s="3101"/>
      <c r="B25" s="3100" t="s">
        <v>1678</v>
      </c>
      <c r="C25" s="2002" t="s">
        <v>1679</v>
      </c>
    </row>
    <row r="26" spans="1:3" ht="13.5">
      <c r="A26" s="3101"/>
      <c r="B26" s="3100"/>
      <c r="C26" s="2002" t="s">
        <v>1680</v>
      </c>
    </row>
    <row r="27" spans="1:3" ht="13.5">
      <c r="A27" s="3101"/>
      <c r="B27" s="3100"/>
      <c r="C27" s="2002" t="s">
        <v>1681</v>
      </c>
    </row>
    <row r="28" spans="1:3" ht="13.5">
      <c r="A28" s="3101"/>
      <c r="B28" s="3100"/>
      <c r="C28" s="2002" t="s">
        <v>1682</v>
      </c>
    </row>
    <row r="29" spans="1:3" ht="13.5">
      <c r="A29" s="3101"/>
      <c r="B29" s="3100"/>
      <c r="C29" s="2002" t="s">
        <v>1683</v>
      </c>
    </row>
    <row r="30" spans="1:3" ht="13.5">
      <c r="A30" s="3101"/>
      <c r="B30" s="3100"/>
      <c r="C30" s="2002" t="s">
        <v>1684</v>
      </c>
    </row>
    <row r="31" spans="1:3" ht="13.5">
      <c r="A31" s="3101"/>
      <c r="B31" s="3100"/>
      <c r="C31" s="2002" t="s">
        <v>1685</v>
      </c>
    </row>
    <row r="32" spans="1:3" ht="13.5">
      <c r="A32" s="3101"/>
      <c r="B32" s="3100"/>
      <c r="C32" s="2002" t="s">
        <v>1686</v>
      </c>
    </row>
    <row r="33" spans="1:3" ht="13.5">
      <c r="A33" s="3101"/>
      <c r="B33" s="3100"/>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43249</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105" t="s">
        <v>846</v>
      </c>
      <c r="B25" s="3105"/>
      <c r="C25" s="3105"/>
      <c r="D25" s="3105"/>
      <c r="E25" s="3105"/>
      <c r="F25" s="3105"/>
      <c r="G25" s="3105"/>
    </row>
    <row r="26" spans="1:7" s="1027" customFormat="1" ht="24" customHeight="1">
      <c r="A26" s="3106" t="s">
        <v>847</v>
      </c>
      <c r="B26" s="3106"/>
      <c r="C26" s="3107"/>
      <c r="D26" s="3108" t="s">
        <v>848</v>
      </c>
      <c r="E26" s="3106"/>
      <c r="F26" s="3106"/>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2018-05-29T02:09:41Z</dcterms:modified>
</cp:coreProperties>
</file>